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9-2021 SVP keitimas\2019-07-25 keitimas\SPRENDIMAS\"/>
    </mc:Choice>
  </mc:AlternateContent>
  <bookViews>
    <workbookView xWindow="0" yWindow="0" windowWidth="20490" windowHeight="7755"/>
  </bookViews>
  <sheets>
    <sheet name="11 programa" sheetId="11" r:id="rId1"/>
    <sheet name="Lyginamasis" sheetId="12" state="hidden" r:id="rId2"/>
    <sheet name="Aiškinamoji lentelė" sheetId="7" state="hidden" r:id="rId3"/>
    <sheet name="Sporto renginiai" sheetId="9" state="hidden" r:id="rId4"/>
    <sheet name="LOF raštas" sheetId="10" state="hidden" r:id="rId5"/>
  </sheets>
  <definedNames>
    <definedName name="_xlnm.Print_Area" localSheetId="0">'11 programa'!$A$1:$P$140</definedName>
    <definedName name="_xlnm.Print_Area" localSheetId="2">'Aiškinamoji lentelė'!$A$1:$S$215</definedName>
    <definedName name="_xlnm.Print_Area" localSheetId="1">Lyginamasis!$A$1:$W$150</definedName>
    <definedName name="_xlnm.Print_Titles" localSheetId="0">'11 programa'!$6:$8</definedName>
    <definedName name="_xlnm.Print_Titles" localSheetId="2">'Aiškinamoji lentelė'!$6:$8</definedName>
    <definedName name="_xlnm.Print_Titles" localSheetId="1">Lyginamasis!$6:$8</definedName>
  </definedNames>
  <calcPr calcId="162913"/>
</workbook>
</file>

<file path=xl/calcChain.xml><?xml version="1.0" encoding="utf-8"?>
<calcChain xmlns="http://schemas.openxmlformats.org/spreadsheetml/2006/main">
  <c r="K106" i="12" l="1"/>
  <c r="L106" i="12"/>
  <c r="M106" i="12"/>
  <c r="N106" i="12"/>
  <c r="O106" i="12"/>
  <c r="P106" i="12"/>
  <c r="Q106" i="12"/>
  <c r="R106" i="12"/>
  <c r="J106" i="12"/>
  <c r="O89" i="12"/>
  <c r="L89" i="12"/>
  <c r="K83" i="12"/>
  <c r="J114" i="11"/>
  <c r="J112" i="11"/>
  <c r="K123" i="12"/>
  <c r="L123" i="12"/>
  <c r="L122" i="12"/>
  <c r="L121" i="12"/>
  <c r="K121" i="12"/>
  <c r="J102" i="11" l="1"/>
  <c r="J99" i="11"/>
  <c r="L111" i="12"/>
  <c r="K111" i="12"/>
  <c r="K108" i="12"/>
  <c r="L109" i="12"/>
  <c r="K99" i="11" l="1"/>
  <c r="N108" i="12"/>
  <c r="O108" i="12" s="1"/>
  <c r="J116" i="11" l="1"/>
  <c r="K125" i="12"/>
  <c r="L125" i="12" s="1"/>
  <c r="L126" i="12" s="1"/>
  <c r="J83" i="11" l="1"/>
  <c r="J69" i="11"/>
  <c r="K24" i="12"/>
  <c r="J24" i="11"/>
  <c r="L110" i="12" l="1"/>
  <c r="L124" i="12" s="1"/>
  <c r="K31" i="12" l="1"/>
  <c r="L31" i="12"/>
  <c r="L26" i="12"/>
  <c r="L24" i="12"/>
  <c r="O102" i="12" l="1"/>
  <c r="L102" i="12"/>
  <c r="K69" i="12" l="1"/>
  <c r="K23" i="12" l="1"/>
  <c r="L22" i="12"/>
  <c r="L21" i="12"/>
  <c r="L69" i="12"/>
  <c r="L70" i="12" s="1"/>
  <c r="L23" i="12" l="1"/>
  <c r="L29" i="12"/>
  <c r="P96" i="12"/>
  <c r="P83" i="12"/>
  <c r="M88" i="12"/>
  <c r="M84" i="12"/>
  <c r="J98" i="12"/>
  <c r="J84" i="12" s="1"/>
  <c r="J86" i="12"/>
  <c r="J85" i="12"/>
  <c r="J83" i="12"/>
  <c r="L127" i="12" s="1"/>
  <c r="K86" i="12" l="1"/>
  <c r="Q83" i="12" l="1"/>
  <c r="Q96" i="12"/>
  <c r="K98" i="12" l="1"/>
  <c r="K84" i="12" s="1"/>
  <c r="J136" i="11" l="1"/>
  <c r="K143" i="12"/>
  <c r="J143" i="12"/>
  <c r="K60" i="12" l="1"/>
  <c r="L60" i="12" l="1"/>
  <c r="L79" i="12" s="1"/>
  <c r="L143" i="12"/>
  <c r="N84" i="12"/>
  <c r="R147" i="12" l="1"/>
  <c r="R145" i="12"/>
  <c r="R144" i="12"/>
  <c r="R142" i="12"/>
  <c r="R141" i="12"/>
  <c r="R140" i="12"/>
  <c r="Q147" i="12"/>
  <c r="Q145" i="12"/>
  <c r="Q144" i="12"/>
  <c r="Q142" i="12"/>
  <c r="Q141" i="12"/>
  <c r="Q140" i="12"/>
  <c r="K88" i="11"/>
  <c r="J85" i="11"/>
  <c r="K85" i="12"/>
  <c r="P142" i="12" l="1"/>
  <c r="P144" i="12"/>
  <c r="P141" i="12"/>
  <c r="P140" i="12"/>
  <c r="O147" i="12"/>
  <c r="O145" i="12"/>
  <c r="O144" i="12"/>
  <c r="O141" i="12"/>
  <c r="O140" i="12"/>
  <c r="N145" i="12"/>
  <c r="N144" i="12"/>
  <c r="N142" i="12"/>
  <c r="N141" i="12"/>
  <c r="N140" i="12"/>
  <c r="O142" i="12"/>
  <c r="O139" i="12"/>
  <c r="R132" i="12"/>
  <c r="R130" i="12"/>
  <c r="R126" i="12"/>
  <c r="R123" i="12"/>
  <c r="R118" i="12"/>
  <c r="R111" i="12"/>
  <c r="R76" i="12"/>
  <c r="R74" i="12"/>
  <c r="R72" i="12"/>
  <c r="R70" i="12"/>
  <c r="R68" i="12"/>
  <c r="R60" i="12"/>
  <c r="R28" i="12"/>
  <c r="R26" i="12"/>
  <c r="R23" i="12"/>
  <c r="R20" i="12"/>
  <c r="R17" i="12"/>
  <c r="Q131" i="12"/>
  <c r="Q132" i="12" s="1"/>
  <c r="Q129" i="12"/>
  <c r="Q130" i="12" s="1"/>
  <c r="Q126" i="12"/>
  <c r="Q123" i="12"/>
  <c r="Q118" i="12"/>
  <c r="Q111" i="12"/>
  <c r="Q76" i="12"/>
  <c r="Q74" i="12"/>
  <c r="Q72" i="12"/>
  <c r="Q70" i="12"/>
  <c r="Q61" i="12"/>
  <c r="Q68" i="12" s="1"/>
  <c r="Q60" i="12"/>
  <c r="Q27" i="12"/>
  <c r="Q26" i="12"/>
  <c r="Q23" i="12"/>
  <c r="Q20" i="12"/>
  <c r="Q17" i="12"/>
  <c r="O132" i="12"/>
  <c r="O130" i="12"/>
  <c r="O126" i="12"/>
  <c r="O123" i="12"/>
  <c r="O120" i="12"/>
  <c r="O118" i="12"/>
  <c r="O111" i="12"/>
  <c r="O76" i="12"/>
  <c r="O74" i="12"/>
  <c r="O72" i="12"/>
  <c r="O70" i="12"/>
  <c r="O68" i="12"/>
  <c r="O60" i="12"/>
  <c r="O28" i="12"/>
  <c r="O26" i="12"/>
  <c r="O23" i="12"/>
  <c r="O20" i="12"/>
  <c r="O17" i="12"/>
  <c r="N131" i="12"/>
  <c r="N132" i="12" s="1"/>
  <c r="N129" i="12"/>
  <c r="N130" i="12" s="1"/>
  <c r="N126" i="12"/>
  <c r="N123" i="12"/>
  <c r="N120" i="12"/>
  <c r="N118" i="12"/>
  <c r="N111" i="12"/>
  <c r="N88" i="12"/>
  <c r="N147" i="12" s="1"/>
  <c r="N76" i="12"/>
  <c r="N74" i="12"/>
  <c r="N72" i="12"/>
  <c r="N70" i="12"/>
  <c r="N61" i="12"/>
  <c r="N68" i="12" s="1"/>
  <c r="N60" i="12"/>
  <c r="N27" i="12"/>
  <c r="N28" i="12" s="1"/>
  <c r="N26" i="12"/>
  <c r="N23" i="12"/>
  <c r="N20" i="12"/>
  <c r="N17" i="12"/>
  <c r="R124" i="12" l="1"/>
  <c r="Q28" i="12"/>
  <c r="Q139" i="12"/>
  <c r="N139" i="12"/>
  <c r="R139" i="12"/>
  <c r="N127" i="12"/>
  <c r="O127" i="12"/>
  <c r="R127" i="12"/>
  <c r="R133" i="12"/>
  <c r="R29" i="12"/>
  <c r="R79" i="12"/>
  <c r="N124" i="12"/>
  <c r="Q124" i="12"/>
  <c r="Q127" i="12" s="1"/>
  <c r="Q133" i="12"/>
  <c r="Q29" i="12"/>
  <c r="Q79" i="12"/>
  <c r="O133" i="12"/>
  <c r="O124" i="12"/>
  <c r="O79" i="12"/>
  <c r="O29" i="12"/>
  <c r="N29" i="12"/>
  <c r="N79" i="12"/>
  <c r="N133" i="12"/>
  <c r="R134" i="12" l="1"/>
  <c r="R135" i="12" s="1"/>
  <c r="Q134" i="12"/>
  <c r="Q135" i="12" s="1"/>
  <c r="O134" i="12"/>
  <c r="O135" i="12" s="1"/>
  <c r="N134" i="12"/>
  <c r="N135" i="12" s="1"/>
  <c r="J97" i="11" l="1"/>
  <c r="K147" i="12" l="1"/>
  <c r="K145" i="12"/>
  <c r="K144" i="12"/>
  <c r="K142" i="12"/>
  <c r="K141" i="12"/>
  <c r="K140" i="12"/>
  <c r="K146" i="12" l="1"/>
  <c r="K132" i="12"/>
  <c r="K129" i="12"/>
  <c r="K130" i="12" s="1"/>
  <c r="K126" i="12"/>
  <c r="K120" i="12"/>
  <c r="K118" i="12"/>
  <c r="K82" i="12"/>
  <c r="K78" i="12"/>
  <c r="K76" i="12"/>
  <c r="K74" i="12"/>
  <c r="K71" i="12"/>
  <c r="K70" i="12"/>
  <c r="K68" i="12"/>
  <c r="K28" i="12"/>
  <c r="K26" i="12"/>
  <c r="K20" i="12"/>
  <c r="K17" i="12"/>
  <c r="P147" i="12"/>
  <c r="P146" i="12" s="1"/>
  <c r="P145" i="12"/>
  <c r="M145" i="12"/>
  <c r="J145" i="12"/>
  <c r="M144" i="12"/>
  <c r="J144" i="12"/>
  <c r="L144" i="12" s="1"/>
  <c r="M142" i="12"/>
  <c r="J142" i="12"/>
  <c r="L142" i="12" s="1"/>
  <c r="M141" i="12"/>
  <c r="J141" i="12"/>
  <c r="L141" i="12" s="1"/>
  <c r="M140" i="12"/>
  <c r="J140" i="12"/>
  <c r="J132" i="12"/>
  <c r="P131" i="12"/>
  <c r="P132" i="12" s="1"/>
  <c r="M131" i="12"/>
  <c r="M132" i="12" s="1"/>
  <c r="P129" i="12"/>
  <c r="P130" i="12" s="1"/>
  <c r="M129" i="12"/>
  <c r="M130" i="12" s="1"/>
  <c r="J129" i="12"/>
  <c r="J130" i="12" s="1"/>
  <c r="P126" i="12"/>
  <c r="M126" i="12"/>
  <c r="J126" i="12"/>
  <c r="P123" i="12"/>
  <c r="M123" i="12"/>
  <c r="J123" i="12"/>
  <c r="M120" i="12"/>
  <c r="J120" i="12"/>
  <c r="P118" i="12"/>
  <c r="M118" i="12"/>
  <c r="J118" i="12"/>
  <c r="P111" i="12"/>
  <c r="M111" i="12"/>
  <c r="J111" i="12"/>
  <c r="M147" i="12"/>
  <c r="M146" i="12" s="1"/>
  <c r="J82" i="12"/>
  <c r="J78" i="12"/>
  <c r="P76" i="12"/>
  <c r="M76" i="12"/>
  <c r="J76" i="12"/>
  <c r="P74" i="12"/>
  <c r="M74" i="12"/>
  <c r="J74" i="12"/>
  <c r="P72" i="12"/>
  <c r="M72" i="12"/>
  <c r="J71" i="12"/>
  <c r="J139" i="12" s="1"/>
  <c r="P70" i="12"/>
  <c r="M70" i="12"/>
  <c r="J70" i="12"/>
  <c r="M68" i="12"/>
  <c r="J68" i="12"/>
  <c r="P61" i="12"/>
  <c r="P68" i="12" s="1"/>
  <c r="M61" i="12"/>
  <c r="P60" i="12"/>
  <c r="M60" i="12"/>
  <c r="J60" i="12"/>
  <c r="J28" i="12"/>
  <c r="P27" i="12"/>
  <c r="P28" i="12" s="1"/>
  <c r="M27" i="12"/>
  <c r="P26" i="12"/>
  <c r="M26" i="12"/>
  <c r="J26" i="12"/>
  <c r="P23" i="12"/>
  <c r="M23" i="12"/>
  <c r="J23" i="12"/>
  <c r="P20" i="12"/>
  <c r="M20" i="12"/>
  <c r="J20" i="12"/>
  <c r="P17" i="12"/>
  <c r="M17" i="12"/>
  <c r="J17" i="12"/>
  <c r="K124" i="12" l="1"/>
  <c r="K127" i="12" s="1"/>
  <c r="P139" i="12"/>
  <c r="P138" i="12" s="1"/>
  <c r="P148" i="12" s="1"/>
  <c r="P124" i="12"/>
  <c r="P127" i="12" s="1"/>
  <c r="J133" i="12"/>
  <c r="P29" i="12"/>
  <c r="M79" i="12"/>
  <c r="M124" i="12"/>
  <c r="K29" i="12"/>
  <c r="K72" i="12"/>
  <c r="K139" i="12"/>
  <c r="K138" i="12" s="1"/>
  <c r="K148" i="12" s="1"/>
  <c r="M139" i="12"/>
  <c r="M138" i="12" s="1"/>
  <c r="M148" i="12" s="1"/>
  <c r="P79" i="12"/>
  <c r="J147" i="12"/>
  <c r="J146" i="12" s="1"/>
  <c r="P133" i="12"/>
  <c r="J29" i="12"/>
  <c r="J72" i="12"/>
  <c r="J79" i="12" s="1"/>
  <c r="J124" i="12"/>
  <c r="J127" i="12" s="1"/>
  <c r="K79" i="12"/>
  <c r="K133" i="12"/>
  <c r="J138" i="12"/>
  <c r="M133" i="12"/>
  <c r="M127" i="12"/>
  <c r="M28" i="12"/>
  <c r="M29" i="12" s="1"/>
  <c r="L134" i="12" l="1"/>
  <c r="L135" i="12" s="1"/>
  <c r="L139" i="12"/>
  <c r="L138" i="12" s="1"/>
  <c r="R146" i="12"/>
  <c r="Q146" i="12"/>
  <c r="P134" i="12"/>
  <c r="P135" i="12" s="1"/>
  <c r="O146" i="12"/>
  <c r="N146" i="12"/>
  <c r="J134" i="12"/>
  <c r="J135" i="12" s="1"/>
  <c r="L147" i="12"/>
  <c r="L146" i="12" s="1"/>
  <c r="K134" i="12"/>
  <c r="K135" i="12" s="1"/>
  <c r="J148" i="12"/>
  <c r="M134" i="12"/>
  <c r="M135" i="12" s="1"/>
  <c r="L148" i="12" l="1"/>
  <c r="R138" i="12"/>
  <c r="R148" i="12" s="1"/>
  <c r="Q138" i="12"/>
  <c r="Q148" i="12" s="1"/>
  <c r="O138" i="12"/>
  <c r="O148" i="12" s="1"/>
  <c r="N138" i="12"/>
  <c r="N148" i="12" s="1"/>
  <c r="J120" i="11"/>
  <c r="L190" i="7"/>
  <c r="L132" i="11" l="1"/>
  <c r="K132" i="11"/>
  <c r="J132" i="11"/>
  <c r="L131" i="11"/>
  <c r="K131" i="11"/>
  <c r="J131" i="11"/>
  <c r="J135" i="11"/>
  <c r="J134" i="11"/>
  <c r="J133" i="11"/>
  <c r="L148" i="7" l="1"/>
  <c r="J138" i="11" l="1"/>
  <c r="J137" i="11" s="1"/>
  <c r="L168" i="7"/>
  <c r="K102" i="11" l="1"/>
  <c r="K133" i="11" l="1"/>
  <c r="M202" i="7"/>
  <c r="L97" i="11"/>
  <c r="K97" i="11"/>
  <c r="N135" i="7" l="1"/>
  <c r="L27" i="11"/>
  <c r="K27" i="11"/>
  <c r="L61" i="11"/>
  <c r="K61" i="11"/>
  <c r="N193" i="7"/>
  <c r="M193" i="7"/>
  <c r="L122" i="11"/>
  <c r="K122" i="11"/>
  <c r="L120" i="11"/>
  <c r="K120" i="11"/>
  <c r="N190" i="7"/>
  <c r="M190" i="7"/>
  <c r="L68" i="11" l="1"/>
  <c r="K68" i="11"/>
  <c r="J68" i="11"/>
  <c r="K60" i="11" l="1"/>
  <c r="L60" i="11"/>
  <c r="J60" i="11"/>
  <c r="N81" i="7" l="1"/>
  <c r="M81" i="7"/>
  <c r="L81" i="7"/>
  <c r="N72" i="7"/>
  <c r="M72" i="7"/>
  <c r="L72" i="7"/>
  <c r="N70" i="7"/>
  <c r="M70" i="7"/>
  <c r="L70" i="7"/>
  <c r="N64" i="7"/>
  <c r="M64" i="7"/>
  <c r="L64" i="7"/>
  <c r="L135" i="11" l="1"/>
  <c r="K135" i="11"/>
  <c r="L134" i="11"/>
  <c r="K134" i="11"/>
  <c r="L123" i="11"/>
  <c r="K123" i="11"/>
  <c r="J123" i="11"/>
  <c r="L121" i="11"/>
  <c r="K121" i="11"/>
  <c r="J121" i="11"/>
  <c r="L117" i="11"/>
  <c r="K117" i="11"/>
  <c r="J117" i="11"/>
  <c r="L114" i="11"/>
  <c r="K114" i="11"/>
  <c r="K111" i="11"/>
  <c r="J111" i="11"/>
  <c r="L109" i="11"/>
  <c r="K109" i="11"/>
  <c r="J109" i="11"/>
  <c r="L102" i="11"/>
  <c r="L138" i="11"/>
  <c r="K138" i="11"/>
  <c r="J82" i="11"/>
  <c r="J78" i="11"/>
  <c r="L76" i="11"/>
  <c r="K76" i="11"/>
  <c r="J76" i="11"/>
  <c r="L74" i="11"/>
  <c r="K74" i="11"/>
  <c r="J74" i="11"/>
  <c r="L72" i="11"/>
  <c r="K72" i="11"/>
  <c r="J71" i="11"/>
  <c r="L70" i="11"/>
  <c r="K70" i="11"/>
  <c r="J70" i="11"/>
  <c r="L28" i="11"/>
  <c r="K28" i="11"/>
  <c r="L26" i="11"/>
  <c r="K26" i="11"/>
  <c r="J26" i="11"/>
  <c r="J23" i="11"/>
  <c r="L23" i="11"/>
  <c r="K23" i="11"/>
  <c r="L20" i="11"/>
  <c r="K20" i="11"/>
  <c r="J20" i="11"/>
  <c r="L17" i="11"/>
  <c r="K17" i="11"/>
  <c r="J17" i="11"/>
  <c r="J115" i="11" l="1"/>
  <c r="J118" i="11" s="1"/>
  <c r="J72" i="11"/>
  <c r="J79" i="11" s="1"/>
  <c r="J130" i="11"/>
  <c r="J129" i="11" s="1"/>
  <c r="J139" i="11" s="1"/>
  <c r="L137" i="11"/>
  <c r="L29" i="11"/>
  <c r="K137" i="11"/>
  <c r="K29" i="11"/>
  <c r="K79" i="11"/>
  <c r="L79" i="11"/>
  <c r="L115" i="11"/>
  <c r="L124" i="11"/>
  <c r="J28" i="11"/>
  <c r="J29" i="11" s="1"/>
  <c r="J124" i="11"/>
  <c r="K115" i="11"/>
  <c r="K124" i="11"/>
  <c r="K130" i="11"/>
  <c r="K129" i="11" s="1"/>
  <c r="L130" i="11"/>
  <c r="L129" i="11" s="1"/>
  <c r="L139" i="11" l="1"/>
  <c r="K139" i="11"/>
  <c r="K118" i="11"/>
  <c r="K125" i="11" s="1"/>
  <c r="K126" i="11" s="1"/>
  <c r="L118" i="11"/>
  <c r="L125" i="11" s="1"/>
  <c r="L126" i="11" s="1"/>
  <c r="J125" i="11"/>
  <c r="J126" i="11" s="1"/>
  <c r="N58" i="7"/>
  <c r="M58" i="7"/>
  <c r="L58" i="7"/>
  <c r="N45" i="7"/>
  <c r="M45" i="7"/>
  <c r="L45" i="7"/>
  <c r="L105" i="7" l="1"/>
  <c r="L90" i="7" l="1"/>
  <c r="M90" i="7"/>
  <c r="N90" i="7"/>
  <c r="L19" i="7" l="1"/>
  <c r="N154" i="7" l="1"/>
  <c r="N168" i="7" s="1"/>
  <c r="M154" i="7"/>
  <c r="M168" i="7" s="1"/>
  <c r="L30" i="7"/>
  <c r="L31" i="7" l="1"/>
  <c r="K31" i="7"/>
  <c r="N31" i="7"/>
  <c r="M31" i="7"/>
  <c r="L23" i="7" l="1"/>
  <c r="L113" i="7"/>
  <c r="N138" i="7" l="1"/>
  <c r="M138" i="7"/>
  <c r="M148" i="7" s="1"/>
  <c r="L26" i="7" l="1"/>
  <c r="N25" i="7"/>
  <c r="N26" i="7" s="1"/>
  <c r="M25" i="7"/>
  <c r="M26" i="7" s="1"/>
  <c r="M178" i="7" l="1"/>
  <c r="L178" i="7"/>
  <c r="L102" i="7"/>
  <c r="N110" i="7"/>
  <c r="M110" i="7"/>
  <c r="L110" i="7"/>
  <c r="K110" i="7"/>
  <c r="M19" i="7"/>
  <c r="K19" i="7"/>
  <c r="M45" i="9" l="1"/>
  <c r="M44" i="9"/>
  <c r="M43" i="9"/>
  <c r="M42" i="9"/>
  <c r="M40" i="9"/>
  <c r="M39" i="9"/>
  <c r="M38" i="9"/>
  <c r="M36" i="9"/>
  <c r="M30" i="9"/>
  <c r="M31" i="9"/>
  <c r="M32" i="9"/>
  <c r="M33" i="9"/>
  <c r="M34" i="9"/>
  <c r="M35" i="9"/>
  <c r="M29" i="9"/>
  <c r="L202" i="7" l="1"/>
  <c r="M25" i="9" l="1"/>
  <c r="M26" i="9"/>
  <c r="M24" i="9"/>
  <c r="J27" i="9"/>
  <c r="M22" i="9"/>
  <c r="M19" i="9"/>
  <c r="M20" i="9"/>
  <c r="M21" i="9"/>
  <c r="M18" i="9"/>
  <c r="M16" i="9"/>
  <c r="M11" i="9"/>
  <c r="M12" i="9"/>
  <c r="M13" i="9"/>
  <c r="M14" i="9"/>
  <c r="M15" i="9"/>
  <c r="M10" i="9"/>
  <c r="J45" i="9"/>
  <c r="G45" i="9"/>
  <c r="G44" i="9"/>
  <c r="G40" i="9"/>
  <c r="J36" i="9"/>
  <c r="G36" i="9"/>
  <c r="J22" i="9"/>
  <c r="G22" i="9"/>
  <c r="J16" i="9"/>
  <c r="G16" i="9"/>
  <c r="M27" i="9" l="1"/>
  <c r="K148" i="7" l="1"/>
  <c r="M180" i="7" l="1"/>
  <c r="K168" i="7" l="1"/>
  <c r="L187" i="7" l="1"/>
  <c r="M187" i="7"/>
  <c r="N187" i="7"/>
  <c r="K187" i="7"/>
  <c r="N148" i="7" l="1"/>
  <c r="L180" i="7"/>
  <c r="K180" i="7"/>
  <c r="N178" i="7"/>
  <c r="K178" i="7"/>
  <c r="L119" i="7"/>
  <c r="N108" i="7"/>
  <c r="M108" i="7"/>
  <c r="L108" i="7"/>
  <c r="K108" i="7"/>
  <c r="N106" i="7"/>
  <c r="M106" i="7"/>
  <c r="L106" i="7"/>
  <c r="K106" i="7"/>
  <c r="N102" i="7"/>
  <c r="K97" i="7" l="1"/>
  <c r="N19" i="7" l="1"/>
  <c r="N211" i="7" l="1"/>
  <c r="N210" i="7"/>
  <c r="N209" i="7"/>
  <c r="N207" i="7"/>
  <c r="N206" i="7"/>
  <c r="N205" i="7"/>
  <c r="N204" i="7"/>
  <c r="N203" i="7"/>
  <c r="N201" i="7"/>
  <c r="M211" i="7"/>
  <c r="M210" i="7"/>
  <c r="M209" i="7"/>
  <c r="M207" i="7"/>
  <c r="M206" i="7"/>
  <c r="M205" i="7"/>
  <c r="M203" i="7"/>
  <c r="L203" i="7"/>
  <c r="L207" i="7"/>
  <c r="L206" i="7"/>
  <c r="M201" i="7"/>
  <c r="L211" i="7"/>
  <c r="L210" i="7"/>
  <c r="L209" i="7"/>
  <c r="L205" i="7"/>
  <c r="L194" i="7"/>
  <c r="M194" i="7"/>
  <c r="N194" i="7"/>
  <c r="L192" i="7"/>
  <c r="M192" i="7"/>
  <c r="N192" i="7"/>
  <c r="L183" i="7"/>
  <c r="M183" i="7"/>
  <c r="M184" i="7" s="1"/>
  <c r="M188" i="7" s="1"/>
  <c r="N183" i="7"/>
  <c r="N184" i="7" s="1"/>
  <c r="N188" i="7" s="1"/>
  <c r="L201" i="7"/>
  <c r="L195" i="7" l="1"/>
  <c r="L184" i="7"/>
  <c r="L188" i="7" s="1"/>
  <c r="M195" i="7"/>
  <c r="N195" i="7"/>
  <c r="N208" i="7"/>
  <c r="M208" i="7"/>
  <c r="L208" i="7"/>
  <c r="N200" i="7"/>
  <c r="N212" i="7" l="1"/>
  <c r="L104" i="7"/>
  <c r="L116" i="7" s="1"/>
  <c r="M104" i="7"/>
  <c r="N104" i="7"/>
  <c r="M102" i="7"/>
  <c r="M204" i="7"/>
  <c r="M200" i="7" s="1"/>
  <c r="M212" i="7" s="1"/>
  <c r="L29" i="7"/>
  <c r="L37" i="7" s="1"/>
  <c r="M29" i="7"/>
  <c r="N29" i="7"/>
  <c r="M23" i="7"/>
  <c r="N23" i="7"/>
  <c r="M37" i="7" l="1"/>
  <c r="N116" i="7"/>
  <c r="M116" i="7"/>
  <c r="N37" i="7"/>
  <c r="L204" i="7"/>
  <c r="L200" i="7" s="1"/>
  <c r="L212" i="7" s="1"/>
  <c r="K88" i="7"/>
  <c r="M196" i="7" l="1"/>
  <c r="M197" i="7" s="1"/>
  <c r="N196" i="7"/>
  <c r="N197" i="7" s="1"/>
  <c r="K29" i="7"/>
  <c r="K58" i="7"/>
  <c r="K90" i="7" s="1"/>
  <c r="K32" i="7"/>
  <c r="K36" i="7" s="1"/>
  <c r="K211" i="7" l="1"/>
  <c r="K210" i="7"/>
  <c r="K209" i="7"/>
  <c r="K207" i="7"/>
  <c r="K206" i="7"/>
  <c r="K205" i="7"/>
  <c r="K204" i="7"/>
  <c r="K203" i="7"/>
  <c r="K201" i="7"/>
  <c r="K194" i="7"/>
  <c r="K192" i="7"/>
  <c r="K183" i="7"/>
  <c r="K184" i="7" s="1"/>
  <c r="K188" i="7" s="1"/>
  <c r="K104" i="7"/>
  <c r="K113" i="7"/>
  <c r="K115" i="7"/>
  <c r="K102" i="7"/>
  <c r="K26" i="7"/>
  <c r="K23" i="7"/>
  <c r="K37" i="7" l="1"/>
  <c r="K116" i="7"/>
  <c r="K195" i="7"/>
  <c r="K208" i="7"/>
  <c r="K200" i="7"/>
  <c r="K196" i="7" l="1"/>
  <c r="K197" i="7" s="1"/>
  <c r="K212" i="7"/>
  <c r="L196" i="7" l="1"/>
  <c r="L197" i="7" s="1"/>
</calcChain>
</file>

<file path=xl/comments1.xml><?xml version="1.0" encoding="utf-8"?>
<comments xmlns="http://schemas.openxmlformats.org/spreadsheetml/2006/main">
  <authors>
    <author>Sniega</author>
    <author>Snieguole Kacerauskaite</author>
    <author>Indre Buteniene</author>
  </authors>
  <commentList>
    <comment ref="F13" authorId="0" shapeId="0">
      <text>
        <r>
          <rPr>
            <sz val="9"/>
            <color indexed="81"/>
            <rFont val="Tahoma"/>
            <family val="2"/>
            <charset val="186"/>
          </rPr>
          <t>"Pritraukti į Klaipėdą prestižinius šalies ir tarptautinius sporto renginius"</t>
        </r>
      </text>
    </comment>
    <comment ref="N27" authorId="1" shapeId="0">
      <text>
        <r>
          <rPr>
            <sz val="9"/>
            <color indexed="81"/>
            <rFont val="Tahoma"/>
            <family val="2"/>
            <charset val="186"/>
          </rPr>
          <t>Suorganizuotas vandens sporto šakų festivalis ir paplūdimio sporto renginiai</t>
        </r>
      </text>
    </comment>
    <comment ref="E69" authorId="1" shapeId="0">
      <text>
        <r>
          <rPr>
            <sz val="9"/>
            <color indexed="81"/>
            <rFont val="Tahoma"/>
            <family val="2"/>
            <charset val="186"/>
          </rPr>
          <t>buvęs pavadinimas -"Pasirenkamojo vaikų ugdymo programų finansavimas iš sportininko krepšelio lėšų"</t>
        </r>
      </text>
    </comment>
    <comment ref="E92" authorId="1" shapeId="0">
      <text>
        <r>
          <rPr>
            <sz val="9"/>
            <color indexed="81"/>
            <rFont val="Tahoma"/>
            <family val="2"/>
            <charset val="186"/>
          </rPr>
          <t xml:space="preserve">Projektas gali būti siūlomas  finansuoti iš papildomų 2000 tūkst. Eur paskolos lėšų (jei atitiks Finansų ministerijos parengtas finansavimo sąlygas), nes planuojama pasiekti pastato energetinio naudingumo klasė A (buvo F) , kuri sumažintų pastato išlaikymo išlaidas
</t>
        </r>
      </text>
    </comment>
    <comment ref="E97" authorId="2" shapeId="0">
      <text>
        <r>
          <rPr>
            <sz val="9"/>
            <color indexed="81"/>
            <rFont val="Tahoma"/>
            <family val="2"/>
            <charset val="186"/>
          </rPr>
          <t>Vietoje uždaromos salės Burių g. (Melnragė)</t>
        </r>
      </text>
    </comment>
    <comment ref="E120" authorId="1" shapeId="0">
      <text>
        <r>
          <rPr>
            <sz val="9"/>
            <color indexed="81"/>
            <rFont val="Tahoma"/>
            <family val="2"/>
            <charset val="186"/>
          </rPr>
          <t>Buvusi: 
"Prioritetinių sporto šakų didelio sportinio meistriškumo klubų veiklos dalinis finansavimas"</t>
        </r>
      </text>
    </comment>
    <comment ref="E122" authorId="1" shapeId="0">
      <text>
        <r>
          <rPr>
            <sz val="9"/>
            <color indexed="81"/>
            <rFont val="Tahoma"/>
            <family val="2"/>
            <charset val="186"/>
          </rPr>
          <t xml:space="preserve">Buvusi:
"Individualių sporto šakų sportininkų pasirengimas dalyvauti atrankos varžybose dėl patekimo į nacionalines rinktines"
</t>
        </r>
      </text>
    </comment>
  </commentList>
</comments>
</file>

<file path=xl/comments2.xml><?xml version="1.0" encoding="utf-8"?>
<comments xmlns="http://schemas.openxmlformats.org/spreadsheetml/2006/main">
  <authors>
    <author>Sniega</author>
    <author>Snieguole Kacerauskaite</author>
    <author>Indre Buteniene</author>
  </authors>
  <commentList>
    <comment ref="F13" authorId="0" shapeId="0">
      <text>
        <r>
          <rPr>
            <sz val="9"/>
            <color indexed="81"/>
            <rFont val="Tahoma"/>
            <family val="2"/>
            <charset val="186"/>
          </rPr>
          <t>"Pritraukti į Klaipėdą prestižinius šalies ir tarptautinius sporto renginius"</t>
        </r>
      </text>
    </comment>
    <comment ref="T27" authorId="1" shapeId="0">
      <text>
        <r>
          <rPr>
            <sz val="9"/>
            <color indexed="81"/>
            <rFont val="Tahoma"/>
            <family val="2"/>
            <charset val="186"/>
          </rPr>
          <t>Suorganizuotas vandens sporto šakų festivalis ir paplūdimio sporto renginiai</t>
        </r>
      </text>
    </comment>
    <comment ref="E69" authorId="1" shapeId="0">
      <text>
        <r>
          <rPr>
            <sz val="9"/>
            <color indexed="81"/>
            <rFont val="Tahoma"/>
            <family val="2"/>
            <charset val="186"/>
          </rPr>
          <t>buvęs pavadinimas -"Pasirenkamojo vaikų ugdymo programų finansavimas iš sportininko krepšelio lėšų"</t>
        </r>
      </text>
    </comment>
    <comment ref="E99" authorId="1" shapeId="0">
      <text>
        <r>
          <rPr>
            <sz val="9"/>
            <color indexed="81"/>
            <rFont val="Tahoma"/>
            <family val="2"/>
            <charset val="186"/>
          </rPr>
          <t xml:space="preserve">Projektas gali būti siūlomas  finansuoti iš papildomų 2000 tūkst. Eur paskolos lėšų (jei atitiks Finansų ministerijos parengtas finansavimo sąlygas), nes planuojama pasiekti pastato energetinio naudingumo klasė A (buvo F) , kuri sumažintų pastato išlaikymo išlaidas
</t>
        </r>
      </text>
    </comment>
    <comment ref="E105" authorId="2" shapeId="0">
      <text>
        <r>
          <rPr>
            <sz val="9"/>
            <color indexed="81"/>
            <rFont val="Tahoma"/>
            <family val="2"/>
            <charset val="186"/>
          </rPr>
          <t>Vietoje uždaromos salės Burių g. (Melnragė)</t>
        </r>
      </text>
    </comment>
    <comment ref="E129" authorId="1" shapeId="0">
      <text>
        <r>
          <rPr>
            <sz val="9"/>
            <color indexed="81"/>
            <rFont val="Tahoma"/>
            <family val="2"/>
            <charset val="186"/>
          </rPr>
          <t>Buvusi: 
"Prioritetinių sporto šakų didelio sportinio meistriškumo klubų veiklos dalinis finansavimas"</t>
        </r>
      </text>
    </comment>
    <comment ref="E131" authorId="1" shapeId="0">
      <text>
        <r>
          <rPr>
            <sz val="9"/>
            <color indexed="81"/>
            <rFont val="Tahoma"/>
            <family val="2"/>
            <charset val="186"/>
          </rPr>
          <t xml:space="preserve">Buvusi:
"Individualių sporto šakų sportininkų pasirengimas dalyvauti atrankos varžybose dėl patekimo į nacionalines rinktines"
</t>
        </r>
      </text>
    </comment>
  </commentList>
</comments>
</file>

<file path=xl/comments3.xml><?xml version="1.0" encoding="utf-8"?>
<comments xmlns="http://schemas.openxmlformats.org/spreadsheetml/2006/main">
  <authors>
    <author>Sniega</author>
    <author>Skaiste Kliaubiene</author>
    <author>Snieguole Kacerauskaite</author>
    <author>Indre Buteniene</author>
  </authors>
  <commentList>
    <comment ref="F13" authorId="0" shapeId="0">
      <text>
        <r>
          <rPr>
            <sz val="9"/>
            <color indexed="81"/>
            <rFont val="Tahoma"/>
            <family val="2"/>
            <charset val="186"/>
          </rPr>
          <t>"Pritraukti į Klaipėdą prestižinius šalies ir tarptautinius sporto renginius"</t>
        </r>
      </text>
    </comment>
    <comment ref="L64" authorId="1" shapeId="0">
      <text>
        <r>
          <rPr>
            <b/>
            <sz val="9"/>
            <color indexed="81"/>
            <rFont val="Tahoma"/>
            <family val="2"/>
            <charset val="186"/>
          </rPr>
          <t>Skaiste Kliaubiene:</t>
        </r>
        <r>
          <rPr>
            <sz val="9"/>
            <color indexed="81"/>
            <rFont val="Tahoma"/>
            <family val="2"/>
            <charset val="186"/>
          </rPr>
          <t xml:space="preserve">
dėl MK 30600; ir direkt. koef.</t>
        </r>
      </text>
    </comment>
    <comment ref="L70" authorId="1" shapeId="0">
      <text>
        <r>
          <rPr>
            <b/>
            <sz val="9"/>
            <color indexed="81"/>
            <rFont val="Tahoma"/>
            <family val="2"/>
            <charset val="186"/>
          </rPr>
          <t>Skaiste Kliaubiene:</t>
        </r>
        <r>
          <rPr>
            <sz val="9"/>
            <color indexed="81"/>
            <rFont val="Tahoma"/>
            <family val="2"/>
            <charset val="186"/>
          </rPr>
          <t xml:space="preserve">
dėl MK 41600; ir direkt. koef.</t>
        </r>
      </text>
    </comment>
    <comment ref="L72" authorId="1" shapeId="0">
      <text>
        <r>
          <rPr>
            <b/>
            <sz val="9"/>
            <color indexed="81"/>
            <rFont val="Tahoma"/>
            <family val="2"/>
            <charset val="186"/>
          </rPr>
          <t>Skaiste Kliaubiene:</t>
        </r>
        <r>
          <rPr>
            <sz val="9"/>
            <color indexed="81"/>
            <rFont val="Tahoma"/>
            <family val="2"/>
            <charset val="186"/>
          </rPr>
          <t xml:space="preserve">
dėl MK 12700;</t>
        </r>
      </text>
    </comment>
    <comment ref="J80" authorId="2" shapeId="0">
      <text>
        <r>
          <rPr>
            <b/>
            <sz val="9"/>
            <color indexed="81"/>
            <rFont val="Tahoma"/>
            <family val="2"/>
            <charset val="186"/>
          </rPr>
          <t>AB "Klaipėdos nafta"</t>
        </r>
        <r>
          <rPr>
            <sz val="9"/>
            <color indexed="81"/>
            <rFont val="Tahoma"/>
            <family val="2"/>
            <charset val="186"/>
          </rPr>
          <t xml:space="preserve">
</t>
        </r>
      </text>
    </comment>
    <comment ref="Q83" authorId="1" shapeId="0">
      <text>
        <r>
          <rPr>
            <b/>
            <sz val="9"/>
            <color indexed="81"/>
            <rFont val="Tahoma"/>
            <family val="2"/>
            <charset val="186"/>
          </rPr>
          <t>Skaiste Kliaubiene:</t>
        </r>
        <r>
          <rPr>
            <sz val="9"/>
            <color indexed="81"/>
            <rFont val="Tahoma"/>
            <family val="2"/>
            <charset val="186"/>
          </rPr>
          <t xml:space="preserve">
2500,00</t>
        </r>
      </text>
    </comment>
    <comment ref="Q84" authorId="1" shapeId="0">
      <text>
        <r>
          <rPr>
            <b/>
            <sz val="9"/>
            <color indexed="81"/>
            <rFont val="Tahoma"/>
            <family val="2"/>
            <charset val="186"/>
          </rPr>
          <t>Skaiste Kliaubiene:</t>
        </r>
        <r>
          <rPr>
            <sz val="9"/>
            <color indexed="81"/>
            <rFont val="Tahoma"/>
            <family val="2"/>
            <charset val="186"/>
          </rPr>
          <t xml:space="preserve">
10000,00</t>
        </r>
      </text>
    </comment>
    <comment ref="Q85" authorId="1" shapeId="0">
      <text>
        <r>
          <rPr>
            <b/>
            <sz val="9"/>
            <color indexed="81"/>
            <rFont val="Tahoma"/>
            <family val="2"/>
            <charset val="186"/>
          </rPr>
          <t>Skaiste Kliaubiene:</t>
        </r>
        <r>
          <rPr>
            <sz val="9"/>
            <color indexed="81"/>
            <rFont val="Tahoma"/>
            <family val="2"/>
            <charset val="186"/>
          </rPr>
          <t xml:space="preserve">
4000,00</t>
        </r>
      </text>
    </comment>
    <comment ref="Q86" authorId="1" shapeId="0">
      <text>
        <r>
          <rPr>
            <b/>
            <sz val="9"/>
            <color indexed="81"/>
            <rFont val="Tahoma"/>
            <family val="2"/>
            <charset val="186"/>
          </rPr>
          <t>Skaiste Kliaubiene:</t>
        </r>
        <r>
          <rPr>
            <sz val="9"/>
            <color indexed="81"/>
            <rFont val="Tahoma"/>
            <family val="2"/>
            <charset val="186"/>
          </rPr>
          <t xml:space="preserve">
17100,00</t>
        </r>
      </text>
    </comment>
    <comment ref="R87" authorId="1" shapeId="0">
      <text>
        <r>
          <rPr>
            <b/>
            <sz val="9"/>
            <color indexed="81"/>
            <rFont val="Tahoma"/>
            <family val="2"/>
            <charset val="186"/>
          </rPr>
          <t>Skaiste Kliaubiene:</t>
        </r>
        <r>
          <rPr>
            <sz val="9"/>
            <color indexed="81"/>
            <rFont val="Tahoma"/>
            <family val="2"/>
            <charset val="186"/>
          </rPr>
          <t xml:space="preserve">
6000,00</t>
        </r>
      </text>
    </comment>
    <comment ref="Q88" authorId="2" shapeId="0">
      <text>
        <r>
          <rPr>
            <sz val="9"/>
            <color indexed="81"/>
            <rFont val="Tahoma"/>
            <family val="2"/>
            <charset val="186"/>
          </rPr>
          <t xml:space="preserve">"Viesulo" sporto centras,
Vlado Knašiaus krepšinio m-kla,
Futbolo sporto mokykla,
Lengvosios atletikos mokykla
</t>
        </r>
      </text>
    </comment>
    <comment ref="E103" authorId="2" shapeId="0">
      <text>
        <r>
          <rPr>
            <sz val="9"/>
            <color indexed="81"/>
            <rFont val="Tahoma"/>
            <family val="2"/>
            <charset val="186"/>
          </rPr>
          <t>buvęs pavadinimas -"Pasirenkamojo vaikų ugdymo programų finansavimas iš sportininko krepšelio lėšų"</t>
        </r>
      </text>
    </comment>
    <comment ref="E135" authorId="3" shapeId="0">
      <text>
        <r>
          <rPr>
            <sz val="9"/>
            <color indexed="81"/>
            <rFont val="Tahoma"/>
            <family val="2"/>
            <charset val="186"/>
          </rPr>
          <t>Vietoje uždaromos salės Burių g. (Melnragė)</t>
        </r>
      </text>
    </comment>
    <comment ref="O164" authorId="2" shapeId="0">
      <text>
        <r>
          <rPr>
            <sz val="9"/>
            <color indexed="81"/>
            <rFont val="Tahoma"/>
            <family val="2"/>
            <charset val="186"/>
          </rPr>
          <t xml:space="preserve">Automobilis ūkio brigadai (21 t.€), sniego valytuvas, lapų siurblys, rotacinė šluota ir kt. įranga (9,7 t.€)
</t>
        </r>
      </text>
    </comment>
    <comment ref="O165" authorId="1" shapeId="0">
      <text>
        <r>
          <rPr>
            <sz val="9"/>
            <color indexed="81"/>
            <rFont val="Tahoma"/>
            <family val="2"/>
            <charset val="186"/>
          </rPr>
          <t xml:space="preserve">
2018 m. 90000 €</t>
        </r>
      </text>
    </comment>
    <comment ref="O166" authorId="1" shapeId="0">
      <text>
        <r>
          <rPr>
            <sz val="9"/>
            <color indexed="81"/>
            <rFont val="Tahoma"/>
            <family val="2"/>
            <charset val="186"/>
          </rPr>
          <t xml:space="preserve">
2018 m. 1300+3200 €</t>
        </r>
      </text>
    </comment>
    <comment ref="O167" authorId="1" shapeId="0">
      <text>
        <r>
          <rPr>
            <sz val="9"/>
            <color indexed="81"/>
            <rFont val="Tahoma"/>
            <family val="2"/>
            <charset val="186"/>
          </rPr>
          <t>2018 m. Taikos pr.61a 20300 ir D. ir Girėno g.10 14400 €</t>
        </r>
      </text>
    </comment>
    <comment ref="E190" authorId="2" shapeId="0">
      <text>
        <r>
          <rPr>
            <sz val="9"/>
            <color indexed="81"/>
            <rFont val="Tahoma"/>
            <family val="2"/>
            <charset val="186"/>
          </rPr>
          <t>Buvusi: 
"Prioritetinių sporto šakų didelio sportinio meistriškumo klubų veiklos dalinis finansavimas"</t>
        </r>
      </text>
    </comment>
    <comment ref="E193" authorId="2" shapeId="0">
      <text>
        <r>
          <rPr>
            <sz val="9"/>
            <color indexed="81"/>
            <rFont val="Tahoma"/>
            <family val="2"/>
            <charset val="186"/>
          </rPr>
          <t xml:space="preserve">Buvusi:
"Individualių sporto šakų sportininkų pasirengimas dalyvauti atrankos varžybose dėl patekimo į nacionalines rinktines"
</t>
        </r>
      </text>
    </comment>
  </commentList>
</comments>
</file>

<file path=xl/sharedStrings.xml><?xml version="1.0" encoding="utf-8"?>
<sst xmlns="http://schemas.openxmlformats.org/spreadsheetml/2006/main" count="1359" uniqueCount="405">
  <si>
    <t>KŪNO KULTŪROS IR SPORTO PLĖTROS PROGRAMOS NR. 11</t>
  </si>
  <si>
    <t xml:space="preserve"> TIKSLŲ, UŽDAVINIŲ, PRIEMONIŲ, PRIEMONIŲ IŠLAIDŲ IR PRODUKTO KRITERIJŲ SUVESTINĖ</t>
  </si>
  <si>
    <t>Programos tikslo kodas</t>
  </si>
  <si>
    <t>Uždavinio kodas</t>
  </si>
  <si>
    <t>Priemonės kodas</t>
  </si>
  <si>
    <t>Pavadinimas</t>
  </si>
  <si>
    <t>Priemonės požymis</t>
  </si>
  <si>
    <t>Asignavimų valdytojo kodas</t>
  </si>
  <si>
    <t>Finansavimo šaltinis</t>
  </si>
  <si>
    <t>Produkto vertinimo kriterijus</t>
  </si>
  <si>
    <t>Planas</t>
  </si>
  <si>
    <t>Strateginis tikslas 03. Užtikrinti gyventojams aukštą švietimo, kultūros, socialinių, sporto ir sveikatos apsaugos paslaugų kokybę ir prieinamumą</t>
  </si>
  <si>
    <t>11 Kūno kultūros ir sporto plėtros programa</t>
  </si>
  <si>
    <t>01</t>
  </si>
  <si>
    <t>Sudaryti sąlygas ugdyti sveiką ir fiziškai aktyvią miesto bendruomenę, profesionaliai atrinkti ir ugdyti talentingus olimpinės pamainos sportininkus</t>
  </si>
  <si>
    <t>Pritraukti didesnį dalyvių skaičių, užtikrinant sporto renginių organizavimo kokybę</t>
  </si>
  <si>
    <t>2</t>
  </si>
  <si>
    <t>SB</t>
  </si>
  <si>
    <t>Iš viso:</t>
  </si>
  <si>
    <t>02</t>
  </si>
  <si>
    <t>Suorganizuota pagerbimo ir viešinimo renginių, skaičius</t>
  </si>
  <si>
    <t>03</t>
  </si>
  <si>
    <t>Iš viso uždaviniui:</t>
  </si>
  <si>
    <t>Sudaryti sąlygas sportuoti visų amžiaus grupių miestiečiams, įgyvendinant sveikos gyvensenos ir fizinio aktyvumo programas</t>
  </si>
  <si>
    <t>Sąlygų ugdytis biudžetinėse sporto įstaigose sudarymas:</t>
  </si>
  <si>
    <t>SB(SP)</t>
  </si>
  <si>
    <t>Asmenų, lankančių sporto mokyklas, skaičius</t>
  </si>
  <si>
    <t>BĮ Klaipėdos „Viesulo“ sporto centre</t>
  </si>
  <si>
    <t>BĮ Klaipėdos „Gintaro“ sporto centre</t>
  </si>
  <si>
    <t>BĮ Klaipėdos Vlado Knašiaus krepšinio mokykloje</t>
  </si>
  <si>
    <t>BĮ Klaipėdos futbolo sporto mokykloje</t>
  </si>
  <si>
    <t xml:space="preserve">Dalyvavusiųjų sporto ir sveikatingumo renginiuose skaičius, tūkst. žmonių </t>
  </si>
  <si>
    <t xml:space="preserve">buriavimo, irklavimo, baidarių ir kanojų irklavimo sporto šakų </t>
  </si>
  <si>
    <t>neįgaliųjų socialinės integracijos per kūno kultūrą ir sportą</t>
  </si>
  <si>
    <t>04</t>
  </si>
  <si>
    <t>Įrengti naujas ir modernizuoti esamas sporto bazes</t>
  </si>
  <si>
    <t>I</t>
  </si>
  <si>
    <t>SB(VB)</t>
  </si>
  <si>
    <t>Kt</t>
  </si>
  <si>
    <t xml:space="preserve">Sporto bazių modernizavimas ir plėtra:
</t>
  </si>
  <si>
    <t>Įgyvendintas projektas, proc.</t>
  </si>
  <si>
    <t>ES</t>
  </si>
  <si>
    <t>1.6.3.3</t>
  </si>
  <si>
    <t>LRVB</t>
  </si>
  <si>
    <t>Atlikta modernizavimo darbų, proc.</t>
  </si>
  <si>
    <t>Iš viso priemonei:</t>
  </si>
  <si>
    <t xml:space="preserve">Sporto infrastruktūros objektų einamasis remontas ir techninis aptarnavimas:                                    </t>
  </si>
  <si>
    <t>Tinkamai reprezentuoti miestą šalies ir tarptautiniuose sporto renginiuose</t>
  </si>
  <si>
    <t>Skirta stipendijų sportininkams, skaičius</t>
  </si>
  <si>
    <t>Iš viso tikslui:</t>
  </si>
  <si>
    <t>11</t>
  </si>
  <si>
    <t>Iš viso programai:</t>
  </si>
  <si>
    <t>Finansavimo šaltinių suvestinė</t>
  </si>
  <si>
    <t>Finansavimo šaltiniai</t>
  </si>
  <si>
    <t>SAVIVALDYBĖS LĖŠOS</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</si>
  <si>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</si>
  <si>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</si>
  <si>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Valstybės biudžeto specialiosios tikslinės dotacijos lėšos </t>
    </r>
    <r>
      <rPr>
        <b/>
        <sz val="10"/>
        <rFont val="Times New Roman"/>
        <family val="1"/>
        <charset val="186"/>
      </rPr>
      <t>SB(VB)</t>
    </r>
  </si>
  <si>
    <t>KITOS LĖŠOS</t>
  </si>
  <si>
    <r>
      <t xml:space="preserve">Europos Sąjungos paramos lėšos </t>
    </r>
    <r>
      <rPr>
        <b/>
        <sz val="10"/>
        <rFont val="Times New Roman"/>
        <family val="1"/>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</si>
  <si>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</si>
  <si>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</si>
  <si>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SB(SPL)</t>
  </si>
  <si>
    <t>05</t>
  </si>
  <si>
    <t>Miestą reprezentuojančių komandų, miestą garsinančių individualių sporto šakų sportininkų ir trenerių pagerbimas</t>
  </si>
  <si>
    <t>Klaipėdos  daugiafunkcio sveikatingumo centro statyba</t>
  </si>
  <si>
    <t>1.6.1.5</t>
  </si>
  <si>
    <t xml:space="preserve"> </t>
  </si>
  <si>
    <t>Įrengta persirengimo konteinerių, skaičius</t>
  </si>
  <si>
    <t>Įsigyta reklaminių-reprezentacinių leidinių, skaičius</t>
  </si>
  <si>
    <t>BĮ Klaipėdos miesto sporto bazių valdymo centre</t>
  </si>
  <si>
    <t>BĮ Klaipėdos miesto sporto bazių valdymo centro pastatų patalpų ir įrenginių atnaujinimo darbai</t>
  </si>
  <si>
    <t>Sporto įstaigų patalpų šildymas</t>
  </si>
  <si>
    <t xml:space="preserve">Šîldoma įstaigų, skaičius  </t>
  </si>
  <si>
    <t>Centralizuotas paviršinių (lietaus) nuotekų tvarkymas (paslaugos apmokėjimas)</t>
  </si>
  <si>
    <t>Parengtas techninis projektas, vnt.</t>
  </si>
  <si>
    <t>2018-ieji metai</t>
  </si>
  <si>
    <t>BĮ Klaipėdos miesto lengvosios atletikos mokykloje</t>
  </si>
  <si>
    <r>
      <t xml:space="preserve">Pajamų imokų likutis </t>
    </r>
    <r>
      <rPr>
        <b/>
        <sz val="10"/>
        <rFont val="Times New Roman"/>
        <family val="1"/>
        <charset val="186"/>
      </rPr>
      <t>SB(SPL)</t>
    </r>
  </si>
  <si>
    <t>SB(L)</t>
  </si>
  <si>
    <r>
      <t xml:space="preserve">Apyvartos lėšų likutis </t>
    </r>
    <r>
      <rPr>
        <b/>
        <sz val="10"/>
        <rFont val="Times New Roman"/>
        <family val="1"/>
        <charset val="186"/>
      </rPr>
      <t>SB(L)</t>
    </r>
  </si>
  <si>
    <t>SB(ES)</t>
  </si>
  <si>
    <r>
      <t xml:space="preserve">Europos Sąjungos paramos lėšos, kurios įtrauktos į Savivaldybės biudžetą </t>
    </r>
    <r>
      <rPr>
        <b/>
        <sz val="10"/>
        <rFont val="Times New Roman"/>
        <family val="1"/>
        <charset val="186"/>
      </rPr>
      <t>SB</t>
    </r>
    <r>
      <rPr>
        <sz val="10"/>
        <rFont val="Times New Roman"/>
        <family val="1"/>
      </rPr>
      <t>(</t>
    </r>
    <r>
      <rPr>
        <b/>
        <sz val="10"/>
        <rFont val="Times New Roman"/>
        <family val="1"/>
        <charset val="186"/>
      </rPr>
      <t>ES)</t>
    </r>
  </si>
  <si>
    <t>Projekto „Klaipėda – Europos sporto miestas“ įgyvendinimas</t>
  </si>
  <si>
    <t>Įgyvendinta viešinimo programa, proc.</t>
  </si>
  <si>
    <t>IED Projektų skyrius, G. Dovidaitis</t>
  </si>
  <si>
    <t xml:space="preserve"> - I etapas</t>
  </si>
  <si>
    <t>IED Projektų skyrius, V. Varnaitė</t>
  </si>
  <si>
    <t xml:space="preserve">Futbolo mokyklos ir baseino pastatų konversija: </t>
  </si>
  <si>
    <t>IED Projektų skyrius, V. Varnaitė; Statybos ir infrastruktūros plėtros skyrius, E. Dolėbienė</t>
  </si>
  <si>
    <t>Įgyvendinta  krepšinio turnyro „Karaliaus Mindaugo taurė 2018“ vykdymo programa, vnt.</t>
  </si>
  <si>
    <t>Įgyvendintas Sporto metų minėjimo Klaipėdoje priemonių planas, proc.</t>
  </si>
  <si>
    <t>Sumokėtas mokestis  Europos sporto sostinių ir miestų asociacijai ACES Europe už dalyvavimą projekte</t>
  </si>
  <si>
    <t>Neatlygintinai suteikta sporto bazių sporto renginiams, val.</t>
  </si>
  <si>
    <t>Suorganizuota miesto sporto renginių, skaičius</t>
  </si>
  <si>
    <t>Suremontuota sporto salių (šviestuvų keitimo darbai), skaičius</t>
  </si>
  <si>
    <t>Atlikti stogo šiltinimo darbai (Taikos pr. 61 A), proc.</t>
  </si>
  <si>
    <t>Atnaujinta pastato patalpų (vestibiulio ir holo remonto darbai), Debreceno g. 48, proc.</t>
  </si>
  <si>
    <t>Atnaujinta persirengimo kambarių dušinės, proc.</t>
  </si>
  <si>
    <t>Atnaujinta elektros instaliacija patalpose, proc.</t>
  </si>
  <si>
    <t>Atlikta ventiliacinės sistemos remonto darbų, proc.</t>
  </si>
  <si>
    <t>UKD Sporto ir kūno kultūros skyrius</t>
  </si>
  <si>
    <t xml:space="preserve">MŪD Socialinės infrastruktūros priežiūros skyrius </t>
  </si>
  <si>
    <t>ir jų sporto bazių paslaugoms apmokėti</t>
  </si>
  <si>
    <t>BĮ Klaipėdos „Gintaro“ sporto centro pastato patalpų atnaujinimo darbai</t>
  </si>
  <si>
    <t>Klaipėdos miesto savivaldybės jachtos „Lietuva“ kapitalinis remontas</t>
  </si>
  <si>
    <t>FTD Turto skyrius</t>
  </si>
  <si>
    <t>Atlikta remonto darbų, proc.</t>
  </si>
  <si>
    <t xml:space="preserve"> - II etapas </t>
  </si>
  <si>
    <t xml:space="preserve">VšĮ Klaipėdos irklavimo centro dalininko kapitalo didinimas, siekiant įsigyti „Viking“ klasės laivus </t>
  </si>
  <si>
    <t>Įsigyta laivų, vnt.</t>
  </si>
  <si>
    <t>Prestižinių, tarptautinių ir nacionalinių sporto renginių pritraukimas ir organizavimas, viešinimas</t>
  </si>
  <si>
    <t>Suorganizuota renginių, skaičius</t>
  </si>
  <si>
    <t>Asmenų, lankančių sporto organizacijas, skaičius</t>
  </si>
  <si>
    <t xml:space="preserve">Naujos sporto salės statyba </t>
  </si>
  <si>
    <t>Valandų skaičius</t>
  </si>
  <si>
    <t>Įsigytas mikroautobusas, vnt</t>
  </si>
  <si>
    <t>Klaipėdos miesto sportininkų reprezentacinės varžybų aprangos su Klaipėdos miesto logotipu sukūrimas, proc</t>
  </si>
  <si>
    <t>Komandų, dalyvaujančių aukščiausioje lygoje, skaičius</t>
  </si>
  <si>
    <t>Komandų, dalyvaujančių Europos taurių turnyruose, skaičius</t>
  </si>
  <si>
    <t>ir sporto bazių paslaugoms apmokėti</t>
  </si>
  <si>
    <t>Biudžetinių įstaigų skaičius</t>
  </si>
  <si>
    <t>Įsigyta persirengimo konteinerių, vnt.</t>
  </si>
  <si>
    <t>Sporto bazių paslaugų teikimas sporto renginiams vykdyti</t>
  </si>
  <si>
    <t>Persirengimo konteinerių įsigijimas</t>
  </si>
  <si>
    <t>Suteikta paslaugų, valandų skaičius</t>
  </si>
  <si>
    <t>Įsigytas automobilis ir ūkinis inventorius sporto bazių priežiūrai, vnt.</t>
  </si>
  <si>
    <r>
      <rPr>
        <b/>
        <sz val="10"/>
        <rFont val="Times New Roman"/>
        <family val="1"/>
        <charset val="186"/>
      </rPr>
      <t xml:space="preserve">Futbolo aikštės dangos įrengimas prie Klaipėdos „Pajūrio“ pagrindinės mokyklos </t>
    </r>
    <r>
      <rPr>
        <sz val="10"/>
        <rFont val="Times New Roman"/>
        <family val="1"/>
        <charset val="186"/>
      </rPr>
      <t>(Klaipėdos „Pajūrio“ progimnazijos statinio Laukininkų g. 28, Klaipėdoje, modernizavimas)</t>
    </r>
  </si>
  <si>
    <t>Atnaujinta Centrinio stadiono infrastruktūra (tribūnų uždengimo stogelis ir apsauginis aptvėrimas), proc.</t>
  </si>
  <si>
    <t>2018 m. asignavimų planas</t>
  </si>
  <si>
    <t>Vykdytojas (skyrius / asmuo)</t>
  </si>
  <si>
    <t>UKD Sporto ir kūno kultūros sk.</t>
  </si>
  <si>
    <t>Apskaitos kodas</t>
  </si>
  <si>
    <t>11.010137</t>
  </si>
  <si>
    <t>Paslaugų miesto bendruomenei teikimas Klaipėdos miesto daugiafunkciame sveikatingumo centre</t>
  </si>
  <si>
    <t>Užsiėmimų senjorams ir neįgaliesiems skaičius</t>
  </si>
  <si>
    <t>Išlaikoma sporto bazių, skaičius</t>
  </si>
  <si>
    <t>________________________________________</t>
  </si>
  <si>
    <t>Aiškinamojo rašto priedas Nr.3</t>
  </si>
  <si>
    <t>2019 m. asignavimų planas</t>
  </si>
  <si>
    <t>2020 m. asignavimų planas</t>
  </si>
  <si>
    <t>2021 m. asignavimų planas</t>
  </si>
  <si>
    <t>2020-ųjų metų lėšų projektas</t>
  </si>
  <si>
    <t>2021-ųjų metų lėšų projektas</t>
  </si>
  <si>
    <t>2019-ieji metai</t>
  </si>
  <si>
    <t>2020-ieji metai</t>
  </si>
  <si>
    <t>2021-ieji metai</t>
  </si>
  <si>
    <t>Suorganizuotas pasaulio salės futbolo čempionatas, vnt</t>
  </si>
  <si>
    <t xml:space="preserve">Klaipėdos sunkiosios atletikos centro statyba </t>
  </si>
  <si>
    <t xml:space="preserve">Klaipėdos sporto sveikatingumo bazės komplekso (Smiltynės g. 13) restauravimo ir remonto darbų techninio projekto parengimas </t>
  </si>
  <si>
    <t>Atlikta statybos darbų, proc.</t>
  </si>
  <si>
    <t>Parengtas techninis projektas, proc.</t>
  </si>
  <si>
    <t>I    1.6.3.4</t>
  </si>
  <si>
    <t xml:space="preserve">Atliktas fasado Dariaus ir Girėno g. 10 remontas, proc. </t>
  </si>
  <si>
    <t>BĮ Klaipėdos miesto lengvosios atletikos mokyklos maniežo dangos atnaujinimo darbai</t>
  </si>
  <si>
    <t>Atlikti maniežo dangos pakeitimo darbai, 2250 m², proc.</t>
  </si>
  <si>
    <t>06</t>
  </si>
  <si>
    <t>07</t>
  </si>
  <si>
    <t>08</t>
  </si>
  <si>
    <t xml:space="preserve"> 2018-2021 M. KLAIPĖDOS MIESTO SAVIVALDYBĖS </t>
  </si>
  <si>
    <t>Įsigyta reprezentacinių prekių, skaičius</t>
  </si>
  <si>
    <t>Įgyvendinta  Europos jaunimo merginų U19 rankinio čempionato programa</t>
  </si>
  <si>
    <t>Įsigyta prekių ar reprezentacinių leidinių, vnt</t>
  </si>
  <si>
    <t>2019-ųjų metų asignavimų planas</t>
  </si>
  <si>
    <t>Pastabos</t>
  </si>
  <si>
    <t>VšĮ Klaipėdos krašto buriavimo sporto mokyklos „Žiemys“ dalininko kapitalo didinimas</t>
  </si>
  <si>
    <t>Atlikta darbų, proc.</t>
  </si>
  <si>
    <t>Neatlygintinai suteiktų sporto bazių paslaugų kompensavimas</t>
  </si>
  <si>
    <t>Fizinių ir juridinių asmenų, neatlygintinai gaunančių sporto bazių paslaugas, skaičius</t>
  </si>
  <si>
    <t>Sportininkų, dalyvavusių tarptautinėse varžybose, skaičius</t>
  </si>
  <si>
    <t>Sportuojančiųjų grupių skaičius</t>
  </si>
  <si>
    <t>Įsigytas mikroautobusas (19 vietų), vnt</t>
  </si>
  <si>
    <t>Įsigyta sportinių dviračių, vnt</t>
  </si>
  <si>
    <t>Įsigyta kiliminė danga meninei gimnastikai, vnt</t>
  </si>
  <si>
    <t>Įsigyta aerobinė aikštelė, vnt</t>
  </si>
  <si>
    <t>Įsigytas varžybinis kilimas meninei gimnastikai, vnt</t>
  </si>
  <si>
    <t>Įsigytas imtynių kilimas, vnt</t>
  </si>
  <si>
    <t>Įsigyti tinklinio stovai, vnt</t>
  </si>
  <si>
    <t>Įsigyti kilimų uždangalai, vnt</t>
  </si>
  <si>
    <t>Sporto salių bendrojo lavinimo mokyklose poreikis, val</t>
  </si>
  <si>
    <t>Sporto salių bendrojo lavinimo mokyklose poreikis, val. sk.</t>
  </si>
  <si>
    <t>Įsigyta laiko fiksavimo sistema varžybų pravedimui, vnt</t>
  </si>
  <si>
    <t>Įsigytas kopijavimo aparatas, vnt</t>
  </si>
  <si>
    <t>Įsigyta stacionarių ar nešiojamų kompiuterių skaičius, vnt</t>
  </si>
  <si>
    <t>Įsigytas elektroninis tablo, vnt</t>
  </si>
  <si>
    <t>Įsigytas sportinis bėgimo takelis, vnt</t>
  </si>
  <si>
    <t>Įsigyta rezultatų matuoklė šuoliui į tolį ir trišuoliui, vnt</t>
  </si>
  <si>
    <t>Įsigyta švieslentė sportiniams rezultatams, vnt</t>
  </si>
  <si>
    <t>Įsigyta ratų tablo, vnt</t>
  </si>
  <si>
    <t>Įsigyta baldų, vnt</t>
  </si>
  <si>
    <t>Įgyvendinta Olimpinės dienos programa, vnt</t>
  </si>
  <si>
    <t>Įsigytas dujinis oro šildytuvas (Pilies g. 2A), vnt</t>
  </si>
  <si>
    <t>Įsigyta įgarsinimo sistema, kompl.</t>
  </si>
  <si>
    <t>Įsigyti rankinio vartai, kompl.</t>
  </si>
  <si>
    <t>Įsigytas bokso ringas, vnt.</t>
  </si>
  <si>
    <t xml:space="preserve">Klaipėdos miesto tradicinių tarptautinių sporto renginių </t>
  </si>
  <si>
    <t xml:space="preserve">Klaipėdos miesto „Sportas visiems“ renginių </t>
  </si>
  <si>
    <t xml:space="preserve">Klaipėdos miesto sporto šakų federacijų </t>
  </si>
  <si>
    <t xml:space="preserve">Sportuojančio vaiko ugdymo dalinis finansavimas </t>
  </si>
  <si>
    <t>Klaipėdos miesto antrųjų klasių mokinių mokymas plaukti</t>
  </si>
  <si>
    <t>Apmokyta plaukti vaikų, skaičius</t>
  </si>
  <si>
    <t>Sporto projektų vertinimo paslaugų pirkimas</t>
  </si>
  <si>
    <t>Ekspertų skaičius</t>
  </si>
  <si>
    <t>Įvertinta paraiškų, skaičius</t>
  </si>
  <si>
    <t>Klaipėdos miesto sporto bazių infrastruktūros plėtros poreikio galimybių studijos parengimas</t>
  </si>
  <si>
    <t>Parengta galimybių studija, vnt</t>
  </si>
  <si>
    <t>Atlikti stogo (Debreceno g. 48) remonto darbai, proc</t>
  </si>
  <si>
    <t xml:space="preserve">Atlikti laiptų-panduso (Debreceno g. 48) remonto darbai, proc </t>
  </si>
  <si>
    <t xml:space="preserve">Atlikti laiptų-panduso (Taikos pr. 61A) remonto darbai, proc </t>
  </si>
  <si>
    <t>Rūbinių ir dušinių remonto darbai, Kretingos g. 23, proc</t>
  </si>
  <si>
    <t>Fasado tinko atnaujinimo darbai Pilies g. 2 A, proc</t>
  </si>
  <si>
    <t>Dujinio oro šildytuvo pakeitimo darbai Pilies g. 2 A, proc</t>
  </si>
  <si>
    <t>Atlikti akustinės sistemos remonto darbai (434 kv.m), proc</t>
  </si>
  <si>
    <t>Balkono turėklų (37,2 kv.m) keitimo darbai, proc</t>
  </si>
  <si>
    <t>Atliktas sporto salės remontas antrame aukšte, proc</t>
  </si>
  <si>
    <t>Atliktas dušų remontas antrame aukšte (dvi patalpos), proc</t>
  </si>
  <si>
    <t>Atliktas baseino langų keitimas ir apdaila, proc</t>
  </si>
  <si>
    <t xml:space="preserve">Reprezentacinių Klaipėdos miesto sporto komandų dalinis finansavimas  </t>
  </si>
  <si>
    <t xml:space="preserve">Stipendijų mokėjimas perspektyviems Klaipėdos miesto sportininkams   </t>
  </si>
  <si>
    <t xml:space="preserve">2018-ųjų metų asignavimų planas pagal 2018-10-25
</t>
  </si>
  <si>
    <t>Sporto ir laisvalaikio komplekso statyba (koncesijos procedūrų vykdymas)</t>
  </si>
  <si>
    <t>Pasirašyta koncesijos sutartis</t>
  </si>
  <si>
    <r>
      <t xml:space="preserve">Irklavimo bazės </t>
    </r>
    <r>
      <rPr>
        <sz val="10"/>
        <rFont val="Times New Roman"/>
        <family val="1"/>
      </rPr>
      <t xml:space="preserve">(Gluosnių skg. 8) modernizavimas </t>
    </r>
  </si>
  <si>
    <t>Vidutinis sportininkų, dalyvavusių programose, skaičius, tūkst.</t>
  </si>
  <si>
    <t>Durų, bei durų su pertvaromis keitimo/ įrengimo darbai Taikos pr. 61, proc</t>
  </si>
  <si>
    <t>SB(P)</t>
  </si>
  <si>
    <t>BĮ KLAIPĖDOS MIESTO LENGVOSIOS ATLETIKOS MOKYKLA</t>
  </si>
  <si>
    <t>SPORTO RENGINIŲ ORGANIZAVIMO POREIKIO SUVESTINĖ</t>
  </si>
  <si>
    <t>Eil. Nr.</t>
  </si>
  <si>
    <t>Renginio pavadinimas*</t>
  </si>
  <si>
    <t>Preliminarus dalyvių skaičius</t>
  </si>
  <si>
    <t>Preliminari renginio data</t>
  </si>
  <si>
    <t>Renginio organizatorius</t>
  </si>
  <si>
    <r>
      <t xml:space="preserve">Planuojamos išlaidų rūšys </t>
    </r>
    <r>
      <rPr>
        <i/>
        <sz val="12"/>
        <color theme="1"/>
        <rFont val="Times New Roman"/>
        <family val="1"/>
        <charset val="186"/>
      </rPr>
      <t>(įvardinti)</t>
    </r>
  </si>
  <si>
    <r>
      <t xml:space="preserve">Suma </t>
    </r>
    <r>
      <rPr>
        <i/>
        <sz val="12"/>
        <color theme="1"/>
        <rFont val="Times New Roman"/>
        <family val="1"/>
        <charset val="186"/>
      </rPr>
      <t>(Eur)</t>
    </r>
  </si>
  <si>
    <t>Renginio partneriai</t>
  </si>
  <si>
    <t>Tradiciniai miesto sporto renginiai</t>
  </si>
  <si>
    <t xml:space="preserve">Tradicinis bėgimas Laisvės gynėjų dienai paminėti </t>
  </si>
  <si>
    <t>sausis</t>
  </si>
  <si>
    <t>BĮ Klaipėdos miesto lengvosios atletikos mokykla</t>
  </si>
  <si>
    <t>Techninis aptarnavimas, prizai, teisėjavimo išlaidos, GMP išlaidos, dizaino paslaugos, transporto paslaugos</t>
  </si>
  <si>
    <t>Klaipėdos miesto mokinių sporto žaidynės "Mero taurė"</t>
  </si>
  <si>
    <t>mokslo metai</t>
  </si>
  <si>
    <t>Klaipėdos miesto moksleivių saviraiškos centras</t>
  </si>
  <si>
    <t>Organizacinės ir bazių nuomos išlaidos</t>
  </si>
  <si>
    <t xml:space="preserve">Prizai, GMP išlaidos, žaidynių nugalėtojų apdovanojimas </t>
  </si>
  <si>
    <t>Sporto festivalis "Vaikai olimpinės gėlės 2019"</t>
  </si>
  <si>
    <t>balandis</t>
  </si>
  <si>
    <t>Klaipėdos m. sportinių šokių klubas “GRACIJA”</t>
  </si>
  <si>
    <t>Organizacinės išlaidos</t>
  </si>
  <si>
    <t>Prizai</t>
  </si>
  <si>
    <t>Tradicinis gatvės krepšinio 3x3 turnyras „Rytas su Time Team“</t>
  </si>
  <si>
    <t>gegužė</t>
  </si>
  <si>
    <t>Klaipėdos vaikų globos namai „Ry-tas, Klaipėdos krepšinio mokykla</t>
  </si>
  <si>
    <t>Judrioji mugė</t>
  </si>
  <si>
    <t>rugsėjis</t>
  </si>
  <si>
    <t>Techninis aptarnavimas, prizai, teisėjavimo išlaidos, GMP išlaidos, dizaino paslaugos, reklama, maitinimas</t>
  </si>
  <si>
    <t>Klaipėdos miesto sporto apdovanojimai</t>
  </si>
  <si>
    <t>lapkritis</t>
  </si>
  <si>
    <t>Techninis aptarnavimas, prizai, dizaino paslaugos, maitinimas</t>
  </si>
  <si>
    <t>Renginiai, skirti žmonėms su negalia</t>
  </si>
  <si>
    <t>Žmonių su negalia šaškių ir šachmatų turnyras, skirtas Lietuvos nepriklausomybės atkūrimo dienai paminėti</t>
  </si>
  <si>
    <t>kovas</t>
  </si>
  <si>
    <t>Prizai, teisėjavimo išlaidos, dizaino paslaugos</t>
  </si>
  <si>
    <t xml:space="preserve">Neįgaliųjų sporto festivalis </t>
  </si>
  <si>
    <t>rugpjūtis</t>
  </si>
  <si>
    <t>Techninis aptarnavimas, prizai, teisėjavimo išlaidos, GMP išlaidos, dizaino paslaugos, maitinimas</t>
  </si>
  <si>
    <t>Sveikatinimo mankštos neįgaliesiems ir senjorams</t>
  </si>
  <si>
    <t>lapkritis - gruodis</t>
  </si>
  <si>
    <t>Sporto klubas "Šansas"</t>
  </si>
  <si>
    <t>Personalas, inventorius, priemonės</t>
  </si>
  <si>
    <t>Patalpų nuoma</t>
  </si>
  <si>
    <t>Žmonių su negalia sporto šventė skirta pasaulinei žmonių su negalia dienai paminėti</t>
  </si>
  <si>
    <t>gruodis</t>
  </si>
  <si>
    <t>Tarptautiniai renginiai</t>
  </si>
  <si>
    <t>Tarptautinis rankų lenkimo turnyras „Nepriklausomybės taurė – 2019“, skirtas Lietuvos nepriklausomybės dienai paminėti</t>
  </si>
  <si>
    <t>vasaris</t>
  </si>
  <si>
    <t>Klaipėdos rankų lenkimo klubas „Rankelė“</t>
  </si>
  <si>
    <t>Tarptautinis rankų lenkimo turnyras „Bocmano ranka“</t>
  </si>
  <si>
    <t>Liepa</t>
  </si>
  <si>
    <t>Tarptautinis paplūdymio tinklinio turnyras</t>
  </si>
  <si>
    <t>liepa</t>
  </si>
  <si>
    <t>Klaipėdos pliažo tinklinio klubas</t>
  </si>
  <si>
    <t>derinama</t>
  </si>
  <si>
    <t>Naujas</t>
  </si>
  <si>
    <t>"Sportas visiems" renginiai</t>
  </si>
  <si>
    <t xml:space="preserve">Jūros šventės šaškių turnyras </t>
  </si>
  <si>
    <t>Netradicinių sporto šakų festivalis</t>
  </si>
  <si>
    <t xml:space="preserve"> Klaipėdos dviračių  festivalis</t>
  </si>
  <si>
    <t>Klaipėdos miesto seniūnaitijų sporto žaidynės</t>
  </si>
  <si>
    <t>Salių nuomą, teisėjavimas, dizainas, medicina, prizai</t>
  </si>
  <si>
    <t>Seniūnaitijų sporto žaidynės zona ir finalai</t>
  </si>
  <si>
    <t>VšĮ sportas visiems</t>
  </si>
  <si>
    <t>Transporto paslauga</t>
  </si>
  <si>
    <t>Riedlenčių ir/ar riedučių čempionatas</t>
  </si>
  <si>
    <t>Riedlenčių federacija</t>
  </si>
  <si>
    <t>UNICEF bėgimas už kiekvieną vaiką</t>
  </si>
  <si>
    <t>birželis</t>
  </si>
  <si>
    <t>UNICEF Lietuva</t>
  </si>
  <si>
    <t>Edukaciniai renginiai</t>
  </si>
  <si>
    <t>Edukacinė programa 1-4 klasių moksleiviams "Lietuva Olimpinėse žaidynėse"</t>
  </si>
  <si>
    <t>vasaris-gegužė</t>
  </si>
  <si>
    <t>Edukacinė programa 5-12 klasių moksleiviams "Kilnus elgesys sporte. Olimpinis judėjimas"</t>
  </si>
  <si>
    <t>Parodos</t>
  </si>
  <si>
    <t xml:space="preserve">Paroda iš Lietuvos Sporto muziejaus </t>
  </si>
  <si>
    <t>sausis-birželis</t>
  </si>
  <si>
    <t>Sportinės fotografijos paroda-konkursas</t>
  </si>
  <si>
    <t>rugsėjis-spalis</t>
  </si>
  <si>
    <t xml:space="preserve">SUDERINTA </t>
  </si>
  <si>
    <t>Raimonda Murašovienė</t>
  </si>
  <si>
    <t>Ugdymo ir kultūros departamento</t>
  </si>
  <si>
    <t>Įstaigos direktoriaus vardas, pavardė, parašas</t>
  </si>
  <si>
    <t xml:space="preserve">Sporto ir kūno kultūros skyriaus vedėjas </t>
  </si>
  <si>
    <r>
      <t xml:space="preserve">Savivaldybės paskolų lėšos </t>
    </r>
    <r>
      <rPr>
        <b/>
        <sz val="10"/>
        <rFont val="Times New Roman"/>
        <family val="1"/>
        <charset val="186"/>
      </rPr>
      <t>SB(P)</t>
    </r>
  </si>
  <si>
    <t>Persipylimo baseino remonto darbai, proc</t>
  </si>
  <si>
    <t>Asmenų, lankančių įstaigą, skaičius</t>
  </si>
  <si>
    <t>Suorganizuota renginių, skč.</t>
  </si>
  <si>
    <t>Valdomų sporto bazių, skaičius</t>
  </si>
  <si>
    <t>Padidintas kapitalas, proc.</t>
  </si>
  <si>
    <t xml:space="preserve">Prestižinių, tarptautinių ir nacionalinių sporto renginių pritraukimas ir organizavimas, viešinimas </t>
  </si>
  <si>
    <t>Miesto bendruomenei aktualių sporto renginių, švenčių organizavimas</t>
  </si>
  <si>
    <t>Suorganizuotas vandens sporto šakų festivalis ir paplūdimio sporto renginiai</t>
  </si>
  <si>
    <t>Įsigytas mikroautobusas (9 vietų), vnt</t>
  </si>
  <si>
    <t>Įsigytas automatinis krepšinio treniruoklis, vnt.</t>
  </si>
  <si>
    <t>Sportinės veiklos projektų dalinis finansavimas:</t>
  </si>
  <si>
    <t>Finansuota projektų, iš viso:</t>
  </si>
  <si>
    <t>Vaikų aikštelių poilsio parke remonto darbai, proc</t>
  </si>
  <si>
    <t>Šuoliaduobių rekonstrukcija Centriniame stadione pagal tarptautinius reikalavimus, vnt</t>
  </si>
  <si>
    <t>Vakarinės žiūrovų tribūnos Centriniame stadione remonto (2400 kv.m.) darbai, proc</t>
  </si>
  <si>
    <t>Atnaujinta patalpų ir įrenginių, objektų skaičius</t>
  </si>
  <si>
    <t>Dujinės katilinės vėdinimo sistemos darbai, Pilies g. 2 A, proc</t>
  </si>
  <si>
    <t>Vykdoma Poilsio parko įrenginių ir Prano Mašioto progimnazijos stadiono priežiūra, proc.</t>
  </si>
  <si>
    <t>Įsigyta gimnastikos čiužinių, vnt</t>
  </si>
  <si>
    <t>Įsigyta kiliminė danga (meninei gimnastikai), vnt</t>
  </si>
  <si>
    <t>Įsigytas praėjimo turniketas, vnt.</t>
  </si>
  <si>
    <t>Įsigyta nugalėtojų pakyla, vnt</t>
  </si>
  <si>
    <t>Valdoma sporto bazių, skaičius</t>
  </si>
  <si>
    <t>Įsigyta nugalėtojų pakyla (12 asmenų), vnt</t>
  </si>
  <si>
    <t>Įsigyta sportinės įrangos, vnt.</t>
  </si>
  <si>
    <t>Suteikta bazių nuomos paslauga, įstaigų skaičius</t>
  </si>
  <si>
    <t>Suteikta bazių paslauga, įstaigų skaičius</t>
  </si>
  <si>
    <t>Finansuota federacijų veikla, skaičius</t>
  </si>
  <si>
    <t>Lankančiųjų neįgaliųjų sporto organizacijas, skaičius</t>
  </si>
  <si>
    <t>Atlikta vidaus patalpų (Daukanto g. 24 II a.) remonto darbų, proc.</t>
  </si>
  <si>
    <t>1.6.1.1</t>
  </si>
  <si>
    <t>6</t>
  </si>
  <si>
    <t xml:space="preserve"> 2019–2021 M. KLAIPĖDOS MIESTO SAVIVALDYBĖS </t>
  </si>
  <si>
    <t>Įsigyta prekių ar reprezentacinių leidinių, vnt.</t>
  </si>
  <si>
    <t>Nuomojama sporto salių bendrojo ugdymo mokyklose, valandų skaičius</t>
  </si>
  <si>
    <t>Įsigyta sportinių dviračių, vnt.</t>
  </si>
  <si>
    <t>Įsigyta meninės gimnastikos įrangos, vnt.</t>
  </si>
  <si>
    <t>Įsigyta imtynių įrangos, vnt.</t>
  </si>
  <si>
    <t>Įsigyta tinklinio įrangos, vnt.</t>
  </si>
  <si>
    <t>Įsigyta aerobinė aikštelė, vnt.</t>
  </si>
  <si>
    <t>Įsigytas mikroautobusas (9 vietų), vnt.</t>
  </si>
  <si>
    <t>Įsigytas mikroautobusas (19 vietų), vnt.</t>
  </si>
  <si>
    <t>Įsigyta org.technikos, vnt.</t>
  </si>
  <si>
    <t>Įsigyta varžybinės įrangos, vnt.</t>
  </si>
  <si>
    <t>Įsigyta spec. treniruoklių, vnt.</t>
  </si>
  <si>
    <t>Įsigyta baldų, vnt.</t>
  </si>
  <si>
    <t>Įgyvendinta Olimpinės dienos programa, vnt.</t>
  </si>
  <si>
    <t>Įsigytas dujinis oro šildytuvas (Pilies g. 2A), vnt.</t>
  </si>
  <si>
    <t>Parengta galimybių studija, vnt.</t>
  </si>
  <si>
    <t>Balkono turėklų (37,2 kv. m) keitimo darbai, proc.</t>
  </si>
  <si>
    <t>Persipylimo baseino remonto darbai, proc.</t>
  </si>
  <si>
    <t>Atlikti akustinės sistemos remonto darbai (434 kv. m), proc.</t>
  </si>
  <si>
    <t>Atliktas sporto salės remontas antrame aukšte, proc.</t>
  </si>
  <si>
    <t>Atliktas dušų remontas antrame aukšte (dvi patalpos), proc.</t>
  </si>
  <si>
    <t>Atliktas baseino langų keitimas ir apdaila, proc.</t>
  </si>
  <si>
    <t>Klaipėdos miesto savivaldybės kūno kultūros sir sporto plėtros programos (Nr. 11) aprašymo                     priedas</t>
  </si>
  <si>
    <r>
      <t xml:space="preserve">Europos Sąjungos paramos lėšos, kurios įtrauktos į Savivaldybės biudžetą </t>
    </r>
    <r>
      <rPr>
        <b/>
        <sz val="10"/>
        <rFont val="Times New Roman"/>
        <family val="1"/>
        <charset val="186"/>
      </rPr>
      <t>SB(ES)</t>
    </r>
  </si>
  <si>
    <r>
      <t>Valstybės biudžeto specialiosios tikslinės dotacijos lėšos</t>
    </r>
    <r>
      <rPr>
        <b/>
        <sz val="10"/>
        <rFont val="Times New Roman"/>
        <family val="1"/>
        <charset val="186"/>
      </rPr>
      <t xml:space="preserve"> SB(VB)</t>
    </r>
  </si>
  <si>
    <t>Lyginamasis variantas</t>
  </si>
  <si>
    <t>Siūlomas keisti 2019-ųjų metų asignavimų planas</t>
  </si>
  <si>
    <t>Skirtumas</t>
  </si>
  <si>
    <t>SB'</t>
  </si>
  <si>
    <t>SB(L)'</t>
  </si>
  <si>
    <t>SB(VB)'</t>
  </si>
  <si>
    <t>SB(ES)'</t>
  </si>
  <si>
    <t>SB(P)'</t>
  </si>
  <si>
    <t>Siūlomas keisti 2020 m. asignavimų planas</t>
  </si>
  <si>
    <t>Siūlomas keisti 2020-ųjų metų lėšų projektas</t>
  </si>
  <si>
    <t>Siūlomas keisti 2021-ųjų metų lėšų projektas</t>
  </si>
  <si>
    <t>Siūlomas keisti 2021 m. asignavimų planas</t>
  </si>
  <si>
    <t>LRVB'</t>
  </si>
  <si>
    <t>Atsinaujinančių energijos išteklių  panaudojimas sporto įstaigų pastatuose („Gintaro“ sporto centre ir Lengvosios atletikos mokykloje)</t>
  </si>
  <si>
    <t>Įstaigų, kuriose įrengtos saulės (fotovoltinės) elektrinės, skaičius</t>
  </si>
  <si>
    <t>Parengta techninių projektų, vnt.</t>
  </si>
  <si>
    <r>
      <rPr>
        <strike/>
        <sz val="10"/>
        <rFont val="Times New Roman"/>
        <family val="1"/>
        <charset val="186"/>
      </rPr>
      <t xml:space="preserve">03 </t>
    </r>
    <r>
      <rPr>
        <sz val="10"/>
        <rFont val="Times New Roman"/>
        <family val="1"/>
        <charset val="186"/>
      </rPr>
      <t>04</t>
    </r>
  </si>
  <si>
    <r>
      <rPr>
        <strike/>
        <sz val="10"/>
        <rFont val="Times New Roman"/>
        <family val="1"/>
        <charset val="186"/>
      </rPr>
      <t xml:space="preserve">04 </t>
    </r>
    <r>
      <rPr>
        <sz val="10"/>
        <rFont val="Times New Roman"/>
        <family val="1"/>
        <charset val="186"/>
      </rPr>
      <t>05</t>
    </r>
  </si>
  <si>
    <t>Siūloma mažinti finansavimo apimtį priemonei, nes viešo konkurso būdu paskirsčius lėšas Sportuojančio vaiko ugdymo programoms, liko nepanaudota 2,7 tūkst. Eur (finansavimą gavo 32 nevyriausybinės sportinę veiklą vykdančios organizacijos, atitikusios nustatytus reikalavimus)</t>
  </si>
  <si>
    <t>Koreguojama pagal 2019-05-30 KMT sprendimą Nr. T2- 135, pagal kurį suteikta neatlygintinai 500 valandų BĮ Klaipėdos miesto visuomenės sveikatos biurui vykdyti sveikatingumo veiklas BĮ Klaipėdos miesto sporto bazių valdymo centro sporto bazėse.</t>
  </si>
  <si>
    <r>
      <t xml:space="preserve">10326 </t>
    </r>
    <r>
      <rPr>
        <strike/>
        <sz val="10"/>
        <color rgb="FFFF0000"/>
        <rFont val="Times New Roman"/>
        <family val="1"/>
        <charset val="186"/>
      </rPr>
      <t>10904</t>
    </r>
  </si>
  <si>
    <t>Siūloma sumažinti priemonės finansavimo apimtį ir atitinkamai vertinimo kriterijų, nes paslaugos suteiktos pigiau, nei numatyta dėl: 1) įvykusių neatlygintinų sporto renginių ir 2) 50 m takelių sukeitimų į 25 m takelius, kurie yra perpus pigesni</t>
  </si>
  <si>
    <t>Vidutinis sportuojančių neįgalių vaikų, skaičius</t>
  </si>
  <si>
    <t>Siūloma įtraukti naują papriemonę ir padidinti priemonės finansinę apimtį, siekiant parengti Gintaro sporto centrui ir Klaipėdos lengvosios atletikos mokyklai paraiškas, kurios bus teikiamos finansavimui gauti saulės elektrinėms įrengti pagal APVA priemonę „Atsinaujinančių energijos išteklių (saulės, vėjo, geoterminės energijos, biokuro ar kitų) panaudojimas visuomeninės ir gyvenamosios (įvairių socialinių grupių asmenims) paskirties pastatuose“.</t>
  </si>
  <si>
    <t>Siūloma sumažinti papriemonės finansavimo apimtį, nes rangos darbai sporto bazės salei S. Daukanto g. 24a yra nupirkti pigiau, nei planuota.</t>
  </si>
  <si>
    <t>Siūloma didinti finansavimo apimtį priemonei ir įtraukti papildomą vertinimo kriterijų bei numatyti jo reikšmę, nes 1) Klaipėdos miesto savivaldybės tarybos 2018-12-20 sprendimu Nr. T2-277 patvirtintos  naujos atlygintinų paslaugų kainos, kurios įsigaliojo nuo 2019 m. sausio 1 d. ir biudžetinės sporto įstaigos pateikė patikslintus duomenis dėl sporto bazių užimtumo (+125 tūkst. Eur) ir 2) siekiant visose sporto mokymo įstaigose sudaryti sąlygas steigti neįgalių vaikų sporto grupes. (iki šiol tik „Viesulo“ sporto centre sportinės gimnastikos sporto šakoje sportavo 4 vaikai su negalia) (+14,1 tūkst. Eur)</t>
  </si>
  <si>
    <t xml:space="preserve">Siūloma didinti priemonės finansavimo apimtį 2019 m., nes reikalingos lėšos jactos „Lietuva“ techninei priežiūrai apmokėti. </t>
  </si>
  <si>
    <r>
      <t xml:space="preserve">5  </t>
    </r>
    <r>
      <rPr>
        <strike/>
        <sz val="10"/>
        <color rgb="FFFF0000"/>
        <rFont val="Times New Roman"/>
        <family val="1"/>
        <charset val="186"/>
      </rPr>
      <t>4</t>
    </r>
  </si>
  <si>
    <r>
      <t xml:space="preserve">7 </t>
    </r>
    <r>
      <rPr>
        <strike/>
        <sz val="10"/>
        <color rgb="FFFF0000"/>
        <rFont val="Times New Roman"/>
        <family val="1"/>
        <charset val="186"/>
      </rPr>
      <t xml:space="preserve"> 4</t>
    </r>
  </si>
  <si>
    <t>Siūloma padidinti finansavimo apimtį papriemonei ir atitinkamai koreguoti rodiklius, nes planuojama atnaujinti riedutininkų rampą Poilsio parke 2019 m. (35 tūkst. Eur) ir 3 įrenginius 2020 m. (65 tūkst. Eur).</t>
  </si>
  <si>
    <t>5</t>
  </si>
  <si>
    <t xml:space="preserve">tūkst. Eur </t>
  </si>
  <si>
    <t>tūkst.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</si>
</sst>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40"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charset val="186"/>
    </font>
    <font>
      <sz val="10"/>
      <name val="Times New Roman"/>
      <family val="1"/>
    </font>
    <font>
      <b/>
      <sz val="10"/>
      <name val="Times New Roman"/>
      <family val="1"/>
    </font>
    <font>
      <b/>
      <u/>
      <sz val="10"/>
      <name val="Times New Roman"/>
      <family val="1"/>
    </font>
    <font>
      <sz val="9"/>
      <color indexed="81"/>
      <name val="Tahoma"/>
      <family val="2"/>
      <charset val="186"/>
    </font>
    <font>
      <b/>
      <sz val="9"/>
      <color indexed="81"/>
      <name val="Tahoma"/>
      <family val="2"/>
      <charset val="186"/>
    </font>
    <font>
      <sz val="10"/>
      <name val="Calibri"/>
      <family val="2"/>
      <charset val="186"/>
      <scheme val="minor"/>
    </font>
    <font>
      <sz val="8"/>
      <name val="Times New Roman"/>
      <family val="1"/>
      <charset val="186"/>
    </font>
    <font>
      <sz val="8"/>
      <name val="Times New Roman"/>
      <family val="1"/>
    </font>
    <font>
      <sz val="8"/>
      <name val="Calibri"/>
      <family val="2"/>
      <charset val="186"/>
      <scheme val="minor"/>
    </font>
    <font>
      <sz val="12"/>
      <name val="Times New Roman"/>
      <family val="1"/>
    </font>
    <font>
      <sz val="10"/>
      <color rgb="FFFF0000"/>
      <name val="Times New Roman"/>
      <family val="1"/>
      <charset val="186"/>
    </font>
    <font>
      <sz val="12"/>
      <name val="Times New Roman"/>
      <family val="1"/>
      <charset val="186"/>
    </font>
    <font>
      <sz val="11"/>
      <name val="Times New Roman"/>
      <family val="1"/>
      <charset val="186"/>
    </font>
    <font>
      <sz val="11"/>
      <color rgb="FF000000"/>
      <name val="Calibri"/>
      <family val="2"/>
      <charset val="186"/>
    </font>
    <font>
      <b/>
      <sz val="11"/>
      <name val="Times New Roman"/>
      <family val="1"/>
      <charset val="186"/>
    </font>
    <font>
      <sz val="9"/>
      <name val="Times New Roman"/>
      <family val="1"/>
      <charset val="186"/>
    </font>
    <font>
      <sz val="9"/>
      <name val="Times New Roman"/>
      <family val="1"/>
    </font>
    <font>
      <b/>
      <sz val="9"/>
      <name val="Times New Roman"/>
      <family val="1"/>
      <charset val="186"/>
    </font>
    <font>
      <sz val="9"/>
      <name val="Calibri"/>
      <family val="2"/>
      <charset val="186"/>
      <scheme val="minor"/>
    </font>
    <font>
      <sz val="11"/>
      <color theme="1"/>
      <name val="Times New Roman"/>
      <family val="1"/>
      <charset val="186"/>
    </font>
    <font>
      <b/>
      <sz val="12"/>
      <color theme="1"/>
      <name val="Times New Roman"/>
      <family val="1"/>
      <charset val="186"/>
    </font>
    <font>
      <sz val="12"/>
      <color theme="1"/>
      <name val="Times New Roman"/>
      <family val="1"/>
      <charset val="186"/>
    </font>
    <font>
      <b/>
      <sz val="9"/>
      <color theme="1"/>
      <name val="Times New Roman"/>
      <family val="1"/>
      <charset val="186"/>
    </font>
    <font>
      <i/>
      <sz val="12"/>
      <color theme="1"/>
      <name val="Times New Roman"/>
      <family val="1"/>
      <charset val="186"/>
    </font>
    <font>
      <b/>
      <sz val="11"/>
      <color theme="1"/>
      <name val="Times New Roman"/>
      <family val="1"/>
      <charset val="186"/>
    </font>
    <font>
      <sz val="9"/>
      <color theme="1"/>
      <name val="Times New Roman"/>
      <family val="1"/>
      <charset val="186"/>
    </font>
    <font>
      <strike/>
      <sz val="10"/>
      <name val="Times New Roman"/>
      <family val="1"/>
      <charset val="186"/>
    </font>
    <font>
      <b/>
      <sz val="12"/>
      <name val="Times New Roman"/>
      <family val="1"/>
      <charset val="186"/>
    </font>
    <font>
      <i/>
      <sz val="10"/>
      <name val="Times New Roman"/>
      <family val="1"/>
      <charset val="186"/>
    </font>
    <font>
      <i/>
      <sz val="10"/>
      <name val="Times New Roman"/>
      <family val="1"/>
    </font>
    <font>
      <strike/>
      <sz val="10"/>
      <name val="Times New Roman"/>
      <family val="1"/>
    </font>
    <font>
      <b/>
      <sz val="10"/>
      <color rgb="FFFF0000"/>
      <name val="Times New Roman"/>
      <family val="1"/>
      <charset val="186"/>
    </font>
    <font>
      <sz val="8"/>
      <color rgb="FFFF0000"/>
      <name val="Times New Roman"/>
      <family val="1"/>
      <charset val="186"/>
    </font>
    <font>
      <i/>
      <sz val="10"/>
      <color rgb="FFFF0000"/>
      <name val="Times New Roman"/>
      <family val="1"/>
      <charset val="186"/>
    </font>
    <font>
      <sz val="10"/>
      <color rgb="FFFF0000"/>
      <name val="Times New Roman"/>
      <family val="1"/>
    </font>
    <font>
      <strike/>
      <sz val="10"/>
      <color rgb="FFFF0000"/>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FF"/>
        <bgColor rgb="FFFFFFFF"/>
      </patternFill>
    </fill>
    <fill>
      <patternFill patternType="solid">
        <fgColor theme="0"/>
        <bgColor rgb="FFD9D9D9"/>
      </patternFill>
    </fill>
    <fill>
      <patternFill patternType="solid">
        <fgColor theme="0"/>
        <bgColor rgb="FFFFFFFF"/>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medium">
        <color indexed="64"/>
      </right>
      <top/>
      <bottom/>
      <diagonal/>
    </border>
    <border>
      <left style="thin">
        <color indexed="64"/>
      </left>
      <right style="thin">
        <color rgb="FF000000"/>
      </right>
      <top style="thin">
        <color indexed="64"/>
      </top>
      <bottom/>
      <diagonal/>
    </border>
    <border>
      <left style="thin">
        <color rgb="FF000000"/>
      </left>
      <right style="medium">
        <color indexed="64"/>
      </right>
      <top style="thin">
        <color indexed="64"/>
      </top>
      <bottom style="thin">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2">
    <xf numFmtId="0" fontId="0" fillId="0" borderId="0"/>
    <xf numFmtId="166" fontId="17" fillId="0" borderId="0" applyBorder="0" applyProtection="0"/>
  </cellStyleXfs>
  <cellXfs count="1803">
    <xf numFmtId="0" fontId="0" fillId="0" borderId="0" xfId="0"/>
    <xf numFmtId="3" fontId="2" fillId="0" borderId="0" xfId="0" applyNumberFormat="1" applyFont="1"/>
    <xf numFmtId="49" fontId="1" fillId="0" borderId="0" xfId="0" applyNumberFormat="1" applyFont="1" applyAlignment="1">
      <alignment horizontal="center" vertical="top"/>
    </xf>
    <xf numFmtId="164" fontId="1" fillId="0" borderId="0" xfId="0" applyNumberFormat="1" applyFont="1" applyAlignment="1">
      <alignment horizontal="center" vertical="top"/>
    </xf>
    <xf numFmtId="3" fontId="4" fillId="0" borderId="28" xfId="0" applyNumberFormat="1" applyFont="1" applyBorder="1" applyAlignment="1">
      <alignment horizontal="center" vertical="top"/>
    </xf>
    <xf numFmtId="3" fontId="5" fillId="4" borderId="34" xfId="0" applyNumberFormat="1" applyFont="1" applyFill="1" applyBorder="1" applyAlignment="1">
      <alignment horizontal="right" vertical="top"/>
    </xf>
    <xf numFmtId="3" fontId="4" fillId="0" borderId="6" xfId="0" applyNumberFormat="1" applyFont="1" applyBorder="1" applyAlignment="1">
      <alignment horizontal="center" vertical="top"/>
    </xf>
    <xf numFmtId="49" fontId="3" fillId="2" borderId="42" xfId="0" applyNumberFormat="1" applyFont="1" applyFill="1" applyBorder="1" applyAlignment="1">
      <alignment horizontal="center" vertical="top"/>
    </xf>
    <xf numFmtId="164" fontId="5" fillId="2" borderId="19" xfId="0" applyNumberFormat="1" applyFont="1" applyFill="1" applyBorder="1" applyAlignment="1">
      <alignment horizontal="center" vertical="top"/>
    </xf>
    <xf numFmtId="49" fontId="3" fillId="2" borderId="43" xfId="0" applyNumberFormat="1" applyFont="1" applyFill="1" applyBorder="1" applyAlignment="1">
      <alignment horizontal="center" vertical="top"/>
    </xf>
    <xf numFmtId="49" fontId="3" fillId="3" borderId="27" xfId="0" applyNumberFormat="1" applyFont="1" applyFill="1" applyBorder="1" applyAlignment="1">
      <alignment horizontal="center" vertical="top"/>
    </xf>
    <xf numFmtId="3" fontId="4" fillId="0" borderId="0" xfId="0" applyNumberFormat="1" applyFont="1" applyBorder="1" applyAlignment="1">
      <alignment vertical="top"/>
    </xf>
    <xf numFmtId="49" fontId="3" fillId="3" borderId="36" xfId="0" applyNumberFormat="1" applyFont="1" applyFill="1" applyBorder="1" applyAlignment="1">
      <alignment horizontal="center" vertical="top"/>
    </xf>
    <xf numFmtId="3" fontId="4" fillId="0" borderId="26" xfId="0" applyNumberFormat="1" applyFont="1" applyBorder="1" applyAlignment="1">
      <alignment horizontal="center" vertical="top"/>
    </xf>
    <xf numFmtId="3" fontId="2" fillId="0" borderId="0" xfId="0" applyNumberFormat="1" applyFont="1" applyBorder="1"/>
    <xf numFmtId="49" fontId="3" fillId="3" borderId="38" xfId="0" applyNumberFormat="1" applyFont="1" applyFill="1" applyBorder="1" applyAlignment="1">
      <alignment horizontal="center" vertical="top"/>
    </xf>
    <xf numFmtId="3" fontId="3" fillId="4" borderId="35" xfId="0" applyNumberFormat="1" applyFont="1" applyFill="1" applyBorder="1" applyAlignment="1">
      <alignment horizontal="center" vertical="top" wrapText="1"/>
    </xf>
    <xf numFmtId="3" fontId="1" fillId="0" borderId="28" xfId="0" applyNumberFormat="1" applyFont="1" applyBorder="1" applyAlignment="1">
      <alignment horizontal="center" vertical="top"/>
    </xf>
    <xf numFmtId="49" fontId="1" fillId="3" borderId="36" xfId="0" applyNumberFormat="1" applyFont="1" applyFill="1" applyBorder="1" applyAlignment="1">
      <alignment horizontal="center" vertical="top"/>
    </xf>
    <xf numFmtId="3" fontId="1" fillId="5" borderId="44" xfId="0" applyNumberFormat="1" applyFont="1" applyFill="1" applyBorder="1" applyAlignment="1">
      <alignment vertical="top" wrapText="1"/>
    </xf>
    <xf numFmtId="3" fontId="4" fillId="0" borderId="22" xfId="0" applyNumberFormat="1" applyFont="1" applyBorder="1" applyAlignment="1">
      <alignment horizontal="center" vertical="top"/>
    </xf>
    <xf numFmtId="3" fontId="5" fillId="0" borderId="29"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49" fontId="3" fillId="2" borderId="52" xfId="0" applyNumberFormat="1" applyFont="1" applyFill="1" applyBorder="1" applyAlignment="1">
      <alignment horizontal="center" vertical="top" wrapText="1"/>
    </xf>
    <xf numFmtId="49" fontId="3" fillId="3" borderId="27"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49" fontId="1" fillId="3" borderId="36" xfId="0" applyNumberFormat="1" applyFont="1" applyFill="1" applyBorder="1" applyAlignment="1">
      <alignment horizontal="center" vertical="top" wrapText="1"/>
    </xf>
    <xf numFmtId="3" fontId="1" fillId="0" borderId="58" xfId="0" applyNumberFormat="1" applyFont="1" applyFill="1" applyBorder="1" applyAlignment="1">
      <alignment horizontal="center" vertical="top" wrapText="1"/>
    </xf>
    <xf numFmtId="3" fontId="1" fillId="5" borderId="39" xfId="0" applyNumberFormat="1" applyFont="1" applyFill="1" applyBorder="1" applyAlignment="1">
      <alignment horizontal="center" vertical="top"/>
    </xf>
    <xf numFmtId="3" fontId="1" fillId="0" borderId="0" xfId="0" applyNumberFormat="1" applyFont="1" applyBorder="1" applyAlignment="1">
      <alignment horizontal="left" vertical="top"/>
    </xf>
    <xf numFmtId="49" fontId="3" fillId="2" borderId="52" xfId="0" applyNumberFormat="1" applyFont="1" applyFill="1" applyBorder="1" applyAlignment="1">
      <alignment horizontal="center" vertical="top"/>
    </xf>
    <xf numFmtId="3" fontId="5" fillId="5" borderId="0" xfId="0" applyNumberFormat="1" applyFont="1" applyFill="1" applyBorder="1" applyAlignment="1">
      <alignment vertical="top" wrapText="1"/>
    </xf>
    <xf numFmtId="3" fontId="5" fillId="0" borderId="30" xfId="0" applyNumberFormat="1" applyFont="1" applyFill="1" applyBorder="1" applyAlignment="1">
      <alignment horizontal="center" vertical="top"/>
    </xf>
    <xf numFmtId="3" fontId="1" fillId="5" borderId="0" xfId="0" applyNumberFormat="1" applyFont="1" applyFill="1" applyBorder="1" applyAlignment="1">
      <alignment horizontal="center" vertical="center"/>
    </xf>
    <xf numFmtId="49" fontId="1" fillId="0" borderId="0" xfId="0" applyNumberFormat="1" applyFont="1" applyFill="1" applyBorder="1" applyAlignment="1">
      <alignment vertical="top"/>
    </xf>
    <xf numFmtId="49" fontId="1" fillId="0" borderId="0" xfId="0" applyNumberFormat="1" applyFont="1" applyAlignment="1">
      <alignment vertical="top"/>
    </xf>
    <xf numFmtId="3" fontId="3" fillId="0" borderId="0" xfId="0" applyNumberFormat="1" applyFont="1" applyFill="1" applyBorder="1" applyAlignment="1">
      <alignment horizontal="left" vertical="top" wrapText="1"/>
    </xf>
    <xf numFmtId="3" fontId="3" fillId="3" borderId="0" xfId="0" applyNumberFormat="1" applyFont="1" applyFill="1" applyBorder="1" applyAlignment="1">
      <alignment horizontal="left" vertical="center" wrapText="1"/>
    </xf>
    <xf numFmtId="3" fontId="3" fillId="3" borderId="0" xfId="0" applyNumberFormat="1" applyFont="1" applyFill="1" applyBorder="1" applyAlignment="1">
      <alignment horizontal="left" vertical="top" wrapText="1"/>
    </xf>
    <xf numFmtId="49" fontId="1" fillId="0" borderId="0" xfId="0" applyNumberFormat="1" applyFont="1"/>
    <xf numFmtId="3" fontId="3" fillId="3" borderId="0" xfId="0" applyNumberFormat="1" applyFont="1" applyFill="1" applyBorder="1" applyAlignment="1">
      <alignment horizontal="left" vertical="top"/>
    </xf>
    <xf numFmtId="3" fontId="4" fillId="0" borderId="54" xfId="0" applyNumberFormat="1" applyFont="1" applyBorder="1" applyAlignment="1">
      <alignment horizontal="center" vertical="top"/>
    </xf>
    <xf numFmtId="3" fontId="4" fillId="0" borderId="34" xfId="0" applyNumberFormat="1" applyFont="1" applyBorder="1" applyAlignment="1">
      <alignment horizontal="center" vertical="top"/>
    </xf>
    <xf numFmtId="49" fontId="1" fillId="3" borderId="38" xfId="0" applyNumberFormat="1" applyFont="1" applyFill="1" applyBorder="1" applyAlignment="1">
      <alignment horizontal="center" vertical="top" wrapText="1"/>
    </xf>
    <xf numFmtId="3" fontId="3" fillId="4" borderId="32"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3" fontId="1" fillId="0" borderId="9" xfId="0" applyNumberFormat="1" applyFont="1" applyFill="1" applyBorder="1" applyAlignment="1">
      <alignment vertical="top" wrapText="1"/>
    </xf>
    <xf numFmtId="3" fontId="1" fillId="0" borderId="2" xfId="0" applyNumberFormat="1" applyFont="1" applyFill="1" applyBorder="1" applyAlignment="1">
      <alignment vertical="top" wrapText="1"/>
    </xf>
    <xf numFmtId="3" fontId="1" fillId="0" borderId="0" xfId="0" applyNumberFormat="1" applyFont="1" applyBorder="1" applyAlignment="1">
      <alignment horizontal="justify"/>
    </xf>
    <xf numFmtId="3" fontId="1" fillId="0" borderId="0" xfId="0" applyNumberFormat="1" applyFont="1" applyAlignment="1">
      <alignment vertical="top" wrapText="1"/>
    </xf>
    <xf numFmtId="0" fontId="1" fillId="0" borderId="0" xfId="0" applyFont="1" applyBorder="1"/>
    <xf numFmtId="0" fontId="9" fillId="0" borderId="0" xfId="0" applyFont="1"/>
    <xf numFmtId="164" fontId="9" fillId="0" borderId="0" xfId="0" applyNumberFormat="1" applyFont="1"/>
    <xf numFmtId="3" fontId="1" fillId="0" borderId="0" xfId="0" applyNumberFormat="1" applyFont="1" applyBorder="1" applyAlignment="1">
      <alignment horizontal="center"/>
    </xf>
    <xf numFmtId="3" fontId="5" fillId="0" borderId="18" xfId="0" applyNumberFormat="1" applyFont="1" applyFill="1" applyBorder="1" applyAlignment="1">
      <alignment horizontal="center" vertical="top"/>
    </xf>
    <xf numFmtId="49" fontId="3" fillId="0" borderId="29" xfId="0" applyNumberFormat="1" applyFont="1" applyBorder="1" applyAlignment="1">
      <alignment horizontal="center" vertical="top" wrapText="1"/>
    </xf>
    <xf numFmtId="3" fontId="1" fillId="0" borderId="58" xfId="0" applyNumberFormat="1" applyFont="1" applyBorder="1" applyAlignment="1">
      <alignment horizontal="center" vertical="top"/>
    </xf>
    <xf numFmtId="3" fontId="4" fillId="0" borderId="12" xfId="0" applyNumberFormat="1" applyFont="1" applyBorder="1" applyAlignment="1">
      <alignment horizontal="center" vertical="top"/>
    </xf>
    <xf numFmtId="3" fontId="1" fillId="0" borderId="57" xfId="0" applyNumberFormat="1" applyFont="1" applyFill="1" applyBorder="1" applyAlignment="1">
      <alignment horizontal="center" vertical="top" wrapText="1"/>
    </xf>
    <xf numFmtId="49" fontId="3" fillId="0" borderId="26" xfId="0" applyNumberFormat="1" applyFont="1" applyBorder="1" applyAlignment="1">
      <alignment vertical="top"/>
    </xf>
    <xf numFmtId="3" fontId="5" fillId="0" borderId="40" xfId="0" applyNumberFormat="1" applyFont="1" applyFill="1" applyBorder="1" applyAlignment="1">
      <alignment horizontal="center" vertical="top"/>
    </xf>
    <xf numFmtId="3" fontId="5" fillId="0" borderId="41" xfId="0" applyNumberFormat="1" applyFont="1" applyFill="1" applyBorder="1" applyAlignment="1">
      <alignment horizontal="center" vertical="top"/>
    </xf>
    <xf numFmtId="0" fontId="1" fillId="0" borderId="37" xfId="0" applyFont="1" applyBorder="1" applyAlignment="1">
      <alignment horizontal="center" vertical="top"/>
    </xf>
    <xf numFmtId="3" fontId="1" fillId="0" borderId="26" xfId="0" applyNumberFormat="1" applyFont="1" applyFill="1" applyBorder="1" applyAlignment="1">
      <alignment horizontal="center" vertical="top" textRotation="90" wrapText="1"/>
    </xf>
    <xf numFmtId="3" fontId="1" fillId="0" borderId="0" xfId="0" applyNumberFormat="1" applyFont="1" applyAlignment="1">
      <alignment horizontal="left" vertical="top"/>
    </xf>
    <xf numFmtId="3" fontId="1" fillId="0" borderId="26" xfId="0" applyNumberFormat="1" applyFont="1" applyBorder="1" applyAlignment="1">
      <alignment horizontal="center" vertical="top"/>
    </xf>
    <xf numFmtId="3" fontId="1" fillId="0" borderId="24" xfId="0" applyNumberFormat="1" applyFont="1" applyFill="1" applyBorder="1" applyAlignment="1">
      <alignment horizontal="center" vertical="top"/>
    </xf>
    <xf numFmtId="3" fontId="3" fillId="0" borderId="30" xfId="0" applyNumberFormat="1" applyFont="1" applyBorder="1" applyAlignment="1">
      <alignment vertical="top"/>
    </xf>
    <xf numFmtId="3" fontId="3" fillId="0" borderId="45" xfId="0" applyNumberFormat="1" applyFont="1" applyBorder="1" applyAlignment="1">
      <alignment vertical="top"/>
    </xf>
    <xf numFmtId="164" fontId="2" fillId="0" borderId="0" xfId="0" applyNumberFormat="1" applyFont="1"/>
    <xf numFmtId="164" fontId="2" fillId="0" borderId="0" xfId="0" applyNumberFormat="1" applyFont="1" applyBorder="1"/>
    <xf numFmtId="3" fontId="1" fillId="0" borderId="45" xfId="0" applyNumberFormat="1" applyFont="1" applyFill="1" applyBorder="1" applyAlignment="1">
      <alignment vertical="top" wrapText="1"/>
    </xf>
    <xf numFmtId="3" fontId="1" fillId="5" borderId="31" xfId="0" applyNumberFormat="1" applyFont="1" applyFill="1" applyBorder="1" applyAlignment="1">
      <alignment horizontal="center" vertical="top"/>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top"/>
    </xf>
    <xf numFmtId="0" fontId="1" fillId="0" borderId="0" xfId="0" applyFont="1" applyBorder="1" applyAlignment="1">
      <alignment vertical="top"/>
    </xf>
    <xf numFmtId="3" fontId="1" fillId="0" borderId="26" xfId="0" applyNumberFormat="1" applyFont="1" applyBorder="1" applyAlignment="1">
      <alignment vertical="top"/>
    </xf>
    <xf numFmtId="3" fontId="1" fillId="0" borderId="22" xfId="0" applyNumberFormat="1" applyFont="1" applyFill="1" applyBorder="1" applyAlignment="1">
      <alignment horizontal="center" vertical="top" textRotation="90" wrapText="1"/>
    </xf>
    <xf numFmtId="3" fontId="5" fillId="0" borderId="45" xfId="0" applyNumberFormat="1" applyFont="1" applyFill="1" applyBorder="1" applyAlignment="1">
      <alignment horizontal="center" vertical="top"/>
    </xf>
    <xf numFmtId="3" fontId="1" fillId="5" borderId="26" xfId="0" applyNumberFormat="1" applyFont="1" applyFill="1" applyBorder="1" applyAlignment="1">
      <alignment vertical="top" wrapText="1"/>
    </xf>
    <xf numFmtId="3" fontId="1" fillId="0" borderId="5" xfId="0" applyNumberFormat="1" applyFont="1" applyFill="1" applyBorder="1" applyAlignment="1">
      <alignment vertical="top" wrapText="1"/>
    </xf>
    <xf numFmtId="49" fontId="3" fillId="2" borderId="27" xfId="0" applyNumberFormat="1" applyFont="1" applyFill="1" applyBorder="1" applyAlignment="1">
      <alignment horizontal="center" vertical="top"/>
    </xf>
    <xf numFmtId="49" fontId="1" fillId="2" borderId="11" xfId="0" applyNumberFormat="1" applyFont="1" applyFill="1" applyBorder="1" applyAlignment="1">
      <alignment horizontal="center" vertical="top"/>
    </xf>
    <xf numFmtId="49" fontId="1" fillId="2" borderId="16"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wrapText="1"/>
    </xf>
    <xf numFmtId="3" fontId="1" fillId="0" borderId="37" xfId="0" applyNumberFormat="1" applyFont="1" applyFill="1" applyBorder="1" applyAlignment="1">
      <alignment horizontal="center" vertical="top" wrapText="1"/>
    </xf>
    <xf numFmtId="3" fontId="1" fillId="0" borderId="18" xfId="0" applyNumberFormat="1" applyFont="1" applyFill="1" applyBorder="1" applyAlignment="1">
      <alignment vertical="top" wrapText="1"/>
    </xf>
    <xf numFmtId="3" fontId="5" fillId="0" borderId="29" xfId="0" applyNumberFormat="1" applyFont="1" applyFill="1" applyBorder="1" applyAlignment="1">
      <alignment horizontal="center" vertical="top"/>
    </xf>
    <xf numFmtId="3" fontId="1" fillId="5" borderId="41" xfId="0" applyNumberFormat="1" applyFont="1" applyFill="1" applyBorder="1" applyAlignment="1">
      <alignment vertical="top" wrapText="1"/>
    </xf>
    <xf numFmtId="3" fontId="1" fillId="0" borderId="9" xfId="0" applyNumberFormat="1" applyFont="1" applyFill="1" applyBorder="1" applyAlignment="1">
      <alignment horizontal="left" vertical="top" wrapText="1"/>
    </xf>
    <xf numFmtId="3" fontId="2" fillId="5" borderId="0" xfId="0" applyNumberFormat="1" applyFont="1" applyFill="1"/>
    <xf numFmtId="164" fontId="1" fillId="0" borderId="31" xfId="0" applyNumberFormat="1" applyFont="1" applyFill="1" applyBorder="1" applyAlignment="1">
      <alignment horizontal="center" vertical="top"/>
    </xf>
    <xf numFmtId="3" fontId="3" fillId="5" borderId="6" xfId="0" applyNumberFormat="1" applyFont="1" applyFill="1" applyBorder="1" applyAlignment="1">
      <alignment horizontal="left" vertical="top" wrapText="1"/>
    </xf>
    <xf numFmtId="49" fontId="1" fillId="0" borderId="26" xfId="0" applyNumberFormat="1" applyFont="1" applyBorder="1" applyAlignment="1">
      <alignment vertical="top" wrapText="1"/>
    </xf>
    <xf numFmtId="49" fontId="3" fillId="0" borderId="34" xfId="0" applyNumberFormat="1" applyFont="1" applyBorder="1" applyAlignment="1">
      <alignment vertical="top"/>
    </xf>
    <xf numFmtId="3" fontId="1" fillId="5" borderId="54" xfId="0" applyNumberFormat="1" applyFont="1" applyFill="1" applyBorder="1" applyAlignment="1">
      <alignment horizontal="center" vertical="top"/>
    </xf>
    <xf numFmtId="3" fontId="1" fillId="5" borderId="34" xfId="0" applyNumberFormat="1" applyFont="1" applyFill="1" applyBorder="1" applyAlignment="1">
      <alignment horizontal="center" vertical="top"/>
    </xf>
    <xf numFmtId="3" fontId="1" fillId="0" borderId="17" xfId="0" applyNumberFormat="1" applyFont="1" applyFill="1" applyBorder="1" applyAlignment="1">
      <alignment vertical="top" wrapText="1"/>
    </xf>
    <xf numFmtId="3" fontId="1" fillId="0" borderId="26" xfId="0" applyNumberFormat="1" applyFont="1" applyFill="1" applyBorder="1" applyAlignment="1">
      <alignment vertical="center" textRotation="90" wrapText="1"/>
    </xf>
    <xf numFmtId="3" fontId="1" fillId="5" borderId="34" xfId="0" applyNumberFormat="1" applyFont="1" applyFill="1" applyBorder="1" applyAlignment="1">
      <alignment vertical="top" wrapText="1"/>
    </xf>
    <xf numFmtId="3" fontId="1" fillId="0" borderId="12" xfId="0" applyNumberFormat="1" applyFont="1" applyFill="1" applyBorder="1" applyAlignment="1">
      <alignment vertical="top" wrapText="1"/>
    </xf>
    <xf numFmtId="3" fontId="5" fillId="5" borderId="47" xfId="0" applyNumberFormat="1" applyFont="1" applyFill="1" applyBorder="1" applyAlignment="1">
      <alignment vertical="top" wrapText="1"/>
    </xf>
    <xf numFmtId="3" fontId="5" fillId="5" borderId="12" xfId="0" applyNumberFormat="1" applyFont="1" applyFill="1" applyBorder="1" applyAlignment="1">
      <alignment vertical="top" wrapText="1"/>
    </xf>
    <xf numFmtId="3" fontId="1" fillId="0" borderId="44" xfId="0" applyNumberFormat="1" applyFont="1" applyBorder="1" applyAlignment="1">
      <alignment horizontal="left" vertical="top" wrapText="1"/>
    </xf>
    <xf numFmtId="3" fontId="1" fillId="0" borderId="48" xfId="0" applyNumberFormat="1" applyFont="1" applyBorder="1" applyAlignment="1">
      <alignment vertical="top" wrapText="1"/>
    </xf>
    <xf numFmtId="3" fontId="1" fillId="0" borderId="6" xfId="0" applyNumberFormat="1" applyFont="1" applyBorder="1" applyAlignment="1">
      <alignment horizontal="left" vertical="top" wrapText="1"/>
    </xf>
    <xf numFmtId="3" fontId="1" fillId="5" borderId="51" xfId="0" applyNumberFormat="1" applyFont="1" applyFill="1" applyBorder="1" applyAlignment="1">
      <alignment vertical="top" wrapText="1"/>
    </xf>
    <xf numFmtId="164" fontId="2" fillId="5" borderId="0" xfId="0" applyNumberFormat="1" applyFont="1" applyFill="1"/>
    <xf numFmtId="3" fontId="2" fillId="5" borderId="0" xfId="0" applyNumberFormat="1" applyFont="1" applyFill="1" applyBorder="1"/>
    <xf numFmtId="164" fontId="2" fillId="5" borderId="0" xfId="0" applyNumberFormat="1" applyFont="1" applyFill="1" applyBorder="1"/>
    <xf numFmtId="165" fontId="1" fillId="0" borderId="45" xfId="0" applyNumberFormat="1" applyFont="1" applyFill="1" applyBorder="1" applyAlignment="1">
      <alignment horizontal="left" vertical="top" wrapText="1"/>
    </xf>
    <xf numFmtId="3" fontId="1" fillId="5" borderId="2" xfId="0" applyNumberFormat="1" applyFont="1" applyFill="1" applyBorder="1" applyAlignment="1">
      <alignment vertical="top" wrapText="1"/>
    </xf>
    <xf numFmtId="3" fontId="5" fillId="0" borderId="0" xfId="0" applyNumberFormat="1" applyFont="1" applyFill="1" applyBorder="1" applyAlignment="1">
      <alignment horizontal="center" vertical="top"/>
    </xf>
    <xf numFmtId="3" fontId="1" fillId="5" borderId="58"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xf>
    <xf numFmtId="3" fontId="3" fillId="4" borderId="22" xfId="0" applyNumberFormat="1" applyFont="1" applyFill="1" applyBorder="1" applyAlignment="1">
      <alignment horizontal="center" vertical="top"/>
    </xf>
    <xf numFmtId="3" fontId="1" fillId="0" borderId="28" xfId="0" applyNumberFormat="1" applyFont="1" applyFill="1" applyBorder="1" applyAlignment="1">
      <alignment horizontal="center" vertical="top"/>
    </xf>
    <xf numFmtId="3" fontId="1" fillId="0" borderId="22" xfId="0" applyNumberFormat="1" applyFont="1" applyFill="1" applyBorder="1" applyAlignment="1">
      <alignment horizontal="center" vertical="top"/>
    </xf>
    <xf numFmtId="3" fontId="3" fillId="4" borderId="35" xfId="0" applyNumberFormat="1" applyFont="1" applyFill="1" applyBorder="1" applyAlignment="1">
      <alignment horizontal="center" vertical="top"/>
    </xf>
    <xf numFmtId="49" fontId="3" fillId="0" borderId="0" xfId="0" applyNumberFormat="1" applyFont="1" applyBorder="1" applyAlignment="1">
      <alignment horizontal="center" vertical="top" wrapText="1"/>
    </xf>
    <xf numFmtId="3" fontId="5" fillId="0" borderId="45" xfId="0" applyNumberFormat="1" applyFont="1" applyFill="1" applyBorder="1" applyAlignment="1">
      <alignment horizontal="center" vertical="top" wrapText="1"/>
    </xf>
    <xf numFmtId="0" fontId="1" fillId="5" borderId="17" xfId="0" applyFont="1" applyFill="1" applyBorder="1" applyAlignment="1">
      <alignment horizontal="left" vertical="top" wrapText="1"/>
    </xf>
    <xf numFmtId="0" fontId="1" fillId="0" borderId="0" xfId="0" applyNumberFormat="1" applyFont="1" applyAlignment="1">
      <alignment horizontal="center" vertical="top"/>
    </xf>
    <xf numFmtId="49" fontId="3" fillId="9" borderId="25" xfId="0" applyNumberFormat="1" applyFont="1" applyFill="1" applyBorder="1" applyAlignment="1">
      <alignment horizontal="center" vertical="top" wrapText="1"/>
    </xf>
    <xf numFmtId="49" fontId="3" fillId="9" borderId="19" xfId="0" applyNumberFormat="1" applyFont="1" applyFill="1" applyBorder="1" applyAlignment="1">
      <alignment horizontal="center" vertical="top"/>
    </xf>
    <xf numFmtId="49" fontId="3" fillId="9" borderId="30" xfId="0" applyNumberFormat="1" applyFont="1" applyFill="1" applyBorder="1" applyAlignment="1">
      <alignment horizontal="center" vertical="top"/>
    </xf>
    <xf numFmtId="49" fontId="3" fillId="9" borderId="45" xfId="0" applyNumberFormat="1" applyFont="1" applyFill="1" applyBorder="1" applyAlignment="1">
      <alignment horizontal="center" vertical="top"/>
    </xf>
    <xf numFmtId="49" fontId="3" fillId="9" borderId="18" xfId="0" applyNumberFormat="1" applyFont="1" applyFill="1" applyBorder="1" applyAlignment="1">
      <alignment horizontal="center" vertical="top"/>
    </xf>
    <xf numFmtId="49" fontId="3" fillId="9" borderId="30" xfId="0" applyNumberFormat="1" applyFont="1" applyFill="1" applyBorder="1" applyAlignment="1">
      <alignment vertical="top"/>
    </xf>
    <xf numFmtId="49" fontId="3" fillId="9" borderId="45" xfId="0" applyNumberFormat="1" applyFont="1" applyFill="1" applyBorder="1" applyAlignment="1">
      <alignment vertical="top"/>
    </xf>
    <xf numFmtId="49" fontId="1" fillId="9" borderId="45" xfId="0" applyNumberFormat="1" applyFont="1" applyFill="1" applyBorder="1" applyAlignment="1">
      <alignment vertical="top"/>
    </xf>
    <xf numFmtId="49" fontId="3" fillId="9" borderId="18" xfId="0" applyNumberFormat="1" applyFont="1" applyFill="1" applyBorder="1" applyAlignment="1">
      <alignment vertical="top"/>
    </xf>
    <xf numFmtId="49" fontId="3" fillId="9" borderId="28" xfId="0" applyNumberFormat="1" applyFont="1" applyFill="1" applyBorder="1" applyAlignment="1">
      <alignment vertical="top"/>
    </xf>
    <xf numFmtId="49" fontId="3" fillId="9" borderId="26" xfId="0" applyNumberFormat="1" applyFont="1" applyFill="1" applyBorder="1" applyAlignment="1">
      <alignment vertical="top"/>
    </xf>
    <xf numFmtId="49" fontId="3" fillId="9" borderId="32" xfId="0" applyNumberFormat="1" applyFont="1" applyFill="1" applyBorder="1" applyAlignment="1">
      <alignment vertical="top"/>
    </xf>
    <xf numFmtId="49" fontId="3" fillId="9" borderId="19" xfId="0" applyNumberFormat="1" applyFont="1" applyFill="1" applyBorder="1" applyAlignment="1">
      <alignment horizontal="center" vertical="top" wrapText="1"/>
    </xf>
    <xf numFmtId="49" fontId="3" fillId="9" borderId="28" xfId="0" applyNumberFormat="1" applyFont="1" applyFill="1" applyBorder="1" applyAlignment="1">
      <alignment vertical="top" wrapText="1"/>
    </xf>
    <xf numFmtId="49" fontId="3" fillId="9" borderId="26" xfId="0" applyNumberFormat="1" applyFont="1" applyFill="1" applyBorder="1" applyAlignment="1">
      <alignment vertical="top" wrapText="1"/>
    </xf>
    <xf numFmtId="49" fontId="1" fillId="9" borderId="32" xfId="0" applyNumberFormat="1" applyFont="1" applyFill="1" applyBorder="1" applyAlignment="1">
      <alignment vertical="top" wrapText="1"/>
    </xf>
    <xf numFmtId="49" fontId="3" fillId="9" borderId="25" xfId="0" applyNumberFormat="1" applyFont="1" applyFill="1" applyBorder="1" applyAlignment="1">
      <alignment horizontal="center" vertical="top"/>
    </xf>
    <xf numFmtId="3" fontId="3" fillId="9" borderId="19" xfId="0" applyNumberFormat="1" applyFont="1" applyFill="1" applyBorder="1" applyAlignment="1">
      <alignment horizontal="left" vertical="top"/>
    </xf>
    <xf numFmtId="3" fontId="3" fillId="9" borderId="21" xfId="0" applyNumberFormat="1" applyFont="1" applyFill="1" applyBorder="1" applyAlignment="1">
      <alignment horizontal="center" vertical="top"/>
    </xf>
    <xf numFmtId="49" fontId="3" fillId="7" borderId="19" xfId="0" applyNumberFormat="1" applyFont="1" applyFill="1" applyBorder="1" applyAlignment="1">
      <alignment vertical="top"/>
    </xf>
    <xf numFmtId="3" fontId="3" fillId="7" borderId="32" xfId="0" applyNumberFormat="1" applyFont="1" applyFill="1" applyBorder="1" applyAlignment="1">
      <alignment horizontal="left" vertical="top"/>
    </xf>
    <xf numFmtId="3" fontId="3" fillId="7" borderId="41" xfId="0" applyNumberFormat="1" applyFont="1" applyFill="1" applyBorder="1" applyAlignment="1">
      <alignment horizontal="center" vertical="top"/>
    </xf>
    <xf numFmtId="49" fontId="1" fillId="9" borderId="26" xfId="0" applyNumberFormat="1" applyFont="1" applyFill="1" applyBorder="1" applyAlignment="1">
      <alignment vertical="top" wrapText="1"/>
    </xf>
    <xf numFmtId="3" fontId="5" fillId="0" borderId="23" xfId="0" applyNumberFormat="1" applyFont="1" applyFill="1" applyBorder="1" applyAlignment="1">
      <alignment horizontal="center" vertical="top" wrapText="1"/>
    </xf>
    <xf numFmtId="49" fontId="1" fillId="3" borderId="37"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3" fontId="3" fillId="3" borderId="0" xfId="0" applyNumberFormat="1" applyFont="1" applyFill="1" applyBorder="1" applyAlignment="1">
      <alignment horizontal="center" vertical="top"/>
    </xf>
    <xf numFmtId="3" fontId="3" fillId="3" borderId="0" xfId="0" applyNumberFormat="1" applyFont="1" applyFill="1" applyBorder="1" applyAlignment="1">
      <alignment horizontal="center" vertical="top" wrapText="1"/>
    </xf>
    <xf numFmtId="3" fontId="1" fillId="3" borderId="0" xfId="0" applyNumberFormat="1" applyFont="1" applyFill="1" applyBorder="1" applyAlignment="1">
      <alignment horizontal="center" vertical="top" wrapText="1"/>
    </xf>
    <xf numFmtId="3" fontId="3" fillId="3" borderId="0"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top"/>
    </xf>
    <xf numFmtId="0" fontId="1" fillId="5" borderId="0" xfId="0" applyFont="1" applyFill="1" applyBorder="1" applyAlignment="1">
      <alignment horizontal="center" vertical="center" wrapText="1"/>
    </xf>
    <xf numFmtId="0" fontId="1" fillId="5" borderId="0" xfId="0" applyFont="1" applyFill="1" applyBorder="1" applyAlignment="1">
      <alignment horizontal="center" vertical="center"/>
    </xf>
    <xf numFmtId="3" fontId="1" fillId="0" borderId="50" xfId="0" applyNumberFormat="1" applyFont="1" applyBorder="1" applyAlignment="1">
      <alignment horizontal="center" vertical="center" textRotation="90"/>
    </xf>
    <xf numFmtId="3" fontId="1" fillId="0" borderId="60" xfId="0" applyNumberFormat="1" applyFont="1" applyBorder="1" applyAlignment="1">
      <alignment horizontal="center" vertical="top"/>
    </xf>
    <xf numFmtId="3" fontId="1" fillId="0" borderId="37" xfId="0" applyNumberFormat="1" applyFont="1" applyBorder="1" applyAlignment="1">
      <alignment horizontal="center" vertical="top"/>
    </xf>
    <xf numFmtId="3" fontId="1" fillId="0" borderId="50" xfId="0" applyNumberFormat="1" applyFont="1" applyBorder="1" applyAlignment="1">
      <alignment horizontal="center" vertical="top"/>
    </xf>
    <xf numFmtId="3" fontId="1" fillId="0" borderId="39" xfId="0" applyNumberFormat="1" applyFont="1" applyBorder="1" applyAlignment="1">
      <alignment vertical="top"/>
    </xf>
    <xf numFmtId="3" fontId="1" fillId="0" borderId="31" xfId="0" applyNumberFormat="1" applyFont="1" applyBorder="1" applyAlignment="1">
      <alignment horizontal="center" vertical="top"/>
    </xf>
    <xf numFmtId="3" fontId="1" fillId="0" borderId="39" xfId="0" applyNumberFormat="1" applyFont="1" applyBorder="1" applyAlignment="1">
      <alignment horizontal="center" vertical="top"/>
    </xf>
    <xf numFmtId="3" fontId="1" fillId="5" borderId="50"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xf>
    <xf numFmtId="3" fontId="1" fillId="3" borderId="31" xfId="0" applyNumberFormat="1" applyFont="1" applyFill="1" applyBorder="1" applyAlignment="1">
      <alignment horizontal="center" vertical="top"/>
    </xf>
    <xf numFmtId="3" fontId="1" fillId="3" borderId="50" xfId="0" applyNumberFormat="1" applyFont="1" applyFill="1" applyBorder="1" applyAlignment="1">
      <alignment horizontal="center" vertical="top"/>
    </xf>
    <xf numFmtId="3" fontId="1" fillId="5" borderId="37" xfId="0" applyNumberFormat="1" applyFont="1" applyFill="1" applyBorder="1" applyAlignment="1">
      <alignment horizontal="center" vertical="top" wrapText="1"/>
    </xf>
    <xf numFmtId="3" fontId="4" fillId="5" borderId="37" xfId="0" applyNumberFormat="1" applyFont="1" applyFill="1" applyBorder="1" applyAlignment="1">
      <alignment horizontal="center" vertical="top" wrapText="1"/>
    </xf>
    <xf numFmtId="3" fontId="4" fillId="5" borderId="58" xfId="0" applyNumberFormat="1" applyFont="1" applyFill="1" applyBorder="1" applyAlignment="1">
      <alignment horizontal="center" vertical="top" wrapText="1"/>
    </xf>
    <xf numFmtId="3" fontId="1" fillId="0" borderId="60" xfId="0" applyNumberFormat="1" applyFont="1" applyFill="1" applyBorder="1" applyAlignment="1">
      <alignment horizontal="center" vertical="top" wrapText="1"/>
    </xf>
    <xf numFmtId="3" fontId="5" fillId="0" borderId="53" xfId="0" applyNumberFormat="1" applyFont="1" applyFill="1" applyBorder="1" applyAlignment="1">
      <alignment horizontal="center" vertical="top" wrapText="1"/>
    </xf>
    <xf numFmtId="3" fontId="3" fillId="0" borderId="26" xfId="0" applyNumberFormat="1" applyFont="1" applyFill="1" applyBorder="1" applyAlignment="1">
      <alignment vertical="top" textRotation="180" wrapText="1"/>
    </xf>
    <xf numFmtId="3" fontId="3" fillId="0" borderId="32" xfId="0" applyNumberFormat="1" applyFont="1" applyFill="1" applyBorder="1" applyAlignment="1">
      <alignment vertical="top" textRotation="180" wrapText="1"/>
    </xf>
    <xf numFmtId="3" fontId="5" fillId="0" borderId="28" xfId="0" applyNumberFormat="1" applyFont="1" applyFill="1" applyBorder="1" applyAlignment="1">
      <alignment textRotation="90"/>
    </xf>
    <xf numFmtId="3" fontId="5" fillId="0" borderId="26" xfId="0" applyNumberFormat="1" applyFont="1" applyFill="1" applyBorder="1" applyAlignment="1">
      <alignment textRotation="90"/>
    </xf>
    <xf numFmtId="3" fontId="5" fillId="0" borderId="26" xfId="0" applyNumberFormat="1" applyFont="1" applyFill="1" applyBorder="1" applyAlignment="1">
      <alignment horizontal="center" textRotation="90"/>
    </xf>
    <xf numFmtId="3" fontId="5" fillId="0" borderId="26"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1" fillId="0" borderId="6" xfId="0" applyNumberFormat="1" applyFont="1" applyFill="1" applyBorder="1" applyAlignment="1">
      <alignment vertical="center" textRotation="90" wrapText="1"/>
    </xf>
    <xf numFmtId="3" fontId="4" fillId="5" borderId="54" xfId="0" applyNumberFormat="1" applyFont="1" applyFill="1" applyBorder="1" applyAlignment="1">
      <alignment horizontal="center" vertical="top"/>
    </xf>
    <xf numFmtId="3" fontId="4" fillId="5" borderId="22" xfId="0" applyNumberFormat="1" applyFont="1" applyFill="1" applyBorder="1" applyAlignment="1">
      <alignment horizontal="center" vertical="top"/>
    </xf>
    <xf numFmtId="3" fontId="1" fillId="0" borderId="34" xfId="0" applyNumberFormat="1" applyFont="1" applyBorder="1" applyAlignment="1">
      <alignment horizontal="center" vertical="top"/>
    </xf>
    <xf numFmtId="3" fontId="3" fillId="4" borderId="54" xfId="0" applyNumberFormat="1" applyFont="1" applyFill="1" applyBorder="1" applyAlignment="1">
      <alignment horizontal="center" vertical="top"/>
    </xf>
    <xf numFmtId="3" fontId="1" fillId="3" borderId="28" xfId="0" applyNumberFormat="1" applyFont="1" applyFill="1" applyBorder="1" applyAlignment="1">
      <alignment horizontal="center" vertical="top" wrapText="1"/>
    </xf>
    <xf numFmtId="3" fontId="1" fillId="0" borderId="34" xfId="0" applyNumberFormat="1" applyFont="1" applyFill="1" applyBorder="1" applyAlignment="1">
      <alignment horizontal="center" vertical="top" textRotation="90" wrapText="1"/>
    </xf>
    <xf numFmtId="3" fontId="1" fillId="3" borderId="34" xfId="0" applyNumberFormat="1" applyFont="1" applyFill="1" applyBorder="1" applyAlignment="1">
      <alignment horizontal="center" vertical="top" wrapText="1"/>
    </xf>
    <xf numFmtId="3" fontId="4" fillId="5" borderId="9" xfId="0" applyNumberFormat="1" applyFont="1" applyFill="1" applyBorder="1" applyAlignment="1">
      <alignment horizontal="left" vertical="top" wrapText="1"/>
    </xf>
    <xf numFmtId="164" fontId="1" fillId="3" borderId="0" xfId="0" applyNumberFormat="1" applyFont="1" applyFill="1" applyBorder="1" applyAlignment="1">
      <alignment horizontal="left" vertical="top" wrapText="1"/>
    </xf>
    <xf numFmtId="3" fontId="11" fillId="0" borderId="4" xfId="0" applyNumberFormat="1" applyFont="1" applyFill="1" applyBorder="1" applyAlignment="1">
      <alignment textRotation="90"/>
    </xf>
    <xf numFmtId="3" fontId="11" fillId="0" borderId="11" xfId="0" applyNumberFormat="1" applyFont="1" applyFill="1" applyBorder="1" applyAlignment="1">
      <alignment textRotation="90"/>
    </xf>
    <xf numFmtId="3" fontId="11" fillId="0" borderId="11" xfId="0" applyNumberFormat="1" applyFont="1" applyBorder="1" applyAlignment="1">
      <alignment vertical="center" textRotation="90"/>
    </xf>
    <xf numFmtId="3" fontId="10" fillId="0" borderId="3" xfId="0" applyNumberFormat="1" applyFont="1" applyFill="1" applyBorder="1" applyAlignment="1">
      <alignment vertical="center" textRotation="90" wrapText="1"/>
    </xf>
    <xf numFmtId="0" fontId="10" fillId="0" borderId="0" xfId="0" applyFont="1" applyAlignment="1">
      <alignment vertical="center" textRotation="90"/>
    </xf>
    <xf numFmtId="3" fontId="10" fillId="0" borderId="0" xfId="0" applyNumberFormat="1" applyFont="1" applyAlignment="1">
      <alignment horizontal="center" vertical="top" textRotation="90"/>
    </xf>
    <xf numFmtId="3" fontId="10" fillId="0" borderId="4" xfId="0" applyNumberFormat="1" applyFont="1" applyFill="1" applyBorder="1" applyAlignment="1">
      <alignment vertical="top" textRotation="90" wrapText="1"/>
    </xf>
    <xf numFmtId="3" fontId="10" fillId="0" borderId="11" xfId="0" applyNumberFormat="1" applyFont="1" applyFill="1" applyBorder="1" applyAlignment="1">
      <alignment vertical="top" textRotation="90" wrapText="1"/>
    </xf>
    <xf numFmtId="3" fontId="10" fillId="0" borderId="10" xfId="0" applyNumberFormat="1" applyFont="1" applyFill="1" applyBorder="1" applyAlignment="1">
      <alignment vertical="top" textRotation="90" wrapText="1"/>
    </xf>
    <xf numFmtId="3" fontId="11" fillId="0" borderId="11" xfId="0" applyNumberFormat="1" applyFont="1" applyFill="1" applyBorder="1" applyAlignment="1">
      <alignment horizontal="center" vertical="center" textRotation="90"/>
    </xf>
    <xf numFmtId="3" fontId="10" fillId="0" borderId="4" xfId="0" applyNumberFormat="1" applyFont="1" applyBorder="1" applyAlignment="1">
      <alignment vertical="top" textRotation="90"/>
    </xf>
    <xf numFmtId="3" fontId="10" fillId="0" borderId="11" xfId="0" applyNumberFormat="1" applyFont="1" applyBorder="1" applyAlignment="1">
      <alignment vertical="top" textRotation="90"/>
    </xf>
    <xf numFmtId="49" fontId="10" fillId="0" borderId="11" xfId="0" applyNumberFormat="1" applyFont="1" applyBorder="1" applyAlignment="1">
      <alignment vertical="top" textRotation="90"/>
    </xf>
    <xf numFmtId="0" fontId="12" fillId="0" borderId="0" xfId="0" applyFont="1" applyAlignment="1">
      <alignment textRotation="90"/>
    </xf>
    <xf numFmtId="3" fontId="11" fillId="0" borderId="10" xfId="0" applyNumberFormat="1" applyFont="1" applyFill="1" applyBorder="1" applyAlignment="1">
      <alignment textRotation="90"/>
    </xf>
    <xf numFmtId="164" fontId="1" fillId="5" borderId="28" xfId="0" applyNumberFormat="1" applyFont="1" applyFill="1" applyBorder="1" applyAlignment="1">
      <alignment horizontal="center" vertical="top"/>
    </xf>
    <xf numFmtId="164" fontId="1" fillId="5" borderId="54" xfId="0" applyNumberFormat="1" applyFont="1" applyFill="1" applyBorder="1" applyAlignment="1">
      <alignment horizontal="center" vertical="top"/>
    </xf>
    <xf numFmtId="164" fontId="3" fillId="4" borderId="35"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4" fillId="5" borderId="34" xfId="0" applyNumberFormat="1" applyFont="1" applyFill="1" applyBorder="1" applyAlignment="1">
      <alignment horizontal="center" vertical="top"/>
    </xf>
    <xf numFmtId="164" fontId="3" fillId="4" borderId="32" xfId="0" applyNumberFormat="1" applyFont="1" applyFill="1" applyBorder="1" applyAlignment="1">
      <alignment horizontal="center" vertical="top"/>
    </xf>
    <xf numFmtId="164" fontId="1" fillId="5" borderId="15" xfId="0" applyNumberFormat="1" applyFont="1" applyFill="1" applyBorder="1" applyAlignment="1">
      <alignment horizontal="center" vertical="top"/>
    </xf>
    <xf numFmtId="164" fontId="3" fillId="4" borderId="33"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164" fontId="4" fillId="5" borderId="55" xfId="0" applyNumberFormat="1" applyFont="1" applyFill="1" applyBorder="1" applyAlignment="1">
      <alignment horizontal="center" vertical="top"/>
    </xf>
    <xf numFmtId="164" fontId="1" fillId="5" borderId="10" xfId="0" applyNumberFormat="1" applyFont="1" applyFill="1" applyBorder="1" applyAlignment="1">
      <alignment horizontal="center" vertical="top"/>
    </xf>
    <xf numFmtId="164" fontId="3" fillId="4" borderId="63"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4" fillId="5" borderId="49" xfId="0" applyNumberFormat="1" applyFont="1" applyFill="1" applyBorder="1" applyAlignment="1">
      <alignment horizontal="center" vertical="top"/>
    </xf>
    <xf numFmtId="164" fontId="3" fillId="4" borderId="16" xfId="0" applyNumberFormat="1" applyFont="1" applyFill="1" applyBorder="1" applyAlignment="1">
      <alignment horizontal="center" vertical="top"/>
    </xf>
    <xf numFmtId="164" fontId="5" fillId="2" borderId="52" xfId="0" applyNumberFormat="1" applyFont="1" applyFill="1" applyBorder="1" applyAlignment="1">
      <alignment horizontal="center" vertical="top"/>
    </xf>
    <xf numFmtId="164" fontId="4" fillId="0" borderId="55" xfId="0" applyNumberFormat="1" applyFont="1" applyBorder="1" applyAlignment="1">
      <alignment horizontal="center" vertical="top"/>
    </xf>
    <xf numFmtId="164" fontId="4" fillId="5" borderId="15" xfId="0" applyNumberFormat="1" applyFont="1" applyFill="1" applyBorder="1" applyAlignment="1">
      <alignment horizontal="center" vertical="top"/>
    </xf>
    <xf numFmtId="164" fontId="5" fillId="4" borderId="41" xfId="0" applyNumberFormat="1" applyFont="1" applyFill="1" applyBorder="1" applyAlignment="1">
      <alignment horizontal="center" vertical="top"/>
    </xf>
    <xf numFmtId="164" fontId="1" fillId="5" borderId="15" xfId="0" applyNumberFormat="1" applyFont="1" applyFill="1" applyBorder="1" applyAlignment="1">
      <alignment horizontal="center" vertical="top" wrapText="1"/>
    </xf>
    <xf numFmtId="164" fontId="4" fillId="5" borderId="54" xfId="0" applyNumberFormat="1" applyFont="1" applyFill="1" applyBorder="1" applyAlignment="1">
      <alignment horizontal="center" vertical="top"/>
    </xf>
    <xf numFmtId="164" fontId="4" fillId="5" borderId="26" xfId="0" applyNumberFormat="1" applyFont="1" applyFill="1" applyBorder="1" applyAlignment="1">
      <alignment horizontal="center" vertical="top"/>
    </xf>
    <xf numFmtId="164" fontId="3" fillId="4" borderId="35" xfId="0" applyNumberFormat="1" applyFont="1" applyFill="1" applyBorder="1" applyAlignment="1">
      <alignment horizontal="center" vertical="top" wrapText="1"/>
    </xf>
    <xf numFmtId="164" fontId="1" fillId="3" borderId="28" xfId="0" applyNumberFormat="1" applyFont="1" applyFill="1" applyBorder="1" applyAlignment="1">
      <alignment horizontal="center" vertical="top"/>
    </xf>
    <xf numFmtId="164" fontId="4" fillId="5" borderId="22" xfId="0" applyNumberFormat="1" applyFont="1" applyFill="1" applyBorder="1" applyAlignment="1">
      <alignment horizontal="center" vertical="top"/>
    </xf>
    <xf numFmtId="164" fontId="5" fillId="4" borderId="32" xfId="0" applyNumberFormat="1" applyFont="1" applyFill="1" applyBorder="1" applyAlignment="1">
      <alignment horizontal="center" vertical="top"/>
    </xf>
    <xf numFmtId="164" fontId="1" fillId="5" borderId="6" xfId="0" applyNumberFormat="1" applyFont="1" applyFill="1" applyBorder="1" applyAlignment="1">
      <alignment horizontal="center" vertical="top" wrapText="1"/>
    </xf>
    <xf numFmtId="164" fontId="1" fillId="5" borderId="54" xfId="0" applyNumberFormat="1" applyFont="1" applyFill="1" applyBorder="1" applyAlignment="1">
      <alignment horizontal="center" vertical="top" wrapText="1"/>
    </xf>
    <xf numFmtId="164" fontId="5" fillId="2" borderId="32" xfId="0" applyNumberFormat="1" applyFont="1" applyFill="1" applyBorder="1" applyAlignment="1">
      <alignment horizontal="center" vertical="top"/>
    </xf>
    <xf numFmtId="164" fontId="4" fillId="5" borderId="10" xfId="0" applyNumberFormat="1" applyFont="1" applyFill="1" applyBorder="1" applyAlignment="1">
      <alignment horizontal="center" vertical="top"/>
    </xf>
    <xf numFmtId="164" fontId="4" fillId="5" borderId="11" xfId="0" applyNumberFormat="1" applyFont="1" applyFill="1" applyBorder="1" applyAlignment="1">
      <alignment horizontal="center" vertical="top"/>
    </xf>
    <xf numFmtId="164" fontId="3" fillId="4" borderId="63" xfId="0" applyNumberFormat="1" applyFont="1" applyFill="1" applyBorder="1" applyAlignment="1">
      <alignment horizontal="center" vertical="top" wrapText="1"/>
    </xf>
    <xf numFmtId="164" fontId="1" fillId="3" borderId="4" xfId="0" applyNumberFormat="1" applyFont="1" applyFill="1" applyBorder="1" applyAlignment="1">
      <alignment horizontal="center" vertical="top"/>
    </xf>
    <xf numFmtId="164" fontId="4" fillId="5" borderId="56" xfId="0" applyNumberFormat="1" applyFont="1" applyFill="1" applyBorder="1" applyAlignment="1">
      <alignment horizontal="center" vertical="top"/>
    </xf>
    <xf numFmtId="164" fontId="5" fillId="4" borderId="16" xfId="0" applyNumberFormat="1" applyFont="1" applyFill="1" applyBorder="1" applyAlignment="1">
      <alignment horizontal="center" vertical="top"/>
    </xf>
    <xf numFmtId="164" fontId="1" fillId="5" borderId="3" xfId="0" applyNumberFormat="1" applyFont="1" applyFill="1" applyBorder="1" applyAlignment="1">
      <alignment horizontal="center" vertical="top" wrapText="1"/>
    </xf>
    <xf numFmtId="164" fontId="1" fillId="5" borderId="10" xfId="0" applyNumberFormat="1" applyFont="1" applyFill="1" applyBorder="1" applyAlignment="1">
      <alignment horizontal="center" vertical="top" wrapText="1"/>
    </xf>
    <xf numFmtId="164" fontId="5" fillId="2" borderId="16" xfId="0" applyNumberFormat="1" applyFont="1" applyFill="1" applyBorder="1" applyAlignment="1">
      <alignment horizontal="center" vertical="top"/>
    </xf>
    <xf numFmtId="164" fontId="1" fillId="5" borderId="6" xfId="0" applyNumberFormat="1" applyFont="1" applyFill="1" applyBorder="1" applyAlignment="1">
      <alignment horizontal="center" vertical="top"/>
    </xf>
    <xf numFmtId="164" fontId="1" fillId="5" borderId="34" xfId="0" applyNumberFormat="1" applyFont="1" applyFill="1" applyBorder="1" applyAlignment="1">
      <alignment horizontal="center" vertical="top"/>
    </xf>
    <xf numFmtId="164" fontId="3" fillId="4" borderId="54" xfId="0" applyNumberFormat="1" applyFont="1" applyFill="1" applyBorder="1" applyAlignment="1">
      <alignment horizontal="center" vertical="top"/>
    </xf>
    <xf numFmtId="164" fontId="4" fillId="5" borderId="55" xfId="0" applyNumberFormat="1" applyFont="1" applyFill="1" applyBorder="1" applyAlignment="1">
      <alignment horizontal="center" vertical="top" wrapText="1"/>
    </xf>
    <xf numFmtId="164" fontId="3" fillId="4" borderId="15" xfId="0" applyNumberFormat="1" applyFont="1" applyFill="1" applyBorder="1" applyAlignment="1">
      <alignment horizontal="center" vertical="top"/>
    </xf>
    <xf numFmtId="164" fontId="4" fillId="5" borderId="49" xfId="0" applyNumberFormat="1" applyFont="1" applyFill="1" applyBorder="1" applyAlignment="1">
      <alignment horizontal="center" vertical="top" wrapText="1"/>
    </xf>
    <xf numFmtId="164" fontId="4" fillId="5" borderId="10" xfId="0" applyNumberFormat="1" applyFont="1" applyFill="1" applyBorder="1" applyAlignment="1">
      <alignment horizontal="center" vertical="top" wrapText="1"/>
    </xf>
    <xf numFmtId="164" fontId="1" fillId="5" borderId="3" xfId="0" applyNumberFormat="1" applyFont="1" applyFill="1" applyBorder="1" applyAlignment="1">
      <alignment horizontal="center" vertical="top"/>
    </xf>
    <xf numFmtId="164" fontId="3" fillId="4" borderId="10" xfId="0" applyNumberFormat="1" applyFont="1" applyFill="1" applyBorder="1" applyAlignment="1">
      <alignment horizontal="center" vertical="top"/>
    </xf>
    <xf numFmtId="164" fontId="1" fillId="5" borderId="26" xfId="0" applyNumberFormat="1" applyFont="1" applyFill="1" applyBorder="1" applyAlignment="1">
      <alignment horizontal="center" vertical="top"/>
    </xf>
    <xf numFmtId="164" fontId="1" fillId="5" borderId="11" xfId="0" applyNumberFormat="1" applyFont="1" applyFill="1" applyBorder="1" applyAlignment="1">
      <alignment horizontal="center" vertical="top"/>
    </xf>
    <xf numFmtId="3" fontId="5" fillId="0" borderId="39" xfId="0" applyNumberFormat="1" applyFont="1" applyFill="1" applyBorder="1" applyAlignment="1">
      <alignment vertical="top"/>
    </xf>
    <xf numFmtId="3" fontId="1" fillId="0" borderId="28" xfId="0" applyNumberFormat="1" applyFont="1" applyBorder="1"/>
    <xf numFmtId="3" fontId="1" fillId="0" borderId="26" xfId="0" applyNumberFormat="1" applyFont="1" applyBorder="1"/>
    <xf numFmtId="3" fontId="1" fillId="0" borderId="48" xfId="0" applyNumberFormat="1" applyFont="1" applyFill="1" applyBorder="1" applyAlignment="1">
      <alignment vertical="top" wrapText="1"/>
    </xf>
    <xf numFmtId="3" fontId="4" fillId="5" borderId="34" xfId="0" applyNumberFormat="1" applyFont="1" applyFill="1" applyBorder="1" applyAlignment="1">
      <alignment horizontal="left" vertical="top" wrapText="1"/>
    </xf>
    <xf numFmtId="3" fontId="4" fillId="5" borderId="26" xfId="0" applyNumberFormat="1" applyFont="1" applyFill="1" applyBorder="1" applyAlignment="1">
      <alignment horizontal="left" vertical="top" wrapText="1"/>
    </xf>
    <xf numFmtId="3" fontId="1" fillId="5" borderId="9" xfId="0" applyNumberFormat="1" applyFont="1" applyFill="1" applyBorder="1" applyAlignment="1">
      <alignment horizontal="left" vertical="top" wrapText="1"/>
    </xf>
    <xf numFmtId="3" fontId="4" fillId="5" borderId="45" xfId="0" applyNumberFormat="1" applyFont="1" applyFill="1" applyBorder="1" applyAlignment="1">
      <alignment vertical="top" wrapText="1"/>
    </xf>
    <xf numFmtId="164" fontId="1" fillId="5" borderId="23" xfId="0" applyNumberFormat="1" applyFont="1" applyFill="1" applyBorder="1" applyAlignment="1">
      <alignment horizontal="center" vertical="top"/>
    </xf>
    <xf numFmtId="164" fontId="1" fillId="5" borderId="14" xfId="0" applyNumberFormat="1" applyFont="1" applyFill="1" applyBorder="1" applyAlignment="1">
      <alignment horizontal="center" vertical="top"/>
    </xf>
    <xf numFmtId="3" fontId="1" fillId="5" borderId="18" xfId="0" applyNumberFormat="1" applyFont="1" applyFill="1" applyBorder="1" applyAlignment="1">
      <alignment vertical="top" wrapText="1"/>
    </xf>
    <xf numFmtId="3" fontId="4" fillId="5" borderId="26" xfId="0" applyNumberFormat="1" applyFont="1" applyFill="1" applyBorder="1" applyAlignment="1">
      <alignment horizontal="center" vertical="top"/>
    </xf>
    <xf numFmtId="3" fontId="3" fillId="0" borderId="45" xfId="0" applyNumberFormat="1" applyFont="1" applyFill="1" applyBorder="1" applyAlignment="1">
      <alignment vertical="top" wrapText="1"/>
    </xf>
    <xf numFmtId="3" fontId="1" fillId="5" borderId="9" xfId="0" applyNumberFormat="1" applyFont="1" applyFill="1" applyBorder="1" applyAlignment="1">
      <alignment vertical="top" wrapText="1"/>
    </xf>
    <xf numFmtId="3" fontId="1" fillId="0" borderId="6" xfId="0" applyNumberFormat="1" applyFont="1" applyFill="1" applyBorder="1" applyAlignment="1">
      <alignment horizontal="left" vertical="top" wrapText="1"/>
    </xf>
    <xf numFmtId="3" fontId="1" fillId="0" borderId="60" xfId="0" applyNumberFormat="1" applyFont="1" applyBorder="1" applyAlignment="1">
      <alignment horizontal="center" vertical="top" wrapText="1"/>
    </xf>
    <xf numFmtId="3" fontId="5" fillId="0" borderId="37" xfId="0" applyNumberFormat="1" applyFont="1" applyFill="1" applyBorder="1" applyAlignment="1">
      <alignment horizontal="center" vertical="top" wrapText="1"/>
    </xf>
    <xf numFmtId="3" fontId="4" fillId="5" borderId="50" xfId="0" applyNumberFormat="1" applyFont="1" applyFill="1" applyBorder="1" applyAlignment="1">
      <alignment horizontal="center" vertical="top" wrapText="1"/>
    </xf>
    <xf numFmtId="49" fontId="1" fillId="0" borderId="27" xfId="0" applyNumberFormat="1" applyFont="1" applyBorder="1" applyAlignment="1">
      <alignment horizontal="center" vertical="center" textRotation="90" wrapText="1"/>
    </xf>
    <xf numFmtId="49" fontId="1" fillId="0" borderId="36" xfId="0" applyNumberFormat="1" applyFont="1" applyBorder="1" applyAlignment="1">
      <alignment horizontal="center" vertical="center" textRotation="90" wrapText="1"/>
    </xf>
    <xf numFmtId="164" fontId="1" fillId="5" borderId="28" xfId="0" applyNumberFormat="1" applyFont="1" applyFill="1" applyBorder="1" applyAlignment="1">
      <alignment horizontal="center" vertical="top" wrapText="1"/>
    </xf>
    <xf numFmtId="164" fontId="1" fillId="5" borderId="0" xfId="0" applyNumberFormat="1" applyFont="1" applyFill="1" applyBorder="1" applyAlignment="1">
      <alignment horizontal="center" vertical="top"/>
    </xf>
    <xf numFmtId="164" fontId="1" fillId="5" borderId="29" xfId="0" applyNumberFormat="1" applyFont="1" applyFill="1" applyBorder="1" applyAlignment="1">
      <alignment horizontal="center" vertical="top"/>
    </xf>
    <xf numFmtId="164" fontId="3" fillId="4" borderId="1" xfId="0" applyNumberFormat="1" applyFont="1" applyFill="1" applyBorder="1" applyAlignment="1">
      <alignment horizontal="center" vertical="top"/>
    </xf>
    <xf numFmtId="164" fontId="1" fillId="5" borderId="53" xfId="0" applyNumberFormat="1" applyFont="1" applyFill="1" applyBorder="1" applyAlignment="1">
      <alignment horizontal="center" vertical="top"/>
    </xf>
    <xf numFmtId="164" fontId="4" fillId="5" borderId="0" xfId="0" applyNumberFormat="1" applyFont="1" applyFill="1" applyBorder="1" applyAlignment="1">
      <alignment horizontal="center" vertical="top"/>
    </xf>
    <xf numFmtId="3" fontId="1" fillId="0" borderId="55" xfId="0" applyNumberFormat="1" applyFont="1" applyBorder="1" applyAlignment="1">
      <alignment horizontal="center" vertical="center" textRotation="90"/>
    </xf>
    <xf numFmtId="3" fontId="1" fillId="0" borderId="66" xfId="0" applyNumberFormat="1" applyFont="1" applyBorder="1" applyAlignment="1">
      <alignment horizontal="center" vertical="center" textRotation="90"/>
    </xf>
    <xf numFmtId="3" fontId="1" fillId="0" borderId="63" xfId="0" applyNumberFormat="1" applyFont="1" applyBorder="1" applyAlignment="1">
      <alignment horizontal="center" vertical="center" textRotation="90"/>
    </xf>
    <xf numFmtId="3" fontId="1" fillId="0" borderId="11" xfId="0" applyNumberFormat="1" applyFont="1" applyBorder="1" applyAlignment="1">
      <alignment horizontal="center" vertical="top"/>
    </xf>
    <xf numFmtId="3" fontId="1" fillId="0" borderId="46" xfId="0" applyNumberFormat="1" applyFont="1" applyBorder="1" applyAlignment="1">
      <alignment horizontal="center" vertical="top"/>
    </xf>
    <xf numFmtId="3" fontId="1" fillId="0" borderId="46" xfId="0" applyNumberFormat="1" applyFont="1" applyBorder="1" applyAlignment="1">
      <alignment horizontal="center" vertical="top" wrapText="1"/>
    </xf>
    <xf numFmtId="3" fontId="1" fillId="0" borderId="53"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1" fillId="0" borderId="41" xfId="0" applyNumberFormat="1" applyFont="1" applyFill="1" applyBorder="1" applyAlignment="1">
      <alignment horizontal="center" vertical="top" wrapText="1"/>
    </xf>
    <xf numFmtId="3" fontId="1" fillId="0" borderId="29"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40" xfId="0" applyNumberFormat="1" applyFont="1" applyFill="1" applyBorder="1" applyAlignment="1">
      <alignment horizontal="center" vertical="top" wrapText="1"/>
    </xf>
    <xf numFmtId="0" fontId="1" fillId="0" borderId="53" xfId="0" applyFont="1" applyBorder="1" applyAlignment="1">
      <alignment horizontal="center" vertical="top" wrapText="1"/>
    </xf>
    <xf numFmtId="0" fontId="1" fillId="0" borderId="49" xfId="0" applyFont="1" applyBorder="1" applyAlignment="1">
      <alignment horizontal="center" vertical="top" wrapText="1"/>
    </xf>
    <xf numFmtId="0" fontId="1" fillId="0" borderId="55"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41" xfId="0" applyFont="1" applyBorder="1" applyAlignment="1">
      <alignment horizontal="center" vertical="top" wrapText="1"/>
    </xf>
    <xf numFmtId="3" fontId="1" fillId="0" borderId="7" xfId="0" applyNumberFormat="1" applyFont="1" applyFill="1" applyBorder="1" applyAlignment="1">
      <alignment horizontal="center" vertical="top" wrapText="1"/>
    </xf>
    <xf numFmtId="3" fontId="1" fillId="0" borderId="3"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wrapText="1"/>
    </xf>
    <xf numFmtId="3" fontId="1" fillId="5" borderId="0" xfId="0" applyNumberFormat="1" applyFont="1" applyFill="1" applyBorder="1" applyAlignment="1">
      <alignment horizontal="center" vertical="top" wrapText="1"/>
    </xf>
    <xf numFmtId="3" fontId="1" fillId="5" borderId="11" xfId="0" applyNumberFormat="1" applyFont="1" applyFill="1" applyBorder="1" applyAlignment="1">
      <alignment horizontal="center" vertical="top" wrapText="1"/>
    </xf>
    <xf numFmtId="3" fontId="1" fillId="5" borderId="46" xfId="0" applyNumberFormat="1" applyFont="1" applyFill="1" applyBorder="1" applyAlignment="1">
      <alignment horizontal="center" vertical="top" wrapText="1"/>
    </xf>
    <xf numFmtId="3" fontId="1" fillId="5" borderId="1" xfId="0" applyNumberFormat="1" applyFont="1" applyFill="1" applyBorder="1" applyAlignment="1">
      <alignment horizontal="center" vertical="top" wrapText="1"/>
    </xf>
    <xf numFmtId="3" fontId="1" fillId="5" borderId="16" xfId="0" applyNumberFormat="1" applyFont="1" applyFill="1" applyBorder="1" applyAlignment="1">
      <alignment horizontal="center" vertical="top" wrapText="1"/>
    </xf>
    <xf numFmtId="3" fontId="1" fillId="5" borderId="41"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wrapText="1"/>
    </xf>
    <xf numFmtId="3" fontId="1" fillId="5" borderId="14" xfId="0" applyNumberFormat="1" applyFont="1" applyFill="1" applyBorder="1" applyAlignment="1">
      <alignment horizontal="center" vertical="top" wrapText="1"/>
    </xf>
    <xf numFmtId="3" fontId="1" fillId="5" borderId="10" xfId="0" applyNumberFormat="1" applyFont="1" applyFill="1" applyBorder="1" applyAlignment="1">
      <alignment horizontal="center" vertical="top" wrapText="1"/>
    </xf>
    <xf numFmtId="3" fontId="1" fillId="5" borderId="15" xfId="0" applyNumberFormat="1" applyFont="1" applyFill="1" applyBorder="1" applyAlignment="1">
      <alignment horizontal="center" vertical="top" wrapText="1"/>
    </xf>
    <xf numFmtId="3" fontId="1" fillId="0" borderId="56"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1" fillId="0" borderId="24" xfId="0" applyNumberFormat="1" applyFont="1" applyBorder="1" applyAlignment="1">
      <alignment horizontal="center" vertical="top" wrapText="1"/>
    </xf>
    <xf numFmtId="165" fontId="1" fillId="0" borderId="11" xfId="0" applyNumberFormat="1" applyFont="1" applyFill="1" applyBorder="1" applyAlignment="1">
      <alignment horizontal="center" vertical="top" wrapText="1"/>
    </xf>
    <xf numFmtId="165" fontId="1" fillId="0" borderId="46" xfId="0" applyNumberFormat="1" applyFont="1" applyFill="1" applyBorder="1" applyAlignment="1">
      <alignment horizontal="center" vertical="top" wrapText="1"/>
    </xf>
    <xf numFmtId="3" fontId="1" fillId="0" borderId="4" xfId="0" applyNumberFormat="1" applyFont="1" applyBorder="1" applyAlignment="1">
      <alignment horizontal="center"/>
    </xf>
    <xf numFmtId="3" fontId="1" fillId="0" borderId="40" xfId="0" applyNumberFormat="1" applyFont="1" applyBorder="1" applyAlignment="1">
      <alignment horizontal="center"/>
    </xf>
    <xf numFmtId="3" fontId="4" fillId="5" borderId="10" xfId="0" applyNumberFormat="1" applyFont="1" applyFill="1" applyBorder="1" applyAlignment="1">
      <alignment horizontal="center" vertical="top" wrapText="1"/>
    </xf>
    <xf numFmtId="3" fontId="4" fillId="5" borderId="15" xfId="0" applyNumberFormat="1" applyFont="1" applyFill="1" applyBorder="1" applyAlignment="1">
      <alignment horizontal="center" vertical="top" wrapText="1"/>
    </xf>
    <xf numFmtId="3" fontId="4" fillId="5" borderId="0" xfId="0" applyNumberFormat="1" applyFont="1" applyFill="1" applyBorder="1" applyAlignment="1">
      <alignment horizontal="center" vertical="top" wrapText="1"/>
    </xf>
    <xf numFmtId="3" fontId="4" fillId="5" borderId="11" xfId="0" applyNumberFormat="1" applyFont="1" applyFill="1" applyBorder="1" applyAlignment="1">
      <alignment horizontal="center" vertical="top" wrapText="1"/>
    </xf>
    <xf numFmtId="3" fontId="4" fillId="5" borderId="46" xfId="0" applyNumberFormat="1" applyFont="1" applyFill="1" applyBorder="1" applyAlignment="1">
      <alignment horizontal="center" vertical="top" wrapText="1"/>
    </xf>
    <xf numFmtId="3" fontId="1" fillId="5" borderId="49" xfId="0" applyNumberFormat="1" applyFont="1" applyFill="1" applyBorder="1" applyAlignment="1">
      <alignment horizontal="center" vertical="top" wrapText="1"/>
    </xf>
    <xf numFmtId="3" fontId="1" fillId="5" borderId="55" xfId="0" applyNumberFormat="1" applyFont="1" applyFill="1" applyBorder="1" applyAlignment="1">
      <alignment horizontal="center" vertical="top" wrapText="1"/>
    </xf>
    <xf numFmtId="3" fontId="1" fillId="5" borderId="56" xfId="0" applyNumberFormat="1" applyFont="1" applyFill="1" applyBorder="1" applyAlignment="1">
      <alignment horizontal="center" vertical="top" wrapText="1"/>
    </xf>
    <xf numFmtId="3" fontId="1" fillId="5" borderId="24" xfId="0" applyNumberFormat="1" applyFont="1" applyFill="1" applyBorder="1" applyAlignment="1">
      <alignment horizontal="center" vertical="top" wrapText="1"/>
    </xf>
    <xf numFmtId="3" fontId="1" fillId="5" borderId="29" xfId="0" applyNumberFormat="1" applyFont="1" applyFill="1" applyBorder="1" applyAlignment="1">
      <alignment horizontal="center" vertical="top" wrapText="1"/>
    </xf>
    <xf numFmtId="3" fontId="1" fillId="5" borderId="4" xfId="0" applyNumberFormat="1" applyFont="1" applyFill="1" applyBorder="1" applyAlignment="1">
      <alignment horizontal="center" vertical="top" wrapText="1"/>
    </xf>
    <xf numFmtId="3" fontId="1" fillId="5" borderId="40"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49" xfId="0" applyNumberFormat="1" applyFont="1" applyBorder="1" applyAlignment="1">
      <alignment horizontal="center" vertical="top" wrapText="1"/>
    </xf>
    <xf numFmtId="3" fontId="4" fillId="0" borderId="55" xfId="0" applyNumberFormat="1" applyFont="1" applyBorder="1" applyAlignment="1">
      <alignment horizontal="center" vertical="top" wrapText="1"/>
    </xf>
    <xf numFmtId="3" fontId="4" fillId="0" borderId="56" xfId="0" applyNumberFormat="1" applyFont="1" applyBorder="1" applyAlignment="1">
      <alignment horizontal="center" vertical="top" wrapText="1"/>
    </xf>
    <xf numFmtId="3" fontId="4" fillId="0" borderId="24" xfId="0" applyNumberFormat="1" applyFont="1" applyBorder="1" applyAlignment="1">
      <alignment horizontal="center" vertical="top" wrapText="1"/>
    </xf>
    <xf numFmtId="49" fontId="5" fillId="2" borderId="20" xfId="0" applyNumberFormat="1" applyFont="1" applyFill="1" applyBorder="1" applyAlignment="1">
      <alignment horizontal="center" vertical="top" wrapText="1"/>
    </xf>
    <xf numFmtId="49" fontId="5" fillId="2" borderId="21" xfId="0" applyNumberFormat="1" applyFont="1" applyFill="1" applyBorder="1" applyAlignment="1">
      <alignment horizontal="center" vertical="top" wrapText="1"/>
    </xf>
    <xf numFmtId="3" fontId="1" fillId="5" borderId="7" xfId="0" applyNumberFormat="1" applyFont="1" applyFill="1" applyBorder="1" applyAlignment="1">
      <alignment horizontal="center" vertical="top" wrapText="1"/>
    </xf>
    <xf numFmtId="3" fontId="1" fillId="5" borderId="3" xfId="0" applyNumberFormat="1" applyFont="1" applyFill="1" applyBorder="1" applyAlignment="1">
      <alignment horizontal="center" vertical="top" wrapText="1"/>
    </xf>
    <xf numFmtId="3" fontId="1" fillId="5" borderId="8" xfId="0" applyNumberFormat="1" applyFont="1" applyFill="1" applyBorder="1" applyAlignment="1">
      <alignment horizontal="center" vertical="top" wrapText="1"/>
    </xf>
    <xf numFmtId="3" fontId="3" fillId="9" borderId="20" xfId="0" applyNumberFormat="1" applyFont="1" applyFill="1" applyBorder="1" applyAlignment="1">
      <alignment horizontal="center" vertical="top"/>
    </xf>
    <xf numFmtId="3" fontId="3" fillId="7" borderId="1" xfId="0" applyNumberFormat="1" applyFont="1" applyFill="1" applyBorder="1" applyAlignment="1">
      <alignment horizontal="center" vertical="top"/>
    </xf>
    <xf numFmtId="164" fontId="1" fillId="3" borderId="0" xfId="0" applyNumberFormat="1" applyFont="1" applyFill="1" applyBorder="1" applyAlignment="1">
      <alignment horizontal="center" vertical="top" wrapText="1"/>
    </xf>
    <xf numFmtId="3" fontId="1" fillId="0" borderId="53" xfId="0" applyNumberFormat="1" applyFont="1" applyBorder="1" applyAlignment="1">
      <alignment horizontal="center" vertical="top" wrapText="1"/>
    </xf>
    <xf numFmtId="3" fontId="1" fillId="0" borderId="49" xfId="0" applyNumberFormat="1" applyFont="1" applyBorder="1" applyAlignment="1">
      <alignment horizontal="center" vertical="top" wrapText="1"/>
    </xf>
    <xf numFmtId="3" fontId="1" fillId="0" borderId="55" xfId="0" applyNumberFormat="1" applyFont="1" applyBorder="1" applyAlignment="1">
      <alignment horizontal="center" vertical="top" wrapText="1"/>
    </xf>
    <xf numFmtId="3" fontId="1" fillId="5" borderId="11" xfId="0" applyNumberFormat="1" applyFont="1" applyFill="1" applyBorder="1" applyAlignment="1">
      <alignment horizontal="center" vertical="top"/>
    </xf>
    <xf numFmtId="164" fontId="1" fillId="0" borderId="4" xfId="0" applyNumberFormat="1" applyFont="1" applyFill="1" applyBorder="1" applyAlignment="1">
      <alignment horizontal="center" vertical="top" wrapText="1"/>
    </xf>
    <xf numFmtId="164" fontId="1" fillId="0" borderId="40" xfId="0" applyNumberFormat="1" applyFont="1" applyFill="1" applyBorder="1" applyAlignment="1">
      <alignment horizontal="center" vertical="top" wrapText="1"/>
    </xf>
    <xf numFmtId="3" fontId="1" fillId="0" borderId="11" xfId="0" applyNumberFormat="1" applyFont="1" applyBorder="1" applyAlignment="1">
      <alignment horizontal="center"/>
    </xf>
    <xf numFmtId="3" fontId="1" fillId="0" borderId="46" xfId="0" applyNumberFormat="1" applyFont="1" applyBorder="1" applyAlignment="1">
      <alignment horizontal="center"/>
    </xf>
    <xf numFmtId="3" fontId="1" fillId="5" borderId="34" xfId="0" applyNumberFormat="1" applyFont="1" applyFill="1" applyBorder="1" applyAlignment="1">
      <alignment horizontal="center" vertical="top" wrapText="1"/>
    </xf>
    <xf numFmtId="3" fontId="1" fillId="5" borderId="22"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xf>
    <xf numFmtId="164" fontId="4" fillId="5" borderId="14" xfId="0" applyNumberFormat="1" applyFont="1" applyFill="1" applyBorder="1" applyAlignment="1">
      <alignment horizontal="center" vertical="top"/>
    </xf>
    <xf numFmtId="164" fontId="3" fillId="4" borderId="33" xfId="0" applyNumberFormat="1" applyFont="1" applyFill="1" applyBorder="1" applyAlignment="1">
      <alignment horizontal="center" vertical="top" wrapText="1"/>
    </xf>
    <xf numFmtId="164" fontId="1" fillId="5" borderId="29" xfId="0" applyNumberFormat="1" applyFont="1" applyFill="1" applyBorder="1" applyAlignment="1">
      <alignment horizontal="center" vertical="top" wrapText="1"/>
    </xf>
    <xf numFmtId="164" fontId="5" fillId="4" borderId="33" xfId="0" applyNumberFormat="1" applyFont="1" applyFill="1" applyBorder="1" applyAlignment="1">
      <alignment horizontal="center" vertical="top"/>
    </xf>
    <xf numFmtId="164" fontId="5" fillId="2" borderId="61"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 fillId="5" borderId="4"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164" fontId="3" fillId="4" borderId="59" xfId="0" applyNumberFormat="1" applyFont="1" applyFill="1" applyBorder="1" applyAlignment="1">
      <alignment horizontal="center" vertical="top"/>
    </xf>
    <xf numFmtId="3" fontId="4" fillId="5" borderId="45" xfId="0" applyNumberFormat="1" applyFont="1" applyFill="1" applyBorder="1" applyAlignment="1">
      <alignment horizontal="center" vertical="top" wrapText="1"/>
    </xf>
    <xf numFmtId="3" fontId="1" fillId="5" borderId="13" xfId="0" applyNumberFormat="1" applyFont="1" applyFill="1" applyBorder="1" applyAlignment="1">
      <alignment vertical="top" wrapText="1"/>
    </xf>
    <xf numFmtId="3" fontId="1" fillId="0" borderId="27" xfId="0" applyNumberFormat="1" applyFont="1" applyFill="1" applyBorder="1" applyAlignment="1">
      <alignment horizontal="center" vertical="top" wrapText="1"/>
    </xf>
    <xf numFmtId="3" fontId="1" fillId="0" borderId="36" xfId="0" applyNumberFormat="1" applyFont="1" applyFill="1" applyBorder="1" applyAlignment="1">
      <alignment horizontal="center" vertical="top" wrapText="1"/>
    </xf>
    <xf numFmtId="3" fontId="1" fillId="0" borderId="64" xfId="0" applyNumberFormat="1" applyFont="1" applyFill="1" applyBorder="1" applyAlignment="1">
      <alignment horizontal="center" vertical="top" wrapText="1"/>
    </xf>
    <xf numFmtId="3" fontId="1" fillId="0" borderId="28" xfId="0" applyNumberFormat="1" applyFont="1" applyBorder="1" applyAlignment="1">
      <alignment horizontal="center"/>
    </xf>
    <xf numFmtId="3" fontId="1" fillId="0" borderId="26" xfId="0" applyNumberFormat="1" applyFont="1" applyBorder="1" applyAlignment="1">
      <alignment horizontal="center"/>
    </xf>
    <xf numFmtId="3" fontId="1" fillId="5" borderId="26" xfId="0" applyNumberFormat="1" applyFont="1" applyFill="1" applyBorder="1" applyAlignment="1">
      <alignment horizontal="center" vertical="top" wrapText="1"/>
    </xf>
    <xf numFmtId="3" fontId="4" fillId="5" borderId="54" xfId="0" applyNumberFormat="1" applyFont="1" applyFill="1" applyBorder="1" applyAlignment="1">
      <alignment horizontal="center" vertical="top" wrapText="1"/>
    </xf>
    <xf numFmtId="3" fontId="4" fillId="5" borderId="26" xfId="0" applyNumberFormat="1" applyFont="1" applyFill="1" applyBorder="1" applyAlignment="1">
      <alignment horizontal="center" vertical="top" wrapText="1"/>
    </xf>
    <xf numFmtId="3" fontId="1" fillId="5" borderId="9" xfId="0" applyNumberFormat="1" applyFont="1" applyFill="1" applyBorder="1" applyAlignment="1">
      <alignment horizontal="center" vertical="top" wrapText="1"/>
    </xf>
    <xf numFmtId="3" fontId="1" fillId="5" borderId="32" xfId="0" applyNumberFormat="1" applyFont="1" applyFill="1" applyBorder="1" applyAlignment="1">
      <alignment horizontal="center" vertical="top" wrapText="1"/>
    </xf>
    <xf numFmtId="3" fontId="1" fillId="5" borderId="13" xfId="0" applyNumberFormat="1" applyFont="1" applyFill="1" applyBorder="1" applyAlignment="1">
      <alignment horizontal="center" vertical="top" wrapText="1"/>
    </xf>
    <xf numFmtId="3" fontId="5" fillId="0" borderId="45" xfId="0" applyNumberFormat="1" applyFont="1" applyFill="1" applyBorder="1" applyAlignment="1">
      <alignment vertical="center" textRotation="90" wrapText="1"/>
    </xf>
    <xf numFmtId="3" fontId="11" fillId="0" borderId="16" xfId="0" applyNumberFormat="1" applyFont="1" applyFill="1" applyBorder="1" applyAlignment="1">
      <alignment vertical="top" textRotation="90" wrapText="1"/>
    </xf>
    <xf numFmtId="3" fontId="3" fillId="0" borderId="60"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49" fontId="3" fillId="5" borderId="37" xfId="0" applyNumberFormat="1" applyFont="1" applyFill="1" applyBorder="1" applyAlignment="1">
      <alignment horizontal="center" vertical="top"/>
    </xf>
    <xf numFmtId="3" fontId="5" fillId="0" borderId="37" xfId="0" applyNumberFormat="1" applyFont="1" applyFill="1" applyBorder="1" applyAlignment="1">
      <alignment vertical="top" wrapText="1"/>
    </xf>
    <xf numFmtId="3" fontId="5" fillId="0" borderId="39" xfId="0" applyNumberFormat="1" applyFont="1" applyFill="1" applyBorder="1" applyAlignment="1">
      <alignment vertical="top" wrapText="1"/>
    </xf>
    <xf numFmtId="3" fontId="11" fillId="0" borderId="49" xfId="0" applyNumberFormat="1" applyFont="1" applyFill="1" applyBorder="1" applyAlignment="1">
      <alignment vertical="top" textRotation="90" wrapText="1"/>
    </xf>
    <xf numFmtId="3" fontId="5" fillId="0" borderId="13" xfId="0" applyNumberFormat="1" applyFont="1" applyFill="1" applyBorder="1" applyAlignment="1">
      <alignment vertical="center" textRotation="90" wrapText="1"/>
    </xf>
    <xf numFmtId="3" fontId="1" fillId="0" borderId="68" xfId="0" applyNumberFormat="1" applyFont="1" applyFill="1" applyBorder="1" applyAlignment="1">
      <alignment horizontal="center" vertical="top" wrapText="1"/>
    </xf>
    <xf numFmtId="3" fontId="4" fillId="0" borderId="64" xfId="0" applyNumberFormat="1" applyFont="1" applyBorder="1" applyAlignment="1">
      <alignment horizontal="center" vertical="top" wrapText="1"/>
    </xf>
    <xf numFmtId="3" fontId="4" fillId="0" borderId="67" xfId="0" applyNumberFormat="1" applyFont="1" applyBorder="1" applyAlignment="1">
      <alignment horizontal="center" vertical="top" wrapText="1"/>
    </xf>
    <xf numFmtId="3" fontId="4" fillId="0" borderId="65" xfId="0" applyNumberFormat="1" applyFont="1" applyBorder="1" applyAlignment="1">
      <alignment horizontal="center" vertical="top" wrapText="1"/>
    </xf>
    <xf numFmtId="3" fontId="1" fillId="5" borderId="23" xfId="0" applyNumberFormat="1" applyFont="1" applyFill="1" applyBorder="1" applyAlignment="1">
      <alignment horizontal="center" vertical="top"/>
    </xf>
    <xf numFmtId="3" fontId="1" fillId="0" borderId="65" xfId="0" applyNumberFormat="1" applyFont="1" applyBorder="1" applyAlignment="1">
      <alignment horizontal="center" vertical="top"/>
    </xf>
    <xf numFmtId="3" fontId="1" fillId="5" borderId="65" xfId="0" applyNumberFormat="1" applyFont="1" applyFill="1" applyBorder="1" applyAlignment="1">
      <alignment horizontal="center" vertical="top"/>
    </xf>
    <xf numFmtId="3" fontId="1" fillId="5" borderId="64" xfId="0" applyNumberFormat="1" applyFont="1" applyFill="1" applyBorder="1" applyAlignment="1">
      <alignment horizontal="center" vertical="top"/>
    </xf>
    <xf numFmtId="3" fontId="1" fillId="0" borderId="36" xfId="0" applyNumberFormat="1" applyFont="1" applyBorder="1" applyAlignment="1">
      <alignment horizontal="center" vertical="top"/>
    </xf>
    <xf numFmtId="3" fontId="1" fillId="0" borderId="6" xfId="0" applyNumberFormat="1" applyFont="1" applyFill="1" applyBorder="1" applyAlignment="1">
      <alignment horizontal="center" vertical="top" wrapText="1"/>
    </xf>
    <xf numFmtId="3" fontId="4" fillId="5" borderId="13" xfId="0" applyNumberFormat="1" applyFont="1" applyFill="1" applyBorder="1" applyAlignment="1">
      <alignment horizontal="center" vertical="top" wrapText="1"/>
    </xf>
    <xf numFmtId="3" fontId="1" fillId="0" borderId="9" xfId="0" applyNumberFormat="1" applyFont="1" applyBorder="1" applyAlignment="1">
      <alignment horizontal="left" vertical="top" wrapText="1"/>
    </xf>
    <xf numFmtId="3" fontId="4" fillId="0" borderId="48" xfId="0" applyNumberFormat="1" applyFont="1" applyFill="1" applyBorder="1" applyAlignment="1">
      <alignment horizontal="left" vertical="top" wrapText="1"/>
    </xf>
    <xf numFmtId="3" fontId="4" fillId="0" borderId="9" xfId="0" applyNumberFormat="1" applyFont="1" applyFill="1" applyBorder="1" applyAlignment="1">
      <alignment horizontal="left" vertical="top" wrapText="1"/>
    </xf>
    <xf numFmtId="3" fontId="4" fillId="0" borderId="13" xfId="0" applyNumberFormat="1" applyFont="1" applyBorder="1" applyAlignment="1">
      <alignment vertical="top" wrapText="1"/>
    </xf>
    <xf numFmtId="49" fontId="10" fillId="0" borderId="49" xfId="0" applyNumberFormat="1" applyFont="1" applyBorder="1" applyAlignment="1">
      <alignment vertical="top" textRotation="90"/>
    </xf>
    <xf numFmtId="49" fontId="3" fillId="0" borderId="22" xfId="0" applyNumberFormat="1" applyFont="1" applyBorder="1" applyAlignment="1">
      <alignment vertical="top"/>
    </xf>
    <xf numFmtId="49" fontId="10" fillId="0" borderId="56" xfId="0" applyNumberFormat="1" applyFont="1" applyBorder="1" applyAlignment="1">
      <alignment vertical="top" textRotation="90"/>
    </xf>
    <xf numFmtId="3" fontId="1" fillId="5" borderId="13" xfId="0" applyNumberFormat="1" applyFont="1" applyFill="1" applyBorder="1" applyAlignment="1">
      <alignment horizontal="center" vertical="top"/>
    </xf>
    <xf numFmtId="3" fontId="1" fillId="5" borderId="45" xfId="0" applyNumberFormat="1" applyFont="1" applyFill="1" applyBorder="1" applyAlignment="1">
      <alignment horizontal="center" vertical="top"/>
    </xf>
    <xf numFmtId="3" fontId="1" fillId="0" borderId="49" xfId="0" applyNumberFormat="1" applyFont="1" applyBorder="1" applyAlignment="1">
      <alignment horizontal="center" vertical="top"/>
    </xf>
    <xf numFmtId="3" fontId="1" fillId="0" borderId="55" xfId="0" applyNumberFormat="1" applyFont="1" applyBorder="1" applyAlignment="1">
      <alignment horizontal="center" vertical="top"/>
    </xf>
    <xf numFmtId="164" fontId="1" fillId="0" borderId="14" xfId="0" applyNumberFormat="1" applyFont="1" applyFill="1" applyBorder="1" applyAlignment="1">
      <alignment horizontal="center" vertical="top" wrapText="1"/>
    </xf>
    <xf numFmtId="164" fontId="1" fillId="5" borderId="7"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wrapText="1"/>
    </xf>
    <xf numFmtId="164" fontId="3" fillId="4" borderId="14" xfId="0" applyNumberFormat="1" applyFont="1" applyFill="1" applyBorder="1" applyAlignment="1">
      <alignment horizontal="center" vertical="top"/>
    </xf>
    <xf numFmtId="164" fontId="3" fillId="5" borderId="14" xfId="0" applyNumberFormat="1" applyFont="1" applyFill="1" applyBorder="1" applyAlignment="1">
      <alignment horizontal="center" vertical="top"/>
    </xf>
    <xf numFmtId="164" fontId="3" fillId="4" borderId="54" xfId="0" applyNumberFormat="1" applyFont="1" applyFill="1" applyBorder="1" applyAlignment="1">
      <alignment horizontal="center" vertical="top" wrapText="1"/>
    </xf>
    <xf numFmtId="164" fontId="3" fillId="4" borderId="15" xfId="0" applyNumberFormat="1" applyFont="1" applyFill="1" applyBorder="1" applyAlignment="1">
      <alignment horizontal="center" vertical="top" wrapText="1"/>
    </xf>
    <xf numFmtId="164" fontId="5" fillId="2" borderId="41" xfId="0" applyNumberFormat="1" applyFont="1" applyFill="1" applyBorder="1" applyAlignment="1">
      <alignment horizontal="center" vertical="top"/>
    </xf>
    <xf numFmtId="164" fontId="1" fillId="0" borderId="10" xfId="0" applyNumberFormat="1" applyFont="1" applyFill="1" applyBorder="1" applyAlignment="1">
      <alignment horizontal="center" vertical="top" wrapText="1"/>
    </xf>
    <xf numFmtId="3" fontId="1" fillId="0" borderId="67"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wrapText="1"/>
    </xf>
    <xf numFmtId="3" fontId="1" fillId="0" borderId="7" xfId="0" applyNumberFormat="1" applyFont="1" applyBorder="1" applyAlignment="1">
      <alignment horizontal="center" vertical="top"/>
    </xf>
    <xf numFmtId="3" fontId="1" fillId="5" borderId="38" xfId="0" applyNumberFormat="1" applyFont="1" applyFill="1" applyBorder="1" applyAlignment="1">
      <alignment horizontal="center" vertical="top" wrapText="1"/>
    </xf>
    <xf numFmtId="3" fontId="1" fillId="5" borderId="39" xfId="0" applyNumberFormat="1" applyFont="1" applyFill="1" applyBorder="1" applyAlignment="1">
      <alignment horizontal="center" vertical="top" wrapText="1"/>
    </xf>
    <xf numFmtId="164" fontId="1" fillId="0" borderId="26" xfId="0" applyNumberFormat="1" applyFont="1" applyBorder="1" applyAlignment="1">
      <alignment horizontal="center" vertical="top"/>
    </xf>
    <xf numFmtId="164" fontId="1" fillId="0" borderId="11" xfId="0" applyNumberFormat="1" applyFont="1" applyBorder="1" applyAlignment="1">
      <alignment horizontal="center" vertical="top"/>
    </xf>
    <xf numFmtId="3" fontId="3" fillId="5" borderId="37" xfId="0" applyNumberFormat="1" applyFont="1" applyFill="1" applyBorder="1" applyAlignment="1">
      <alignment horizontal="center" vertical="top"/>
    </xf>
    <xf numFmtId="3" fontId="3" fillId="5" borderId="39" xfId="0" applyNumberFormat="1" applyFont="1" applyFill="1" applyBorder="1" applyAlignment="1">
      <alignment horizontal="center" vertical="top"/>
    </xf>
    <xf numFmtId="3" fontId="5" fillId="0" borderId="31" xfId="0" applyNumberFormat="1" applyFont="1" applyBorder="1" applyAlignment="1">
      <alignment horizontal="center" vertical="top"/>
    </xf>
    <xf numFmtId="3" fontId="5" fillId="0" borderId="37" xfId="0" applyNumberFormat="1" applyFont="1" applyBorder="1" applyAlignment="1">
      <alignment horizontal="center" vertical="top"/>
    </xf>
    <xf numFmtId="3" fontId="4" fillId="0" borderId="37" xfId="0" applyNumberFormat="1" applyFont="1" applyBorder="1" applyAlignment="1">
      <alignment horizontal="center" vertical="top"/>
    </xf>
    <xf numFmtId="3" fontId="5" fillId="0" borderId="39" xfId="0" applyNumberFormat="1" applyFont="1" applyBorder="1" applyAlignment="1">
      <alignment horizontal="center" vertical="top"/>
    </xf>
    <xf numFmtId="3" fontId="5" fillId="5" borderId="31" xfId="0" applyNumberFormat="1" applyFont="1" applyFill="1" applyBorder="1" applyAlignment="1">
      <alignment horizontal="center" vertical="top"/>
    </xf>
    <xf numFmtId="3" fontId="5" fillId="0" borderId="50" xfId="0" applyNumberFormat="1" applyFont="1" applyBorder="1" applyAlignment="1">
      <alignment horizontal="center" vertical="top"/>
    </xf>
    <xf numFmtId="3" fontId="10" fillId="0" borderId="49" xfId="0" applyNumberFormat="1" applyFont="1" applyFill="1" applyBorder="1" applyAlignment="1">
      <alignment vertical="top" textRotation="90" wrapText="1"/>
    </xf>
    <xf numFmtId="49" fontId="1" fillId="3" borderId="58" xfId="0" applyNumberFormat="1" applyFont="1" applyFill="1" applyBorder="1" applyAlignment="1">
      <alignment horizontal="center" vertical="top"/>
    </xf>
    <xf numFmtId="49" fontId="1" fillId="3" borderId="31" xfId="0" applyNumberFormat="1" applyFont="1" applyFill="1" applyBorder="1" applyAlignment="1">
      <alignment horizontal="center" vertical="top"/>
    </xf>
    <xf numFmtId="49" fontId="1" fillId="3" borderId="39" xfId="0" applyNumberFormat="1" applyFont="1" applyFill="1" applyBorder="1" applyAlignment="1">
      <alignment horizontal="center" vertical="top"/>
    </xf>
    <xf numFmtId="49" fontId="1" fillId="3" borderId="50" xfId="0" applyNumberFormat="1" applyFont="1" applyFill="1" applyBorder="1" applyAlignment="1">
      <alignment horizontal="center" vertical="top"/>
    </xf>
    <xf numFmtId="49" fontId="1" fillId="3" borderId="31" xfId="0" applyNumberFormat="1" applyFont="1" applyFill="1" applyBorder="1" applyAlignment="1">
      <alignment horizontal="center" vertical="top" wrapText="1"/>
    </xf>
    <xf numFmtId="49" fontId="1" fillId="0" borderId="31"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57" xfId="0" applyNumberFormat="1" applyFont="1" applyBorder="1" applyAlignment="1">
      <alignment horizontal="center" vertical="top"/>
    </xf>
    <xf numFmtId="49" fontId="1" fillId="0" borderId="50" xfId="0" applyNumberFormat="1" applyFont="1" applyBorder="1" applyAlignment="1">
      <alignment horizontal="center" vertical="top"/>
    </xf>
    <xf numFmtId="3" fontId="3" fillId="0" borderId="48" xfId="0" applyNumberFormat="1" applyFont="1" applyBorder="1" applyAlignment="1">
      <alignment horizontal="center" vertical="top"/>
    </xf>
    <xf numFmtId="3" fontId="1" fillId="0" borderId="26"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3" fontId="1" fillId="0" borderId="13" xfId="0" applyNumberFormat="1" applyFont="1" applyFill="1" applyBorder="1" applyAlignment="1">
      <alignment vertical="top" wrapText="1"/>
    </xf>
    <xf numFmtId="164" fontId="1" fillId="5" borderId="9" xfId="0" applyNumberFormat="1" applyFont="1" applyFill="1" applyBorder="1" applyAlignment="1">
      <alignment horizontal="center" vertical="top"/>
    </xf>
    <xf numFmtId="164" fontId="1" fillId="5" borderId="58" xfId="0" applyNumberFormat="1" applyFont="1" applyFill="1" applyBorder="1" applyAlignment="1">
      <alignment horizontal="center" vertical="top"/>
    </xf>
    <xf numFmtId="3" fontId="1" fillId="5" borderId="37" xfId="0" applyNumberFormat="1" applyFont="1" applyFill="1" applyBorder="1" applyAlignment="1">
      <alignment horizontal="center" vertical="top"/>
    </xf>
    <xf numFmtId="3" fontId="1" fillId="5" borderId="58" xfId="0" applyNumberFormat="1" applyFont="1" applyFill="1" applyBorder="1" applyAlignment="1">
      <alignment horizontal="center" vertical="top"/>
    </xf>
    <xf numFmtId="3" fontId="1" fillId="5" borderId="53" xfId="0" applyNumberFormat="1" applyFont="1" applyFill="1" applyBorder="1" applyAlignment="1">
      <alignment horizontal="left" vertical="top" wrapText="1"/>
    </xf>
    <xf numFmtId="3" fontId="1" fillId="5" borderId="50" xfId="0" applyNumberFormat="1" applyFont="1" applyFill="1" applyBorder="1" applyAlignment="1">
      <alignment horizontal="center" vertical="top"/>
    </xf>
    <xf numFmtId="3" fontId="1" fillId="5" borderId="53" xfId="0" applyNumberFormat="1" applyFont="1" applyFill="1" applyBorder="1" applyAlignment="1">
      <alignment horizontal="center" vertical="top" wrapText="1"/>
    </xf>
    <xf numFmtId="164" fontId="3" fillId="4" borderId="70" xfId="0" applyNumberFormat="1" applyFont="1" applyFill="1" applyBorder="1" applyAlignment="1">
      <alignment horizontal="center" vertical="top"/>
    </xf>
    <xf numFmtId="3" fontId="1" fillId="5" borderId="71" xfId="0" applyNumberFormat="1" applyFont="1" applyFill="1" applyBorder="1" applyAlignment="1">
      <alignment horizontal="center" vertical="top" wrapText="1"/>
    </xf>
    <xf numFmtId="3" fontId="4" fillId="5" borderId="28" xfId="0" applyNumberFormat="1" applyFont="1" applyFill="1" applyBorder="1" applyAlignment="1">
      <alignment horizontal="center" vertical="top"/>
    </xf>
    <xf numFmtId="164" fontId="1" fillId="5" borderId="4" xfId="0" applyNumberFormat="1" applyFont="1" applyFill="1" applyBorder="1" applyAlignment="1">
      <alignment horizontal="center" vertical="top"/>
    </xf>
    <xf numFmtId="3" fontId="1" fillId="5" borderId="54" xfId="0" applyNumberFormat="1" applyFont="1" applyFill="1" applyBorder="1" applyAlignment="1">
      <alignment horizontal="left" vertical="top" wrapText="1"/>
    </xf>
    <xf numFmtId="3" fontId="1" fillId="0" borderId="10" xfId="0" applyNumberFormat="1" applyFont="1" applyBorder="1" applyAlignment="1">
      <alignment horizontal="center" vertical="top"/>
    </xf>
    <xf numFmtId="164" fontId="1" fillId="5" borderId="46" xfId="0" applyNumberFormat="1" applyFont="1" applyFill="1" applyBorder="1" applyAlignment="1">
      <alignment horizontal="center" vertical="top"/>
    </xf>
    <xf numFmtId="164" fontId="1" fillId="0" borderId="46" xfId="0" applyNumberFormat="1" applyFont="1" applyFill="1" applyBorder="1" applyAlignment="1">
      <alignment horizontal="center" vertical="top"/>
    </xf>
    <xf numFmtId="164" fontId="1" fillId="5" borderId="30" xfId="0" applyNumberFormat="1" applyFont="1" applyFill="1" applyBorder="1" applyAlignment="1">
      <alignment horizontal="center" vertical="top"/>
    </xf>
    <xf numFmtId="164" fontId="1" fillId="5" borderId="40" xfId="0" applyNumberFormat="1" applyFont="1" applyFill="1" applyBorder="1" applyAlignment="1">
      <alignment horizontal="center" vertical="top"/>
    </xf>
    <xf numFmtId="164" fontId="1" fillId="5" borderId="48" xfId="0" applyNumberFormat="1" applyFont="1" applyFill="1" applyBorder="1" applyAlignment="1">
      <alignment horizontal="center" vertical="top"/>
    </xf>
    <xf numFmtId="164" fontId="1" fillId="5" borderId="24" xfId="0" applyNumberFormat="1" applyFont="1" applyFill="1" applyBorder="1" applyAlignment="1">
      <alignment horizontal="center" vertical="top"/>
    </xf>
    <xf numFmtId="164" fontId="1" fillId="5" borderId="22" xfId="0" applyNumberFormat="1" applyFont="1" applyFill="1" applyBorder="1" applyAlignment="1">
      <alignment horizontal="center" vertical="top"/>
    </xf>
    <xf numFmtId="3" fontId="4" fillId="5" borderId="34" xfId="0" applyNumberFormat="1" applyFont="1" applyFill="1" applyBorder="1" applyAlignment="1">
      <alignment horizontal="center" vertical="top"/>
    </xf>
    <xf numFmtId="164" fontId="1" fillId="5" borderId="13" xfId="0" applyNumberFormat="1" applyFont="1" applyFill="1" applyBorder="1" applyAlignment="1">
      <alignment horizontal="center" vertical="top"/>
    </xf>
    <xf numFmtId="164" fontId="1" fillId="5" borderId="55" xfId="0" applyNumberFormat="1" applyFont="1" applyFill="1" applyBorder="1" applyAlignment="1">
      <alignment horizontal="center" vertical="top"/>
    </xf>
    <xf numFmtId="164" fontId="1" fillId="5" borderId="45" xfId="0" applyNumberFormat="1" applyFont="1" applyFill="1" applyBorder="1" applyAlignment="1">
      <alignment horizontal="center" vertical="top"/>
    </xf>
    <xf numFmtId="164" fontId="1" fillId="0" borderId="8" xfId="0" applyNumberFormat="1" applyFont="1" applyFill="1" applyBorder="1" applyAlignment="1">
      <alignment horizontal="center" vertical="top"/>
    </xf>
    <xf numFmtId="164" fontId="3" fillId="4" borderId="11" xfId="0" applyNumberFormat="1" applyFont="1" applyFill="1" applyBorder="1" applyAlignment="1">
      <alignment horizontal="center" vertical="top"/>
    </xf>
    <xf numFmtId="164" fontId="3" fillId="4" borderId="26" xfId="0" applyNumberFormat="1" applyFont="1" applyFill="1" applyBorder="1" applyAlignment="1">
      <alignment horizontal="center" vertical="top"/>
    </xf>
    <xf numFmtId="164" fontId="3" fillId="4" borderId="0" xfId="0" applyNumberFormat="1" applyFont="1" applyFill="1" applyBorder="1" applyAlignment="1">
      <alignment horizontal="center" vertical="top"/>
    </xf>
    <xf numFmtId="164" fontId="1" fillId="5" borderId="2" xfId="0" applyNumberFormat="1" applyFont="1" applyFill="1" applyBorder="1" applyAlignment="1">
      <alignment horizontal="center" vertical="top"/>
    </xf>
    <xf numFmtId="164" fontId="1" fillId="5" borderId="8" xfId="0" applyNumberFormat="1" applyFont="1" applyFill="1" applyBorder="1" applyAlignment="1">
      <alignment horizontal="center" vertical="top"/>
    </xf>
    <xf numFmtId="164" fontId="5" fillId="2" borderId="1" xfId="0" applyNumberFormat="1" applyFont="1" applyFill="1" applyBorder="1" applyAlignment="1">
      <alignment horizontal="center" vertical="top"/>
    </xf>
    <xf numFmtId="164" fontId="4" fillId="5" borderId="24" xfId="0" applyNumberFormat="1" applyFont="1" applyFill="1" applyBorder="1" applyAlignment="1">
      <alignment horizontal="center" vertical="top"/>
    </xf>
    <xf numFmtId="1" fontId="1" fillId="5" borderId="10" xfId="0" applyNumberFormat="1" applyFont="1" applyFill="1" applyBorder="1" applyAlignment="1">
      <alignment horizontal="center" vertical="top" wrapText="1"/>
    </xf>
    <xf numFmtId="3" fontId="1" fillId="5" borderId="47" xfId="0" applyNumberFormat="1" applyFont="1" applyFill="1" applyBorder="1" applyAlignment="1">
      <alignment vertical="top" wrapText="1"/>
    </xf>
    <xf numFmtId="49" fontId="3" fillId="5" borderId="36" xfId="0" applyNumberFormat="1" applyFont="1" applyFill="1" applyBorder="1" applyAlignment="1">
      <alignment horizontal="center" vertical="top"/>
    </xf>
    <xf numFmtId="3" fontId="1" fillId="5" borderId="48" xfId="0" applyNumberFormat="1" applyFont="1" applyFill="1" applyBorder="1" applyAlignment="1">
      <alignment vertical="top" wrapText="1"/>
    </xf>
    <xf numFmtId="1" fontId="1" fillId="5" borderId="56" xfId="0" applyNumberFormat="1" applyFont="1" applyFill="1" applyBorder="1" applyAlignment="1">
      <alignment horizontal="center" vertical="top" wrapText="1"/>
    </xf>
    <xf numFmtId="164" fontId="3" fillId="4" borderId="70" xfId="0" applyNumberFormat="1" applyFont="1" applyFill="1" applyBorder="1" applyAlignment="1">
      <alignment horizontal="center" vertical="top" wrapText="1"/>
    </xf>
    <xf numFmtId="164" fontId="3" fillId="4" borderId="59" xfId="0" applyNumberFormat="1" applyFont="1" applyFill="1" applyBorder="1" applyAlignment="1">
      <alignment horizontal="center" vertical="top" wrapText="1"/>
    </xf>
    <xf numFmtId="164" fontId="1" fillId="3" borderId="40" xfId="0" applyNumberFormat="1" applyFont="1" applyFill="1" applyBorder="1" applyAlignment="1">
      <alignment horizontal="center" vertical="top"/>
    </xf>
    <xf numFmtId="164" fontId="4" fillId="5" borderId="53" xfId="0" applyNumberFormat="1" applyFont="1" applyFill="1" applyBorder="1" applyAlignment="1">
      <alignment horizontal="center" vertical="top"/>
    </xf>
    <xf numFmtId="164" fontId="1" fillId="0" borderId="34" xfId="0" applyNumberFormat="1" applyFont="1" applyFill="1" applyBorder="1" applyAlignment="1">
      <alignment horizontal="center" vertical="top"/>
    </xf>
    <xf numFmtId="164" fontId="1" fillId="0" borderId="49" xfId="0" applyNumberFormat="1" applyFont="1" applyFill="1" applyBorder="1" applyAlignment="1">
      <alignment horizontal="center" vertical="top"/>
    </xf>
    <xf numFmtId="164" fontId="1" fillId="0" borderId="55" xfId="0" applyNumberFormat="1" applyFont="1" applyFill="1" applyBorder="1" applyAlignment="1">
      <alignment horizontal="center" vertical="top"/>
    </xf>
    <xf numFmtId="164" fontId="1" fillId="0" borderId="53" xfId="0" applyNumberFormat="1" applyFont="1" applyFill="1" applyBorder="1" applyAlignment="1">
      <alignment horizontal="center" vertical="top"/>
    </xf>
    <xf numFmtId="164" fontId="4" fillId="3" borderId="26" xfId="0" applyNumberFormat="1" applyFont="1" applyFill="1" applyBorder="1" applyAlignment="1">
      <alignment horizontal="center" vertical="top"/>
    </xf>
    <xf numFmtId="164" fontId="4" fillId="3" borderId="11" xfId="0" applyNumberFormat="1" applyFont="1" applyFill="1" applyBorder="1" applyAlignment="1">
      <alignment horizontal="center" vertical="top"/>
    </xf>
    <xf numFmtId="164" fontId="4" fillId="3" borderId="0" xfId="0" applyNumberFormat="1" applyFont="1" applyFill="1" applyBorder="1" applyAlignment="1">
      <alignment horizontal="center" vertical="top"/>
    </xf>
    <xf numFmtId="164" fontId="5" fillId="4" borderId="35" xfId="0" applyNumberFormat="1" applyFont="1" applyFill="1" applyBorder="1" applyAlignment="1">
      <alignment horizontal="center" vertical="top"/>
    </xf>
    <xf numFmtId="164" fontId="5" fillId="4" borderId="63" xfId="0" applyNumberFormat="1" applyFont="1" applyFill="1" applyBorder="1" applyAlignment="1">
      <alignment horizontal="center" vertical="top"/>
    </xf>
    <xf numFmtId="3" fontId="1" fillId="0" borderId="30" xfId="0" applyNumberFormat="1" applyFont="1" applyFill="1" applyBorder="1" applyAlignment="1">
      <alignment vertical="top" wrapText="1"/>
    </xf>
    <xf numFmtId="164" fontId="5" fillId="4" borderId="39" xfId="0" applyNumberFormat="1" applyFont="1" applyFill="1" applyBorder="1" applyAlignment="1">
      <alignment horizontal="center" vertical="top"/>
    </xf>
    <xf numFmtId="164" fontId="5" fillId="4" borderId="1" xfId="0" applyNumberFormat="1" applyFont="1" applyFill="1" applyBorder="1" applyAlignment="1">
      <alignment horizontal="center" vertical="top"/>
    </xf>
    <xf numFmtId="3" fontId="3" fillId="0" borderId="30" xfId="0" applyNumberFormat="1" applyFont="1" applyBorder="1" applyAlignment="1">
      <alignment horizontal="center" vertical="top"/>
    </xf>
    <xf numFmtId="3" fontId="1" fillId="5" borderId="36" xfId="0" applyNumberFormat="1" applyFont="1" applyFill="1" applyBorder="1" applyAlignment="1">
      <alignment horizontal="center" vertical="top" wrapText="1"/>
    </xf>
    <xf numFmtId="164" fontId="1" fillId="5" borderId="0" xfId="0" applyNumberFormat="1" applyFont="1" applyFill="1" applyBorder="1" applyAlignment="1">
      <alignment horizontal="center" vertical="top" wrapText="1"/>
    </xf>
    <xf numFmtId="164" fontId="4" fillId="5" borderId="34" xfId="0" applyNumberFormat="1" applyFont="1" applyFill="1" applyBorder="1" applyAlignment="1">
      <alignment horizontal="center" vertical="top" wrapText="1"/>
    </xf>
    <xf numFmtId="3" fontId="1" fillId="5" borderId="49" xfId="0" applyNumberFormat="1" applyFont="1" applyFill="1" applyBorder="1" applyAlignment="1">
      <alignment horizontal="center" vertical="top"/>
    </xf>
    <xf numFmtId="3" fontId="1" fillId="5" borderId="53" xfId="0" applyNumberFormat="1" applyFont="1" applyFill="1" applyBorder="1" applyAlignment="1">
      <alignment horizontal="center" vertical="top"/>
    </xf>
    <xf numFmtId="164" fontId="4" fillId="5" borderId="26" xfId="0" applyNumberFormat="1" applyFont="1" applyFill="1" applyBorder="1" applyAlignment="1">
      <alignment horizontal="center" vertical="top" wrapText="1"/>
    </xf>
    <xf numFmtId="164" fontId="4" fillId="5" borderId="11" xfId="0" applyNumberFormat="1" applyFont="1" applyFill="1" applyBorder="1" applyAlignment="1">
      <alignment horizontal="center" vertical="top" wrapText="1"/>
    </xf>
    <xf numFmtId="164" fontId="4" fillId="5" borderId="46" xfId="0" applyNumberFormat="1" applyFont="1" applyFill="1" applyBorder="1" applyAlignment="1">
      <alignment horizontal="center" vertical="top" wrapText="1"/>
    </xf>
    <xf numFmtId="164" fontId="4" fillId="5" borderId="22" xfId="0" applyNumberFormat="1" applyFont="1" applyFill="1" applyBorder="1" applyAlignment="1">
      <alignment horizontal="center" vertical="top" wrapText="1"/>
    </xf>
    <xf numFmtId="164" fontId="4" fillId="5" borderId="56" xfId="0" applyNumberFormat="1" applyFont="1" applyFill="1" applyBorder="1" applyAlignment="1">
      <alignment horizontal="center" vertical="top" wrapText="1"/>
    </xf>
    <xf numFmtId="164" fontId="4" fillId="5" borderId="2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4" fillId="5" borderId="65" xfId="0" applyNumberFormat="1" applyFont="1" applyFill="1" applyBorder="1" applyAlignment="1">
      <alignment horizontal="center" vertical="top" wrapText="1"/>
    </xf>
    <xf numFmtId="3" fontId="4" fillId="5" borderId="49" xfId="0" applyNumberFormat="1" applyFont="1" applyFill="1" applyBorder="1" applyAlignment="1">
      <alignment horizontal="center" vertical="top" wrapText="1"/>
    </xf>
    <xf numFmtId="3" fontId="4" fillId="5" borderId="55" xfId="0" applyNumberFormat="1" applyFont="1" applyFill="1" applyBorder="1" applyAlignment="1">
      <alignment horizontal="center" vertical="top" wrapText="1"/>
    </xf>
    <xf numFmtId="164" fontId="4" fillId="5" borderId="46" xfId="0" applyNumberFormat="1" applyFont="1" applyFill="1" applyBorder="1" applyAlignment="1">
      <alignment horizontal="center" vertical="top"/>
    </xf>
    <xf numFmtId="3" fontId="4" fillId="5" borderId="64" xfId="0" applyNumberFormat="1" applyFont="1" applyFill="1" applyBorder="1" applyAlignment="1">
      <alignment horizontal="center" vertical="top" wrapText="1"/>
    </xf>
    <xf numFmtId="3" fontId="4" fillId="5" borderId="56" xfId="0" applyNumberFormat="1" applyFont="1" applyFill="1" applyBorder="1" applyAlignment="1">
      <alignment horizontal="center" vertical="top" wrapText="1"/>
    </xf>
    <xf numFmtId="3" fontId="4" fillId="5" borderId="24" xfId="0" applyNumberFormat="1" applyFont="1" applyFill="1" applyBorder="1" applyAlignment="1">
      <alignment horizontal="center" vertical="top" wrapText="1"/>
    </xf>
    <xf numFmtId="3" fontId="4" fillId="5" borderId="57" xfId="0" applyNumberFormat="1" applyFont="1" applyFill="1" applyBorder="1" applyAlignment="1">
      <alignment horizontal="center" vertical="top" wrapText="1"/>
    </xf>
    <xf numFmtId="3" fontId="1" fillId="5" borderId="22" xfId="0" applyNumberFormat="1" applyFont="1" applyFill="1" applyBorder="1" applyAlignment="1">
      <alignment horizontal="center" vertical="top"/>
    </xf>
    <xf numFmtId="164" fontId="1" fillId="5" borderId="56" xfId="0" applyNumberFormat="1" applyFont="1" applyFill="1" applyBorder="1" applyAlignment="1">
      <alignment horizontal="center" vertical="top" wrapText="1"/>
    </xf>
    <xf numFmtId="164" fontId="1" fillId="5" borderId="24" xfId="0" applyNumberFormat="1" applyFont="1" applyFill="1" applyBorder="1" applyAlignment="1">
      <alignment horizontal="center" vertical="top" wrapText="1"/>
    </xf>
    <xf numFmtId="164" fontId="1" fillId="5" borderId="22"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5" borderId="26" xfId="0" applyNumberFormat="1" applyFont="1" applyFill="1" applyBorder="1" applyAlignment="1">
      <alignment horizontal="center" vertical="top"/>
    </xf>
    <xf numFmtId="3" fontId="1" fillId="5" borderId="22" xfId="0" applyNumberFormat="1" applyFont="1" applyFill="1" applyBorder="1" applyAlignment="1">
      <alignment vertical="top" wrapText="1"/>
    </xf>
    <xf numFmtId="3" fontId="1" fillId="0" borderId="26" xfId="0" applyNumberFormat="1" applyFont="1" applyFill="1" applyBorder="1" applyAlignment="1">
      <alignment horizontal="center" vertical="top"/>
    </xf>
    <xf numFmtId="164" fontId="1" fillId="5" borderId="7" xfId="0" applyNumberFormat="1" applyFont="1" applyFill="1" applyBorder="1" applyAlignment="1">
      <alignment horizontal="center" vertical="top"/>
    </xf>
    <xf numFmtId="164" fontId="3" fillId="4" borderId="39" xfId="0" applyNumberFormat="1" applyFont="1" applyFill="1" applyBorder="1" applyAlignment="1">
      <alignment horizontal="center" vertical="top"/>
    </xf>
    <xf numFmtId="3" fontId="1" fillId="5" borderId="38" xfId="0" applyNumberFormat="1" applyFont="1" applyFill="1" applyBorder="1" applyAlignment="1">
      <alignment horizontal="center" vertical="top"/>
    </xf>
    <xf numFmtId="164" fontId="4" fillId="5" borderId="4" xfId="0" applyNumberFormat="1" applyFont="1" applyFill="1" applyBorder="1" applyAlignment="1">
      <alignment horizontal="center" vertical="top" wrapText="1"/>
    </xf>
    <xf numFmtId="164" fontId="4" fillId="5" borderId="40" xfId="0" applyNumberFormat="1" applyFont="1" applyFill="1" applyBorder="1" applyAlignment="1">
      <alignment horizontal="center" vertical="top" wrapText="1"/>
    </xf>
    <xf numFmtId="164" fontId="4" fillId="5" borderId="28" xfId="0" applyNumberFormat="1" applyFont="1" applyFill="1" applyBorder="1" applyAlignment="1">
      <alignment horizontal="center" vertical="top" wrapText="1"/>
    </xf>
    <xf numFmtId="3" fontId="4" fillId="0" borderId="10" xfId="0" applyNumberFormat="1" applyFont="1" applyBorder="1" applyAlignment="1">
      <alignment horizontal="center" vertical="top" wrapText="1"/>
    </xf>
    <xf numFmtId="3" fontId="1" fillId="0" borderId="22" xfId="0" applyNumberFormat="1" applyFont="1" applyBorder="1" applyAlignment="1">
      <alignment horizontal="center" vertical="top"/>
    </xf>
    <xf numFmtId="3" fontId="3" fillId="5" borderId="65" xfId="0" applyNumberFormat="1" applyFont="1" applyFill="1" applyBorder="1" applyAlignment="1">
      <alignment horizontal="center" vertical="top" wrapText="1"/>
    </xf>
    <xf numFmtId="3" fontId="5" fillId="5" borderId="64" xfId="0" applyNumberFormat="1" applyFont="1" applyFill="1" applyBorder="1" applyAlignment="1">
      <alignment horizontal="center" vertical="top" wrapText="1"/>
    </xf>
    <xf numFmtId="3" fontId="3" fillId="2" borderId="20" xfId="0" applyNumberFormat="1" applyFont="1" applyFill="1" applyBorder="1" applyAlignment="1">
      <alignment vertical="top" wrapText="1"/>
    </xf>
    <xf numFmtId="164" fontId="3" fillId="4" borderId="74" xfId="0" applyNumberFormat="1" applyFont="1" applyFill="1" applyBorder="1" applyAlignment="1">
      <alignment horizontal="center" vertical="top"/>
    </xf>
    <xf numFmtId="3" fontId="1" fillId="0" borderId="38" xfId="0" applyNumberFormat="1" applyFont="1" applyFill="1" applyBorder="1" applyAlignment="1">
      <alignment horizontal="center" vertical="top" wrapText="1"/>
    </xf>
    <xf numFmtId="164" fontId="5" fillId="2" borderId="20" xfId="0" applyNumberFormat="1" applyFont="1" applyFill="1" applyBorder="1" applyAlignment="1">
      <alignment horizontal="center" vertical="top"/>
    </xf>
    <xf numFmtId="164" fontId="5" fillId="2" borderId="21" xfId="0" applyNumberFormat="1" applyFont="1" applyFill="1" applyBorder="1" applyAlignment="1">
      <alignment horizontal="center" vertical="top"/>
    </xf>
    <xf numFmtId="164" fontId="5" fillId="9" borderId="19" xfId="0" applyNumberFormat="1" applyFont="1" applyFill="1" applyBorder="1" applyAlignment="1">
      <alignment horizontal="center" vertical="top"/>
    </xf>
    <xf numFmtId="164" fontId="5" fillId="9" borderId="52" xfId="0" applyNumberFormat="1" applyFont="1" applyFill="1" applyBorder="1" applyAlignment="1">
      <alignment horizontal="center" vertical="top"/>
    </xf>
    <xf numFmtId="164" fontId="5" fillId="7" borderId="32" xfId="0" applyNumberFormat="1" applyFont="1" applyFill="1" applyBorder="1" applyAlignment="1">
      <alignment horizontal="center" vertical="top"/>
    </xf>
    <xf numFmtId="164" fontId="5" fillId="7" borderId="16" xfId="0" applyNumberFormat="1" applyFont="1" applyFill="1" applyBorder="1" applyAlignment="1">
      <alignment horizontal="center" vertical="top"/>
    </xf>
    <xf numFmtId="164" fontId="5" fillId="7" borderId="10" xfId="0" applyNumberFormat="1" applyFont="1" applyFill="1" applyBorder="1" applyAlignment="1">
      <alignment horizontal="center" vertical="top" wrapText="1"/>
    </xf>
    <xf numFmtId="164" fontId="5" fillId="7" borderId="54" xfId="0" applyNumberFormat="1" applyFont="1" applyFill="1" applyBorder="1" applyAlignment="1">
      <alignment horizontal="center" vertical="top" wrapText="1"/>
    </xf>
    <xf numFmtId="164" fontId="5" fillId="7" borderId="58" xfId="0" applyNumberFormat="1" applyFont="1" applyFill="1" applyBorder="1" applyAlignment="1">
      <alignment horizontal="center" vertical="top" wrapText="1"/>
    </xf>
    <xf numFmtId="164" fontId="4" fillId="0" borderId="22" xfId="0" applyNumberFormat="1" applyFont="1" applyBorder="1" applyAlignment="1">
      <alignment horizontal="center" vertical="top"/>
    </xf>
    <xf numFmtId="164" fontId="4" fillId="0" borderId="56" xfId="0" applyNumberFormat="1" applyFont="1" applyBorder="1" applyAlignment="1">
      <alignment horizontal="center" vertical="top"/>
    </xf>
    <xf numFmtId="164" fontId="4" fillId="0" borderId="24" xfId="0" applyNumberFormat="1" applyFont="1" applyBorder="1" applyAlignment="1">
      <alignment horizontal="center" vertical="top"/>
    </xf>
    <xf numFmtId="164" fontId="4" fillId="0" borderId="57" xfId="0" applyNumberFormat="1" applyFont="1" applyBorder="1" applyAlignment="1">
      <alignment horizontal="center" vertical="top"/>
    </xf>
    <xf numFmtId="164" fontId="1" fillId="0" borderId="10" xfId="0" applyNumberFormat="1" applyFont="1" applyBorder="1" applyAlignment="1">
      <alignment horizontal="center" vertical="top" wrapText="1"/>
    </xf>
    <xf numFmtId="164" fontId="1" fillId="0" borderId="54" xfId="0" applyNumberFormat="1" applyFont="1" applyBorder="1" applyAlignment="1">
      <alignment horizontal="center" vertical="top" wrapText="1"/>
    </xf>
    <xf numFmtId="164" fontId="4" fillId="0" borderId="54"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5" fillId="7" borderId="10" xfId="0" applyNumberFormat="1" applyFont="1" applyFill="1" applyBorder="1" applyAlignment="1">
      <alignment horizontal="center" vertical="top"/>
    </xf>
    <xf numFmtId="164" fontId="5" fillId="7" borderId="54" xfId="0" applyNumberFormat="1" applyFont="1" applyFill="1" applyBorder="1" applyAlignment="1">
      <alignment horizontal="center" vertical="top"/>
    </xf>
    <xf numFmtId="164" fontId="5" fillId="7" borderId="58" xfId="0" applyNumberFormat="1" applyFont="1" applyFill="1" applyBorder="1" applyAlignment="1">
      <alignment horizontal="center" vertical="top"/>
    </xf>
    <xf numFmtId="164" fontId="4" fillId="0" borderId="10" xfId="0" applyNumberFormat="1" applyFont="1" applyBorder="1" applyAlignment="1">
      <alignment horizontal="center" vertical="top"/>
    </xf>
    <xf numFmtId="164" fontId="4" fillId="0" borderId="54" xfId="0" applyNumberFormat="1" applyFont="1" applyBorder="1" applyAlignment="1">
      <alignment horizontal="center" vertical="top"/>
    </xf>
    <xf numFmtId="164" fontId="4" fillId="0" borderId="15" xfId="0" applyNumberFormat="1" applyFont="1" applyBorder="1" applyAlignment="1">
      <alignment horizontal="center" vertical="top"/>
    </xf>
    <xf numFmtId="164" fontId="4" fillId="0" borderId="58" xfId="0" applyNumberFormat="1" applyFont="1" applyBorder="1" applyAlignment="1">
      <alignment horizontal="center" vertical="top"/>
    </xf>
    <xf numFmtId="164" fontId="5" fillId="4" borderId="70" xfId="0" applyNumberFormat="1" applyFont="1" applyFill="1" applyBorder="1" applyAlignment="1">
      <alignment horizontal="center" vertical="top"/>
    </xf>
    <xf numFmtId="3" fontId="1" fillId="0" borderId="2" xfId="0" applyNumberFormat="1" applyFont="1" applyFill="1" applyBorder="1" applyAlignment="1">
      <alignment horizontal="left" vertical="top" wrapText="1"/>
    </xf>
    <xf numFmtId="3" fontId="1" fillId="0" borderId="68" xfId="0" applyNumberFormat="1" applyFont="1" applyBorder="1" applyAlignment="1">
      <alignment horizontal="center" vertical="top"/>
    </xf>
    <xf numFmtId="3" fontId="1" fillId="5" borderId="2" xfId="0" applyNumberFormat="1" applyFont="1" applyFill="1" applyBorder="1" applyAlignment="1">
      <alignment horizontal="center" vertical="top" wrapText="1"/>
    </xf>
    <xf numFmtId="3" fontId="1" fillId="0" borderId="38" xfId="0" applyNumberFormat="1" applyFont="1" applyBorder="1" applyAlignment="1">
      <alignment horizontal="center" vertical="top"/>
    </xf>
    <xf numFmtId="3" fontId="1" fillId="0" borderId="32" xfId="0" applyNumberFormat="1" applyFont="1" applyFill="1" applyBorder="1" applyAlignment="1">
      <alignment horizontal="center" vertical="top" wrapText="1"/>
    </xf>
    <xf numFmtId="3" fontId="1" fillId="5" borderId="3" xfId="0" applyNumberFormat="1" applyFont="1" applyFill="1" applyBorder="1" applyAlignment="1">
      <alignment horizontal="center" vertical="top"/>
    </xf>
    <xf numFmtId="0" fontId="1" fillId="5" borderId="10" xfId="0" applyNumberFormat="1" applyFont="1" applyFill="1" applyBorder="1" applyAlignment="1">
      <alignment horizontal="center" vertical="top" wrapText="1"/>
    </xf>
    <xf numFmtId="0" fontId="1" fillId="0" borderId="58" xfId="0" applyNumberFormat="1" applyFont="1" applyFill="1" applyBorder="1" applyAlignment="1">
      <alignment horizontal="center" vertical="top" wrapText="1"/>
    </xf>
    <xf numFmtId="0" fontId="1" fillId="5" borderId="49" xfId="0" applyNumberFormat="1" applyFont="1" applyFill="1" applyBorder="1" applyAlignment="1">
      <alignment horizontal="center" vertical="top" wrapText="1"/>
    </xf>
    <xf numFmtId="0" fontId="1" fillId="0" borderId="55" xfId="0" applyNumberFormat="1" applyFont="1" applyFill="1" applyBorder="1" applyAlignment="1">
      <alignment horizontal="center" vertical="top" wrapText="1"/>
    </xf>
    <xf numFmtId="164" fontId="1" fillId="0" borderId="27" xfId="0" applyNumberFormat="1" applyFont="1" applyFill="1" applyBorder="1" applyAlignment="1">
      <alignment horizontal="center" vertical="top"/>
    </xf>
    <xf numFmtId="3" fontId="1" fillId="0" borderId="36" xfId="0" applyNumberFormat="1" applyFont="1" applyFill="1" applyBorder="1" applyAlignment="1">
      <alignment vertical="top" wrapText="1"/>
    </xf>
    <xf numFmtId="3" fontId="1" fillId="5" borderId="67" xfId="0" applyNumberFormat="1" applyFont="1" applyFill="1" applyBorder="1" applyAlignment="1">
      <alignment horizontal="center" vertical="top" wrapText="1"/>
    </xf>
    <xf numFmtId="3" fontId="1" fillId="0" borderId="67" xfId="0" applyNumberFormat="1" applyFont="1" applyBorder="1" applyAlignment="1">
      <alignment horizontal="center" vertical="top"/>
    </xf>
    <xf numFmtId="164" fontId="1" fillId="0" borderId="28" xfId="0" applyNumberFormat="1" applyFont="1" applyFill="1" applyBorder="1" applyAlignment="1">
      <alignment horizontal="center" vertical="top" wrapText="1"/>
    </xf>
    <xf numFmtId="0" fontId="1" fillId="5" borderId="9"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3" fontId="1" fillId="5" borderId="48" xfId="0" applyNumberFormat="1" applyFont="1" applyFill="1" applyBorder="1" applyAlignment="1">
      <alignment horizontal="center" vertical="top" wrapText="1"/>
    </xf>
    <xf numFmtId="3" fontId="1" fillId="5" borderId="10" xfId="0" applyNumberFormat="1" applyFont="1" applyFill="1" applyBorder="1" applyAlignment="1">
      <alignment horizontal="center" vertical="top"/>
    </xf>
    <xf numFmtId="0" fontId="1" fillId="0" borderId="15" xfId="0" applyNumberFormat="1" applyFont="1" applyFill="1" applyBorder="1" applyAlignment="1">
      <alignment horizontal="center" vertical="top" wrapText="1"/>
    </xf>
    <xf numFmtId="3" fontId="1" fillId="5" borderId="67" xfId="0" applyNumberFormat="1" applyFont="1" applyFill="1" applyBorder="1" applyAlignment="1">
      <alignment horizontal="center" vertical="top"/>
    </xf>
    <xf numFmtId="3" fontId="1" fillId="5" borderId="67" xfId="0" applyNumberFormat="1" applyFont="1" applyFill="1" applyBorder="1"/>
    <xf numFmtId="164" fontId="1" fillId="0" borderId="22" xfId="0" applyNumberFormat="1" applyFont="1" applyBorder="1" applyAlignment="1">
      <alignment horizontal="center" vertical="top"/>
    </xf>
    <xf numFmtId="164" fontId="1" fillId="0" borderId="56" xfId="0" applyNumberFormat="1" applyFont="1" applyBorder="1" applyAlignment="1">
      <alignment horizontal="center" vertical="top"/>
    </xf>
    <xf numFmtId="164" fontId="1" fillId="0" borderId="23" xfId="0" applyNumberFormat="1" applyFont="1" applyFill="1" applyBorder="1" applyAlignment="1">
      <alignment horizontal="center" vertical="top"/>
    </xf>
    <xf numFmtId="164" fontId="1" fillId="0" borderId="34" xfId="0" applyNumberFormat="1" applyFont="1" applyBorder="1" applyAlignment="1">
      <alignment horizontal="center" vertical="top"/>
    </xf>
    <xf numFmtId="164" fontId="1" fillId="0" borderId="49" xfId="0" applyNumberFormat="1" applyFont="1" applyBorder="1" applyAlignment="1">
      <alignment horizontal="center" vertical="top"/>
    </xf>
    <xf numFmtId="49" fontId="1" fillId="3" borderId="57" xfId="0" applyNumberFormat="1" applyFont="1" applyFill="1" applyBorder="1" applyAlignment="1">
      <alignment horizontal="center" vertical="top"/>
    </xf>
    <xf numFmtId="164" fontId="4" fillId="5" borderId="58" xfId="0" applyNumberFormat="1" applyFont="1" applyFill="1" applyBorder="1" applyAlignment="1">
      <alignment horizontal="center" vertical="top"/>
    </xf>
    <xf numFmtId="0" fontId="1" fillId="5" borderId="54" xfId="0" applyNumberFormat="1" applyFont="1" applyFill="1" applyBorder="1" applyAlignment="1">
      <alignment horizontal="center" vertical="top" wrapText="1"/>
    </xf>
    <xf numFmtId="3" fontId="3" fillId="0" borderId="26" xfId="0" applyNumberFormat="1" applyFont="1" applyFill="1" applyBorder="1" applyAlignment="1">
      <alignment vertical="top" wrapText="1"/>
    </xf>
    <xf numFmtId="0" fontId="1" fillId="5" borderId="9" xfId="0" applyNumberFormat="1" applyFont="1" applyFill="1" applyBorder="1" applyAlignment="1">
      <alignment vertical="top" wrapText="1"/>
    </xf>
    <xf numFmtId="0" fontId="1" fillId="5" borderId="9" xfId="0" applyNumberFormat="1" applyFont="1" applyFill="1" applyBorder="1" applyAlignment="1">
      <alignment horizontal="left" vertical="top" wrapText="1"/>
    </xf>
    <xf numFmtId="3" fontId="11" fillId="0" borderId="49" xfId="0" applyNumberFormat="1" applyFont="1" applyFill="1" applyBorder="1" applyAlignment="1">
      <alignment textRotation="90"/>
    </xf>
    <xf numFmtId="3" fontId="3" fillId="0" borderId="29" xfId="0"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164" fontId="1" fillId="0" borderId="0" xfId="0" applyNumberFormat="1" applyFont="1"/>
    <xf numFmtId="3" fontId="1" fillId="0" borderId="0" xfId="0" applyNumberFormat="1" applyFont="1"/>
    <xf numFmtId="3" fontId="1" fillId="0" borderId="0" xfId="0" applyNumberFormat="1" applyFont="1" applyAlignment="1">
      <alignment horizontal="justify"/>
    </xf>
    <xf numFmtId="3" fontId="3" fillId="0" borderId="23"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3" fontId="1" fillId="0" borderId="6" xfId="0" applyNumberFormat="1" applyFont="1" applyBorder="1" applyAlignment="1">
      <alignment horizontal="center" vertical="top"/>
    </xf>
    <xf numFmtId="3" fontId="1" fillId="3" borderId="68" xfId="0" applyNumberFormat="1" applyFont="1" applyFill="1" applyBorder="1" applyAlignment="1">
      <alignment horizontal="center" vertical="top"/>
    </xf>
    <xf numFmtId="3" fontId="3" fillId="0" borderId="1" xfId="0" applyNumberFormat="1" applyFont="1" applyFill="1" applyBorder="1" applyAlignment="1">
      <alignment horizontal="center" vertical="center"/>
    </xf>
    <xf numFmtId="3" fontId="3" fillId="4" borderId="32" xfId="0" applyNumberFormat="1" applyFont="1" applyFill="1" applyBorder="1" applyAlignment="1">
      <alignment horizontal="right" vertical="top"/>
    </xf>
    <xf numFmtId="3" fontId="1" fillId="0" borderId="66" xfId="0" applyNumberFormat="1" applyFont="1" applyFill="1" applyBorder="1" applyAlignment="1">
      <alignment vertical="top" wrapText="1"/>
    </xf>
    <xf numFmtId="3" fontId="1" fillId="0" borderId="74" xfId="0" applyNumberFormat="1" applyFont="1" applyFill="1" applyBorder="1" applyAlignment="1">
      <alignment horizontal="center" vertical="top"/>
    </xf>
    <xf numFmtId="3" fontId="1" fillId="5" borderId="66" xfId="0" applyNumberFormat="1" applyFont="1" applyFill="1" applyBorder="1" applyAlignment="1">
      <alignment horizontal="center" vertical="top" wrapText="1"/>
    </xf>
    <xf numFmtId="3" fontId="1" fillId="0" borderId="63"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1" fillId="5" borderId="29" xfId="0" applyNumberFormat="1" applyFont="1" applyFill="1" applyBorder="1" applyAlignment="1">
      <alignment horizontal="center" vertical="top"/>
    </xf>
    <xf numFmtId="164" fontId="3" fillId="5" borderId="4" xfId="0" applyNumberFormat="1" applyFont="1" applyFill="1" applyBorder="1" applyAlignment="1">
      <alignment horizontal="center" vertical="top" wrapText="1"/>
    </xf>
    <xf numFmtId="164" fontId="3" fillId="5" borderId="40" xfId="0" applyNumberFormat="1" applyFont="1" applyFill="1" applyBorder="1" applyAlignment="1">
      <alignment horizontal="center" vertical="top" wrapText="1"/>
    </xf>
    <xf numFmtId="3" fontId="1" fillId="5" borderId="28" xfId="0" applyNumberFormat="1" applyFont="1" applyFill="1" applyBorder="1" applyAlignment="1">
      <alignment vertical="top" wrapText="1"/>
    </xf>
    <xf numFmtId="164" fontId="3" fillId="4" borderId="73" xfId="0" applyNumberFormat="1" applyFont="1" applyFill="1" applyBorder="1" applyAlignment="1">
      <alignment horizontal="center" vertical="top" wrapText="1"/>
    </xf>
    <xf numFmtId="3" fontId="1" fillId="5" borderId="14" xfId="0" applyNumberFormat="1" applyFont="1" applyFill="1" applyBorder="1" applyAlignment="1">
      <alignment horizontal="center" vertical="top"/>
    </xf>
    <xf numFmtId="0" fontId="1" fillId="5" borderId="67" xfId="0" applyFont="1" applyFill="1" applyBorder="1" applyAlignment="1">
      <alignment horizontal="center" vertical="center"/>
    </xf>
    <xf numFmtId="0" fontId="1" fillId="5" borderId="9" xfId="0" applyFont="1" applyFill="1" applyBorder="1" applyAlignment="1">
      <alignment horizontal="left" vertical="top" wrapText="1"/>
    </xf>
    <xf numFmtId="0" fontId="1" fillId="5" borderId="48" xfId="0" applyFont="1" applyFill="1" applyBorder="1" applyAlignment="1">
      <alignment horizontal="left" vertical="top" wrapText="1"/>
    </xf>
    <xf numFmtId="1" fontId="1" fillId="5" borderId="10" xfId="0" applyNumberFormat="1" applyFont="1" applyFill="1" applyBorder="1" applyAlignment="1">
      <alignment horizontal="center" vertical="top"/>
    </xf>
    <xf numFmtId="2" fontId="1" fillId="5" borderId="10" xfId="0" applyNumberFormat="1" applyFont="1" applyFill="1" applyBorder="1" applyAlignment="1">
      <alignment horizontal="center" vertical="top"/>
    </xf>
    <xf numFmtId="164" fontId="3" fillId="4" borderId="58" xfId="0" applyNumberFormat="1" applyFont="1" applyFill="1" applyBorder="1" applyAlignment="1">
      <alignment horizontal="center" vertical="top"/>
    </xf>
    <xf numFmtId="3" fontId="4" fillId="0" borderId="11" xfId="0" applyNumberFormat="1" applyFont="1" applyBorder="1" applyAlignment="1">
      <alignment horizontal="center" vertical="top" wrapText="1"/>
    </xf>
    <xf numFmtId="3" fontId="4" fillId="0" borderId="46" xfId="0" applyNumberFormat="1" applyFont="1" applyBorder="1" applyAlignment="1">
      <alignment horizontal="center" vertical="top" wrapText="1"/>
    </xf>
    <xf numFmtId="164" fontId="4" fillId="3" borderId="7" xfId="0" applyNumberFormat="1" applyFont="1" applyFill="1" applyBorder="1" applyAlignment="1">
      <alignment horizontal="center" vertical="top" wrapText="1"/>
    </xf>
    <xf numFmtId="164" fontId="4" fillId="3" borderId="3" xfId="0" applyNumberFormat="1" applyFont="1" applyFill="1" applyBorder="1" applyAlignment="1">
      <alignment horizontal="center" vertical="top" wrapText="1"/>
    </xf>
    <xf numFmtId="164" fontId="4" fillId="3" borderId="8" xfId="0" applyNumberFormat="1" applyFont="1" applyFill="1" applyBorder="1" applyAlignment="1">
      <alignment horizontal="center" vertical="top" wrapText="1"/>
    </xf>
    <xf numFmtId="3" fontId="4" fillId="0" borderId="15" xfId="0" applyNumberFormat="1" applyFont="1" applyBorder="1" applyAlignment="1">
      <alignment horizontal="center" vertical="top" wrapText="1"/>
    </xf>
    <xf numFmtId="3" fontId="4" fillId="5" borderId="34" xfId="0" applyNumberFormat="1" applyFont="1" applyFill="1" applyBorder="1" applyAlignment="1">
      <alignment horizontal="center" vertical="top" wrapText="1"/>
    </xf>
    <xf numFmtId="1" fontId="1" fillId="5" borderId="49" xfId="0" applyNumberFormat="1" applyFont="1" applyFill="1" applyBorder="1" applyAlignment="1">
      <alignment horizontal="center" vertical="top"/>
    </xf>
    <xf numFmtId="3" fontId="1" fillId="0" borderId="16" xfId="0" applyNumberFormat="1" applyFont="1" applyBorder="1" applyAlignment="1">
      <alignment horizontal="center" vertical="top" wrapText="1"/>
    </xf>
    <xf numFmtId="3" fontId="1" fillId="0" borderId="41" xfId="0" applyNumberFormat="1" applyFont="1" applyBorder="1" applyAlignment="1">
      <alignment horizontal="center" vertical="top" wrapText="1"/>
    </xf>
    <xf numFmtId="3" fontId="4" fillId="5" borderId="53" xfId="0" applyNumberFormat="1" applyFont="1" applyFill="1" applyBorder="1" applyAlignment="1">
      <alignment horizontal="center" vertical="top" wrapText="1"/>
    </xf>
    <xf numFmtId="3" fontId="4" fillId="5" borderId="9" xfId="0" applyNumberFormat="1" applyFont="1" applyFill="1" applyBorder="1" applyAlignment="1">
      <alignment vertical="top" wrapText="1"/>
    </xf>
    <xf numFmtId="3" fontId="4" fillId="5" borderId="48" xfId="0" applyNumberFormat="1" applyFont="1" applyFill="1" applyBorder="1" applyAlignment="1">
      <alignment horizontal="center" vertical="top" wrapText="1"/>
    </xf>
    <xf numFmtId="3" fontId="5" fillId="0" borderId="18" xfId="0" applyNumberFormat="1" applyFont="1" applyFill="1" applyBorder="1" applyAlignment="1">
      <alignment vertical="center" textRotation="90" wrapText="1"/>
    </xf>
    <xf numFmtId="164" fontId="1" fillId="3" borderId="40" xfId="0" applyNumberFormat="1" applyFont="1" applyFill="1" applyBorder="1" applyAlignment="1">
      <alignment horizontal="center" vertical="top" wrapText="1"/>
    </xf>
    <xf numFmtId="164" fontId="1" fillId="5" borderId="57" xfId="0" applyNumberFormat="1" applyFont="1" applyFill="1" applyBorder="1" applyAlignment="1">
      <alignment horizontal="center" vertical="top"/>
    </xf>
    <xf numFmtId="164" fontId="1" fillId="5" borderId="50" xfId="0" applyNumberFormat="1" applyFont="1" applyFill="1" applyBorder="1" applyAlignment="1">
      <alignment horizontal="center" vertical="top"/>
    </xf>
    <xf numFmtId="164" fontId="1" fillId="5" borderId="37" xfId="0" applyNumberFormat="1" applyFont="1" applyFill="1" applyBorder="1" applyAlignment="1">
      <alignment horizontal="center" vertical="top"/>
    </xf>
    <xf numFmtId="164" fontId="4" fillId="3" borderId="60" xfId="0" applyNumberFormat="1" applyFont="1" applyFill="1" applyBorder="1" applyAlignment="1">
      <alignment horizontal="center" vertical="top" wrapText="1"/>
    </xf>
    <xf numFmtId="164" fontId="1" fillId="5" borderId="58" xfId="0" applyNumberFormat="1" applyFont="1" applyFill="1" applyBorder="1" applyAlignment="1">
      <alignment horizontal="center" vertical="top" wrapText="1"/>
    </xf>
    <xf numFmtId="164" fontId="3" fillId="4" borderId="58" xfId="0" applyNumberFormat="1" applyFont="1" applyFill="1" applyBorder="1" applyAlignment="1">
      <alignment horizontal="center" vertical="top" wrapText="1"/>
    </xf>
    <xf numFmtId="164" fontId="5" fillId="2" borderId="39" xfId="0" applyNumberFormat="1" applyFont="1" applyFill="1" applyBorder="1" applyAlignment="1">
      <alignment horizontal="center" vertical="top"/>
    </xf>
    <xf numFmtId="164" fontId="4" fillId="0" borderId="26" xfId="0" applyNumberFormat="1" applyFont="1" applyBorder="1" applyAlignment="1">
      <alignment horizontal="center" vertical="top"/>
    </xf>
    <xf numFmtId="164" fontId="4" fillId="0" borderId="11" xfId="0" applyNumberFormat="1" applyFont="1" applyBorder="1" applyAlignment="1">
      <alignment horizontal="center" vertical="top"/>
    </xf>
    <xf numFmtId="164" fontId="4" fillId="0" borderId="0" xfId="0" applyNumberFormat="1" applyFont="1" applyBorder="1" applyAlignment="1">
      <alignment horizontal="center" vertical="top"/>
    </xf>
    <xf numFmtId="3" fontId="3" fillId="0" borderId="29" xfId="0" applyNumberFormat="1" applyFont="1" applyFill="1" applyBorder="1" applyAlignment="1">
      <alignment horizontal="center" vertical="center" textRotation="90" wrapText="1"/>
    </xf>
    <xf numFmtId="3" fontId="1" fillId="0" borderId="4" xfId="0" applyNumberFormat="1" applyFont="1" applyFill="1" applyBorder="1" applyAlignment="1">
      <alignment vertical="top" textRotation="90" wrapText="1"/>
    </xf>
    <xf numFmtId="164" fontId="3" fillId="5" borderId="31" xfId="0" applyNumberFormat="1" applyFont="1" applyFill="1" applyBorder="1" applyAlignment="1">
      <alignment horizontal="center" vertical="top" wrapText="1"/>
    </xf>
    <xf numFmtId="3" fontId="1" fillId="5" borderId="31" xfId="0" applyNumberFormat="1" applyFont="1" applyFill="1" applyBorder="1" applyAlignment="1">
      <alignment vertical="top" wrapText="1"/>
    </xf>
    <xf numFmtId="3" fontId="3" fillId="0" borderId="1" xfId="0" applyNumberFormat="1" applyFont="1" applyFill="1" applyBorder="1" applyAlignment="1">
      <alignment horizontal="center" vertical="center" textRotation="90" wrapText="1"/>
    </xf>
    <xf numFmtId="3" fontId="1" fillId="0" borderId="16" xfId="0" applyNumberFormat="1" applyFont="1" applyFill="1" applyBorder="1" applyAlignment="1">
      <alignment vertical="top" textRotation="90" wrapText="1"/>
    </xf>
    <xf numFmtId="3" fontId="3" fillId="0" borderId="38" xfId="0" applyNumberFormat="1" applyFont="1" applyFill="1" applyBorder="1" applyAlignment="1">
      <alignment vertical="top" wrapText="1"/>
    </xf>
    <xf numFmtId="3" fontId="1" fillId="5" borderId="32" xfId="0" applyNumberFormat="1" applyFont="1" applyFill="1" applyBorder="1" applyAlignment="1">
      <alignment vertical="top" wrapText="1"/>
    </xf>
    <xf numFmtId="3" fontId="1" fillId="5" borderId="39" xfId="0" applyNumberFormat="1" applyFont="1" applyFill="1" applyBorder="1" applyAlignment="1">
      <alignment vertical="top" wrapText="1"/>
    </xf>
    <xf numFmtId="164" fontId="1" fillId="10" borderId="10" xfId="1" applyNumberFormat="1" applyFont="1" applyFill="1" applyBorder="1" applyAlignment="1">
      <alignment horizontal="center" vertical="top"/>
    </xf>
    <xf numFmtId="164" fontId="1" fillId="10" borderId="77" xfId="1" applyNumberFormat="1" applyFont="1" applyFill="1" applyBorder="1" applyAlignment="1">
      <alignment horizontal="center" vertical="top"/>
    </xf>
    <xf numFmtId="164" fontId="1" fillId="10" borderId="65" xfId="1" applyNumberFormat="1" applyFont="1" applyFill="1" applyBorder="1" applyAlignment="1">
      <alignment horizontal="center" vertical="top"/>
    </xf>
    <xf numFmtId="164" fontId="1" fillId="10" borderId="58" xfId="1" applyNumberFormat="1" applyFont="1" applyFill="1" applyBorder="1" applyAlignment="1">
      <alignment horizontal="center" vertical="top"/>
    </xf>
    <xf numFmtId="0" fontId="1" fillId="5" borderId="13" xfId="0" applyFont="1" applyFill="1" applyBorder="1" applyAlignment="1">
      <alignment vertical="top" wrapText="1"/>
    </xf>
    <xf numFmtId="0" fontId="1" fillId="5" borderId="48" xfId="0" applyFont="1" applyFill="1" applyBorder="1" applyAlignment="1">
      <alignment vertical="top" wrapText="1"/>
    </xf>
    <xf numFmtId="164" fontId="1" fillId="5" borderId="60" xfId="0" applyNumberFormat="1" applyFont="1" applyFill="1" applyBorder="1" applyAlignment="1">
      <alignment horizontal="center" vertical="top"/>
    </xf>
    <xf numFmtId="3" fontId="3" fillId="4" borderId="66" xfId="0" applyNumberFormat="1" applyFont="1" applyFill="1" applyBorder="1" applyAlignment="1">
      <alignment horizontal="center" vertical="top"/>
    </xf>
    <xf numFmtId="3" fontId="3" fillId="4" borderId="34" xfId="0" applyNumberFormat="1" applyFont="1" applyFill="1" applyBorder="1" applyAlignment="1">
      <alignment vertical="top"/>
    </xf>
    <xf numFmtId="3" fontId="10" fillId="4" borderId="53" xfId="0" applyNumberFormat="1" applyFont="1" applyFill="1" applyBorder="1" applyAlignment="1">
      <alignment vertical="top" textRotation="90"/>
    </xf>
    <xf numFmtId="164" fontId="5" fillId="2" borderId="42" xfId="0" applyNumberFormat="1" applyFont="1" applyFill="1" applyBorder="1" applyAlignment="1">
      <alignment horizontal="center" vertical="top"/>
    </xf>
    <xf numFmtId="164" fontId="5" fillId="9" borderId="42" xfId="0" applyNumberFormat="1" applyFont="1" applyFill="1" applyBorder="1" applyAlignment="1">
      <alignment horizontal="center" vertical="top"/>
    </xf>
    <xf numFmtId="164" fontId="5" fillId="7" borderId="39" xfId="0" applyNumberFormat="1" applyFont="1" applyFill="1" applyBorder="1" applyAlignment="1">
      <alignment horizontal="center" vertical="top"/>
    </xf>
    <xf numFmtId="164" fontId="4" fillId="0" borderId="50" xfId="0" applyNumberFormat="1" applyFont="1" applyBorder="1" applyAlignment="1">
      <alignment horizontal="center" vertical="top"/>
    </xf>
    <xf numFmtId="164" fontId="1" fillId="0" borderId="50"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164" fontId="1" fillId="0" borderId="57" xfId="0" applyNumberFormat="1" applyFont="1" applyFill="1" applyBorder="1" applyAlignment="1">
      <alignment horizontal="center" vertical="top"/>
    </xf>
    <xf numFmtId="164" fontId="4" fillId="5" borderId="37" xfId="0" applyNumberFormat="1" applyFont="1" applyFill="1" applyBorder="1" applyAlignment="1">
      <alignment horizontal="center" vertical="top"/>
    </xf>
    <xf numFmtId="164" fontId="1" fillId="3" borderId="31" xfId="0" applyNumberFormat="1" applyFont="1" applyFill="1" applyBorder="1" applyAlignment="1">
      <alignment horizontal="center" vertical="top"/>
    </xf>
    <xf numFmtId="164" fontId="4" fillId="3" borderId="58" xfId="0" applyNumberFormat="1" applyFont="1" applyFill="1" applyBorder="1" applyAlignment="1">
      <alignment horizontal="center" vertical="top"/>
    </xf>
    <xf numFmtId="164" fontId="1" fillId="5" borderId="60" xfId="0" applyNumberFormat="1" applyFont="1" applyFill="1" applyBorder="1" applyAlignment="1">
      <alignment horizontal="center" vertical="top" wrapText="1"/>
    </xf>
    <xf numFmtId="164" fontId="3" fillId="4" borderId="57" xfId="0" applyNumberFormat="1" applyFont="1" applyFill="1" applyBorder="1" applyAlignment="1">
      <alignment horizontal="center" vertical="top"/>
    </xf>
    <xf numFmtId="164" fontId="1" fillId="5" borderId="31" xfId="0" applyNumberFormat="1" applyFont="1" applyFill="1" applyBorder="1" applyAlignment="1">
      <alignment horizontal="center" vertical="top"/>
    </xf>
    <xf numFmtId="164" fontId="1" fillId="0" borderId="60" xfId="0" applyNumberFormat="1" applyFont="1" applyFill="1" applyBorder="1" applyAlignment="1">
      <alignment horizontal="center" vertical="top"/>
    </xf>
    <xf numFmtId="0" fontId="1" fillId="5" borderId="65" xfId="0" applyFont="1" applyFill="1" applyBorder="1" applyAlignment="1">
      <alignment horizontal="center" vertical="center"/>
    </xf>
    <xf numFmtId="165" fontId="1" fillId="5" borderId="14" xfId="0" applyNumberFormat="1" applyFont="1" applyFill="1" applyBorder="1" applyAlignment="1">
      <alignment horizontal="center" vertical="center"/>
    </xf>
    <xf numFmtId="165" fontId="1" fillId="5" borderId="23" xfId="0" applyNumberFormat="1" applyFont="1" applyFill="1" applyBorder="1" applyAlignment="1">
      <alignment horizontal="center" vertical="center"/>
    </xf>
    <xf numFmtId="164" fontId="5" fillId="2" borderId="38" xfId="0" applyNumberFormat="1" applyFont="1" applyFill="1" applyBorder="1" applyAlignment="1">
      <alignment horizontal="center" vertical="top"/>
    </xf>
    <xf numFmtId="164" fontId="5" fillId="9" borderId="21" xfId="0" applyNumberFormat="1" applyFont="1" applyFill="1" applyBorder="1" applyAlignment="1">
      <alignment horizontal="center" vertical="top"/>
    </xf>
    <xf numFmtId="164" fontId="5" fillId="7" borderId="41" xfId="0" applyNumberFormat="1" applyFont="1" applyFill="1" applyBorder="1" applyAlignment="1">
      <alignment horizontal="center" vertical="top"/>
    </xf>
    <xf numFmtId="164" fontId="1" fillId="0" borderId="58" xfId="0" applyNumberFormat="1" applyFont="1" applyBorder="1" applyAlignment="1">
      <alignment horizontal="center" vertical="top" wrapText="1"/>
    </xf>
    <xf numFmtId="164" fontId="4" fillId="0" borderId="58" xfId="0" applyNumberFormat="1" applyFont="1" applyBorder="1" applyAlignment="1">
      <alignment horizontal="center" vertical="top" wrapText="1"/>
    </xf>
    <xf numFmtId="3" fontId="1" fillId="0" borderId="32" xfId="0" applyNumberFormat="1" applyFont="1" applyBorder="1" applyAlignment="1">
      <alignment horizontal="center" vertical="top" wrapText="1"/>
    </xf>
    <xf numFmtId="49" fontId="3" fillId="5" borderId="65" xfId="0" applyNumberFormat="1" applyFont="1" applyFill="1" applyBorder="1" applyAlignment="1">
      <alignment horizontal="center" vertical="top"/>
    </xf>
    <xf numFmtId="49" fontId="3" fillId="0" borderId="65" xfId="0" applyNumberFormat="1" applyFont="1" applyBorder="1" applyAlignment="1">
      <alignment horizontal="center" vertical="top"/>
    </xf>
    <xf numFmtId="49" fontId="3" fillId="5" borderId="64"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164" fontId="4" fillId="0" borderId="0" xfId="0" applyNumberFormat="1" applyFont="1" applyBorder="1" applyAlignment="1">
      <alignment vertical="top"/>
    </xf>
    <xf numFmtId="164" fontId="1" fillId="5" borderId="27" xfId="0" applyNumberFormat="1" applyFont="1" applyFill="1" applyBorder="1" applyAlignment="1">
      <alignment horizontal="center" vertical="top" wrapText="1"/>
    </xf>
    <xf numFmtId="164" fontId="4" fillId="5" borderId="67" xfId="0" applyNumberFormat="1" applyFont="1" applyFill="1" applyBorder="1" applyAlignment="1">
      <alignment horizontal="center" vertical="top" wrapText="1"/>
    </xf>
    <xf numFmtId="164" fontId="4" fillId="5" borderId="54" xfId="0" applyNumberFormat="1" applyFont="1" applyFill="1" applyBorder="1" applyAlignment="1">
      <alignment horizontal="center" vertical="top" wrapText="1"/>
    </xf>
    <xf numFmtId="164" fontId="4" fillId="5" borderId="15" xfId="0" applyNumberFormat="1" applyFont="1" applyFill="1" applyBorder="1" applyAlignment="1">
      <alignment horizontal="center" vertical="top" wrapText="1"/>
    </xf>
    <xf numFmtId="164" fontId="1" fillId="3" borderId="15" xfId="0" applyNumberFormat="1" applyFont="1" applyFill="1" applyBorder="1" applyAlignment="1">
      <alignment horizontal="center" vertical="top" wrapText="1"/>
    </xf>
    <xf numFmtId="164" fontId="5" fillId="7" borderId="15" xfId="0" applyNumberFormat="1" applyFont="1" applyFill="1" applyBorder="1" applyAlignment="1">
      <alignment horizontal="center" vertical="top" wrapText="1"/>
    </xf>
    <xf numFmtId="164" fontId="1" fillId="0" borderId="15" xfId="0" applyNumberFormat="1" applyFont="1" applyBorder="1" applyAlignment="1">
      <alignment horizontal="center" vertical="top" wrapText="1"/>
    </xf>
    <xf numFmtId="164" fontId="4" fillId="0" borderId="15" xfId="0" applyNumberFormat="1" applyFont="1" applyBorder="1" applyAlignment="1">
      <alignment horizontal="center" vertical="top" wrapText="1"/>
    </xf>
    <xf numFmtId="164" fontId="5" fillId="7" borderId="15" xfId="0" applyNumberFormat="1" applyFont="1" applyFill="1" applyBorder="1" applyAlignment="1">
      <alignment horizontal="center" vertical="top"/>
    </xf>
    <xf numFmtId="164" fontId="19" fillId="0" borderId="60" xfId="0" applyNumberFormat="1" applyFont="1" applyBorder="1" applyAlignment="1">
      <alignment horizontal="center" vertical="center" wrapText="1"/>
    </xf>
    <xf numFmtId="164" fontId="19" fillId="0" borderId="6" xfId="0" applyNumberFormat="1" applyFont="1" applyBorder="1" applyAlignment="1">
      <alignment horizontal="center" vertical="center" wrapText="1"/>
    </xf>
    <xf numFmtId="164" fontId="19" fillId="0" borderId="3" xfId="0" applyNumberFormat="1" applyFont="1" applyBorder="1" applyAlignment="1">
      <alignment horizontal="center" vertical="center" wrapText="1"/>
    </xf>
    <xf numFmtId="164" fontId="19" fillId="0" borderId="8" xfId="0" applyNumberFormat="1" applyFont="1" applyBorder="1" applyAlignment="1">
      <alignment horizontal="center" vertical="center" wrapText="1"/>
    </xf>
    <xf numFmtId="3" fontId="19" fillId="0" borderId="0" xfId="0" applyNumberFormat="1" applyFont="1" applyAlignment="1">
      <alignment horizontal="center" vertical="top"/>
    </xf>
    <xf numFmtId="3" fontId="20" fillId="0" borderId="0" xfId="0" applyNumberFormat="1" applyFont="1" applyFill="1" applyBorder="1" applyAlignment="1">
      <alignment horizontal="center" vertical="top" wrapText="1"/>
    </xf>
    <xf numFmtId="3" fontId="20" fillId="0" borderId="0" xfId="0" applyNumberFormat="1" applyFont="1" applyFill="1" applyBorder="1" applyAlignment="1">
      <alignment horizontal="center" vertical="top"/>
    </xf>
    <xf numFmtId="3" fontId="20" fillId="0" borderId="17" xfId="0" applyNumberFormat="1" applyFont="1" applyFill="1" applyBorder="1" applyAlignment="1">
      <alignment horizontal="center" vertical="top"/>
    </xf>
    <xf numFmtId="3" fontId="20" fillId="0" borderId="29" xfId="0" applyNumberFormat="1" applyFont="1" applyFill="1" applyBorder="1" applyAlignment="1">
      <alignment horizontal="center" vertical="top" wrapText="1"/>
    </xf>
    <xf numFmtId="3" fontId="20" fillId="0" borderId="47" xfId="0" applyNumberFormat="1" applyFont="1" applyFill="1" applyBorder="1" applyAlignment="1">
      <alignment horizontal="center" vertical="top" wrapText="1"/>
    </xf>
    <xf numFmtId="49" fontId="19" fillId="0" borderId="17" xfId="0" applyNumberFormat="1" applyFont="1" applyBorder="1" applyAlignment="1">
      <alignment horizontal="center" vertical="top" wrapText="1"/>
    </xf>
    <xf numFmtId="3" fontId="19" fillId="0" borderId="0" xfId="0" applyNumberFormat="1" applyFont="1" applyBorder="1" applyAlignment="1">
      <alignment vertical="top"/>
    </xf>
    <xf numFmtId="3" fontId="19" fillId="0" borderId="46" xfId="0" applyNumberFormat="1" applyFont="1" applyBorder="1" applyAlignment="1">
      <alignment vertical="top"/>
    </xf>
    <xf numFmtId="3" fontId="19" fillId="5" borderId="0" xfId="0" applyNumberFormat="1" applyFont="1" applyFill="1" applyBorder="1" applyAlignment="1">
      <alignment horizontal="center" vertical="top"/>
    </xf>
    <xf numFmtId="3" fontId="19" fillId="5" borderId="1" xfId="0" applyNumberFormat="1" applyFont="1" applyFill="1" applyBorder="1" applyAlignment="1">
      <alignment vertical="top"/>
    </xf>
    <xf numFmtId="3" fontId="20" fillId="0" borderId="0" xfId="0" applyNumberFormat="1" applyFont="1" applyBorder="1" applyAlignment="1">
      <alignment horizontal="center" vertical="top"/>
    </xf>
    <xf numFmtId="3" fontId="20" fillId="0" borderId="0" xfId="0" applyNumberFormat="1" applyFont="1" applyBorder="1" applyAlignment="1">
      <alignment vertical="top"/>
    </xf>
    <xf numFmtId="3" fontId="20" fillId="0" borderId="46" xfId="0" applyNumberFormat="1" applyFont="1" applyBorder="1" applyAlignment="1">
      <alignment vertical="top"/>
    </xf>
    <xf numFmtId="3" fontId="20" fillId="0" borderId="1" xfId="0" applyNumberFormat="1" applyFont="1" applyBorder="1" applyAlignment="1">
      <alignment vertical="top"/>
    </xf>
    <xf numFmtId="49" fontId="19" fillId="0" borderId="28"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3" fontId="20" fillId="0" borderId="34" xfId="0" applyNumberFormat="1" applyFont="1" applyFill="1" applyBorder="1" applyAlignment="1">
      <alignment horizontal="center" vertical="top" wrapText="1"/>
    </xf>
    <xf numFmtId="3" fontId="20" fillId="0" borderId="26" xfId="0" applyNumberFormat="1" applyFont="1" applyFill="1" applyBorder="1" applyAlignment="1">
      <alignment vertical="top" wrapText="1"/>
    </xf>
    <xf numFmtId="3" fontId="19" fillId="0" borderId="5" xfId="0" applyNumberFormat="1" applyFont="1" applyFill="1" applyBorder="1" applyAlignment="1">
      <alignment horizontal="center" vertical="top" wrapText="1"/>
    </xf>
    <xf numFmtId="3" fontId="19" fillId="0" borderId="47" xfId="0" applyNumberFormat="1" applyFont="1" applyFill="1" applyBorder="1" applyAlignment="1">
      <alignment horizontal="center" vertical="top" wrapText="1"/>
    </xf>
    <xf numFmtId="49" fontId="19" fillId="5" borderId="12" xfId="0" applyNumberFormat="1" applyFont="1" applyFill="1" applyBorder="1" applyAlignment="1">
      <alignment horizontal="center" vertical="top" wrapText="1"/>
    </xf>
    <xf numFmtId="49" fontId="19" fillId="5" borderId="12" xfId="0" applyNumberFormat="1" applyFont="1" applyFill="1" applyBorder="1" applyAlignment="1">
      <alignment vertical="top"/>
    </xf>
    <xf numFmtId="49" fontId="19" fillId="0" borderId="12" xfId="0" applyNumberFormat="1" applyFont="1" applyBorder="1" applyAlignment="1">
      <alignment vertical="top"/>
    </xf>
    <xf numFmtId="49" fontId="19" fillId="5" borderId="12" xfId="0" applyNumberFormat="1" applyFont="1" applyFill="1" applyBorder="1" applyAlignment="1">
      <alignment vertical="top" wrapText="1"/>
    </xf>
    <xf numFmtId="49" fontId="19" fillId="5" borderId="51" xfId="0" applyNumberFormat="1" applyFont="1" applyFill="1" applyBorder="1" applyAlignment="1">
      <alignment vertical="top" wrapText="1"/>
    </xf>
    <xf numFmtId="3" fontId="19" fillId="0" borderId="40" xfId="0" applyNumberFormat="1" applyFont="1" applyBorder="1" applyAlignment="1">
      <alignment horizontal="center" vertical="top" wrapText="1"/>
    </xf>
    <xf numFmtId="3" fontId="19" fillId="0" borderId="46" xfId="0" applyNumberFormat="1" applyFont="1" applyBorder="1" applyAlignment="1">
      <alignment horizontal="center" vertical="top" wrapText="1"/>
    </xf>
    <xf numFmtId="3" fontId="19" fillId="0" borderId="41" xfId="0" applyNumberFormat="1" applyFont="1" applyBorder="1" applyAlignment="1">
      <alignment horizontal="center" vertical="top"/>
    </xf>
    <xf numFmtId="3" fontId="20" fillId="0" borderId="40" xfId="0" applyNumberFormat="1" applyFont="1" applyFill="1" applyBorder="1" applyAlignment="1">
      <alignment horizontal="center" vertical="top" wrapText="1"/>
    </xf>
    <xf numFmtId="3" fontId="20" fillId="0" borderId="46" xfId="0" applyNumberFormat="1" applyFont="1" applyFill="1" applyBorder="1" applyAlignment="1">
      <alignment horizontal="center" vertical="top"/>
    </xf>
    <xf numFmtId="3" fontId="20" fillId="0" borderId="41" xfId="0" applyNumberFormat="1" applyFont="1" applyFill="1" applyBorder="1" applyAlignment="1">
      <alignment horizontal="center" vertical="top"/>
    </xf>
    <xf numFmtId="3" fontId="19" fillId="0" borderId="29" xfId="0" applyNumberFormat="1" applyFont="1" applyBorder="1" applyAlignment="1">
      <alignment horizontal="center" vertical="top" wrapText="1"/>
    </xf>
    <xf numFmtId="3" fontId="19" fillId="0" borderId="1" xfId="0" applyNumberFormat="1" applyFont="1" applyBorder="1" applyAlignment="1">
      <alignment horizontal="center" vertical="top"/>
    </xf>
    <xf numFmtId="0" fontId="22" fillId="0" borderId="0" xfId="0" applyFont="1"/>
    <xf numFmtId="49" fontId="3" fillId="3" borderId="11" xfId="0" applyNumberFormat="1" applyFont="1" applyFill="1" applyBorder="1" applyAlignment="1">
      <alignment horizontal="center" vertical="top" wrapText="1"/>
    </xf>
    <xf numFmtId="3" fontId="5" fillId="0" borderId="29" xfId="0" applyNumberFormat="1" applyFont="1" applyFill="1" applyBorder="1" applyAlignment="1">
      <alignment horizontal="center" vertical="top" wrapText="1"/>
    </xf>
    <xf numFmtId="3" fontId="1" fillId="0" borderId="40" xfId="0" applyNumberFormat="1" applyFont="1" applyFill="1" applyBorder="1" applyAlignment="1">
      <alignment horizontal="center" vertical="top"/>
    </xf>
    <xf numFmtId="3" fontId="1" fillId="0" borderId="28" xfId="0" applyNumberFormat="1" applyFont="1" applyFill="1" applyBorder="1" applyAlignment="1">
      <alignment horizontal="center" vertical="top" wrapText="1"/>
    </xf>
    <xf numFmtId="164" fontId="4" fillId="5" borderId="58" xfId="0" applyNumberFormat="1" applyFont="1" applyFill="1" applyBorder="1" applyAlignment="1">
      <alignment horizontal="center" vertical="top" wrapText="1"/>
    </xf>
    <xf numFmtId="164" fontId="4" fillId="5" borderId="50" xfId="0" applyNumberFormat="1" applyFont="1" applyFill="1" applyBorder="1" applyAlignment="1">
      <alignment horizontal="center" vertical="top" wrapText="1"/>
    </xf>
    <xf numFmtId="164" fontId="4" fillId="5" borderId="37" xfId="0" applyNumberFormat="1" applyFont="1" applyFill="1" applyBorder="1" applyAlignment="1">
      <alignment horizontal="center" vertical="top" wrapText="1"/>
    </xf>
    <xf numFmtId="164" fontId="4" fillId="5" borderId="57" xfId="0" applyNumberFormat="1" applyFont="1" applyFill="1" applyBorder="1" applyAlignment="1">
      <alignment horizontal="center" vertical="top" wrapText="1"/>
    </xf>
    <xf numFmtId="164" fontId="4" fillId="5" borderId="31" xfId="0" applyNumberFormat="1" applyFont="1" applyFill="1" applyBorder="1" applyAlignment="1">
      <alignment horizontal="center" vertical="top" wrapText="1"/>
    </xf>
    <xf numFmtId="0" fontId="1" fillId="5" borderId="13" xfId="0" applyNumberFormat="1" applyFont="1" applyFill="1" applyBorder="1" applyAlignment="1">
      <alignment horizontal="center" vertical="top" wrapText="1"/>
    </xf>
    <xf numFmtId="3" fontId="11" fillId="5" borderId="56" xfId="0" applyNumberFormat="1" applyFont="1" applyFill="1" applyBorder="1" applyAlignment="1">
      <alignment horizontal="center" vertical="center" textRotation="90" wrapText="1"/>
    </xf>
    <xf numFmtId="164" fontId="1" fillId="11" borderId="80" xfId="1" applyNumberFormat="1" applyFont="1" applyFill="1" applyBorder="1" applyAlignment="1">
      <alignment horizontal="center" vertical="top"/>
    </xf>
    <xf numFmtId="0" fontId="23" fillId="0" borderId="0" xfId="0" applyFont="1" applyAlignment="1">
      <alignment horizontal="center"/>
    </xf>
    <xf numFmtId="0" fontId="23" fillId="0" borderId="0" xfId="0" applyFont="1"/>
    <xf numFmtId="0" fontId="24" fillId="0" borderId="0" xfId="0" applyFont="1" applyAlignment="1">
      <alignment horizontal="center"/>
    </xf>
    <xf numFmtId="0" fontId="24" fillId="0" borderId="0" xfId="0" applyFont="1" applyAlignment="1">
      <alignment horizontal="center" vertical="center"/>
    </xf>
    <xf numFmtId="14" fontId="25" fillId="0" borderId="0" xfId="0" applyNumberFormat="1" applyFont="1" applyAlignment="1">
      <alignment horizontal="center"/>
    </xf>
    <xf numFmtId="2" fontId="24" fillId="0" borderId="0" xfId="0" applyNumberFormat="1" applyFont="1" applyAlignment="1">
      <alignment horizontal="center"/>
    </xf>
    <xf numFmtId="0" fontId="26" fillId="0" borderId="0" xfId="0" applyFont="1" applyAlignment="1">
      <alignment horizontal="center"/>
    </xf>
    <xf numFmtId="0" fontId="23" fillId="0" borderId="10" xfId="0" applyFont="1" applyBorder="1" applyAlignment="1">
      <alignment horizontal="center" vertical="top"/>
    </xf>
    <xf numFmtId="0" fontId="23" fillId="0" borderId="10" xfId="0" applyFont="1" applyBorder="1" applyAlignment="1">
      <alignment vertical="top" wrapText="1"/>
    </xf>
    <xf numFmtId="0" fontId="23" fillId="0" borderId="10" xfId="0" applyFont="1" applyBorder="1" applyAlignment="1">
      <alignment horizontal="center" vertical="center"/>
    </xf>
    <xf numFmtId="0" fontId="23" fillId="0" borderId="10" xfId="0" applyFont="1" applyBorder="1" applyAlignment="1">
      <alignment vertical="top"/>
    </xf>
    <xf numFmtId="2" fontId="23" fillId="0" borderId="10" xfId="0" applyNumberFormat="1" applyFont="1" applyBorder="1" applyAlignment="1">
      <alignment horizontal="center" vertical="top"/>
    </xf>
    <xf numFmtId="0" fontId="23" fillId="0" borderId="0" xfId="0" applyFont="1" applyAlignment="1">
      <alignment vertical="top"/>
    </xf>
    <xf numFmtId="0" fontId="16" fillId="0" borderId="10" xfId="0" applyFont="1" applyBorder="1" applyAlignment="1">
      <alignment vertical="top" wrapText="1"/>
    </xf>
    <xf numFmtId="0" fontId="23" fillId="0" borderId="71" xfId="0" applyFont="1" applyBorder="1" applyAlignment="1">
      <alignment horizontal="center" vertical="top"/>
    </xf>
    <xf numFmtId="0" fontId="23" fillId="0" borderId="10" xfId="0" applyFont="1" applyBorder="1" applyAlignment="1">
      <alignment horizontal="left" vertical="top" wrapText="1"/>
    </xf>
    <xf numFmtId="0" fontId="23" fillId="0" borderId="0" xfId="0" applyFont="1" applyAlignment="1">
      <alignment horizontal="center" vertical="top"/>
    </xf>
    <xf numFmtId="0" fontId="23" fillId="5" borderId="10" xfId="0" applyFont="1" applyFill="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top" wrapText="1"/>
    </xf>
    <xf numFmtId="2" fontId="28" fillId="0" borderId="10" xfId="0" applyNumberFormat="1" applyFont="1" applyBorder="1" applyAlignment="1">
      <alignment horizontal="center" vertical="center"/>
    </xf>
    <xf numFmtId="0" fontId="15" fillId="0" borderId="0" xfId="0" applyFont="1"/>
    <xf numFmtId="0" fontId="15" fillId="0" borderId="0" xfId="0" applyFont="1" applyAlignment="1">
      <alignment horizontal="center" vertical="center"/>
    </xf>
    <xf numFmtId="0" fontId="25" fillId="0" borderId="23" xfId="0" applyFont="1" applyBorder="1" applyAlignment="1"/>
    <xf numFmtId="2" fontId="25" fillId="0" borderId="23" xfId="0" applyNumberFormat="1" applyFont="1" applyBorder="1" applyAlignment="1">
      <alignment horizontal="center"/>
    </xf>
    <xf numFmtId="0" fontId="25" fillId="0" borderId="0" xfId="0" applyFont="1" applyBorder="1" applyAlignment="1"/>
    <xf numFmtId="0" fontId="29" fillId="0" borderId="0" xfId="0" applyFont="1"/>
    <xf numFmtId="2" fontId="23" fillId="0" borderId="0" xfId="0" applyNumberFormat="1" applyFont="1" applyAlignment="1">
      <alignment horizontal="center"/>
    </xf>
    <xf numFmtId="0" fontId="23" fillId="0" borderId="0" xfId="0" applyFont="1" applyAlignment="1">
      <alignment horizontal="center" vertical="center"/>
    </xf>
    <xf numFmtId="165" fontId="24" fillId="0" borderId="0" xfId="0" applyNumberFormat="1" applyFont="1" applyAlignment="1">
      <alignment horizontal="center"/>
    </xf>
    <xf numFmtId="165" fontId="23" fillId="0" borderId="10" xfId="0" applyNumberFormat="1" applyFont="1" applyBorder="1" applyAlignment="1">
      <alignment horizontal="center" vertical="top"/>
    </xf>
    <xf numFmtId="0" fontId="23" fillId="0" borderId="67" xfId="0" applyFont="1" applyBorder="1" applyAlignment="1">
      <alignment vertical="top" wrapText="1"/>
    </xf>
    <xf numFmtId="0" fontId="23" fillId="0" borderId="14" xfId="0" applyFont="1" applyBorder="1" applyAlignment="1">
      <alignment horizontal="center" vertical="center"/>
    </xf>
    <xf numFmtId="0" fontId="23" fillId="0" borderId="14" xfId="0" applyFont="1" applyBorder="1" applyAlignment="1">
      <alignment vertical="top"/>
    </xf>
    <xf numFmtId="0" fontId="23" fillId="0" borderId="14" xfId="0" applyFont="1" applyBorder="1" applyAlignment="1">
      <alignment vertical="top" wrapText="1"/>
    </xf>
    <xf numFmtId="165" fontId="28" fillId="0" borderId="14" xfId="0" applyNumberFormat="1" applyFont="1" applyBorder="1" applyAlignment="1">
      <alignment horizontal="center" vertical="top"/>
    </xf>
    <xf numFmtId="0" fontId="28" fillId="0" borderId="14" xfId="0" applyFont="1" applyBorder="1" applyAlignment="1">
      <alignment vertical="top" wrapText="1"/>
    </xf>
    <xf numFmtId="0" fontId="28" fillId="0" borderId="14" xfId="0" applyFont="1" applyBorder="1" applyAlignment="1">
      <alignment vertical="top"/>
    </xf>
    <xf numFmtId="2" fontId="28" fillId="0" borderId="14" xfId="0" applyNumberFormat="1" applyFont="1" applyBorder="1" applyAlignment="1">
      <alignment horizontal="center" vertical="top"/>
    </xf>
    <xf numFmtId="0" fontId="23" fillId="0" borderId="71" xfId="0" applyFont="1" applyBorder="1" applyAlignment="1">
      <alignment vertical="top"/>
    </xf>
    <xf numFmtId="165" fontId="23" fillId="0" borderId="10" xfId="0" applyNumberFormat="1" applyFont="1" applyBorder="1" applyAlignment="1">
      <alignment horizontal="center" vertical="top" wrapText="1"/>
    </xf>
    <xf numFmtId="0" fontId="23" fillId="0" borderId="67" xfId="0" applyFont="1" applyBorder="1" applyAlignment="1">
      <alignment horizontal="left" vertical="top" wrapText="1"/>
    </xf>
    <xf numFmtId="0" fontId="23" fillId="0" borderId="14" xfId="0" applyFont="1" applyBorder="1" applyAlignment="1">
      <alignment horizontal="center" vertical="center" wrapText="1"/>
    </xf>
    <xf numFmtId="0" fontId="23" fillId="0" borderId="14" xfId="0" applyFont="1" applyBorder="1" applyAlignment="1">
      <alignment horizontal="center" vertical="top" wrapText="1"/>
    </xf>
    <xf numFmtId="2" fontId="23" fillId="0" borderId="14" xfId="0" applyNumberFormat="1" applyFont="1" applyBorder="1" applyAlignment="1">
      <alignment horizontal="center" vertical="top"/>
    </xf>
    <xf numFmtId="165" fontId="28" fillId="0" borderId="14" xfId="0" applyNumberFormat="1" applyFont="1" applyBorder="1" applyAlignment="1">
      <alignment horizontal="center" vertical="top" wrapText="1"/>
    </xf>
    <xf numFmtId="0" fontId="23" fillId="0" borderId="71" xfId="0" applyFont="1" applyBorder="1" applyAlignment="1">
      <alignment horizontal="center" vertical="top" wrapText="1"/>
    </xf>
    <xf numFmtId="165" fontId="28" fillId="0" borderId="10" xfId="0" applyNumberFormat="1" applyFont="1" applyBorder="1" applyAlignment="1">
      <alignment horizontal="center" vertical="top"/>
    </xf>
    <xf numFmtId="165" fontId="28" fillId="0" borderId="10" xfId="0" applyNumberFormat="1" applyFont="1" applyBorder="1" applyAlignment="1">
      <alignment horizontal="center" vertical="center"/>
    </xf>
    <xf numFmtId="165" fontId="15" fillId="0" borderId="0" xfId="0" applyNumberFormat="1" applyFont="1" applyAlignment="1">
      <alignment horizontal="center"/>
    </xf>
    <xf numFmtId="165" fontId="23" fillId="0" borderId="0" xfId="0" applyNumberFormat="1" applyFont="1" applyAlignment="1">
      <alignment horizontal="center"/>
    </xf>
    <xf numFmtId="0" fontId="23" fillId="5" borderId="14" xfId="0" applyFont="1" applyFill="1" applyBorder="1" applyAlignment="1">
      <alignment horizontal="center" vertical="center"/>
    </xf>
    <xf numFmtId="165" fontId="23" fillId="0" borderId="14" xfId="0" applyNumberFormat="1" applyFont="1" applyBorder="1" applyAlignment="1">
      <alignment horizontal="center" vertical="top"/>
    </xf>
    <xf numFmtId="165" fontId="23" fillId="0" borderId="0" xfId="0" applyNumberFormat="1" applyFont="1"/>
    <xf numFmtId="165" fontId="23" fillId="7" borderId="10" xfId="0" applyNumberFormat="1" applyFont="1" applyFill="1" applyBorder="1" applyAlignment="1">
      <alignment horizontal="right"/>
    </xf>
    <xf numFmtId="165" fontId="23" fillId="7" borderId="10" xfId="0" applyNumberFormat="1" applyFont="1" applyFill="1" applyBorder="1" applyAlignment="1">
      <alignment horizontal="right" vertical="top"/>
    </xf>
    <xf numFmtId="165" fontId="28" fillId="7" borderId="10" xfId="0" applyNumberFormat="1" applyFont="1" applyFill="1" applyBorder="1" applyAlignment="1">
      <alignment horizontal="right" vertical="top"/>
    </xf>
    <xf numFmtId="165" fontId="28" fillId="7" borderId="10" xfId="0" applyNumberFormat="1" applyFont="1" applyFill="1" applyBorder="1" applyAlignment="1">
      <alignment horizontal="right"/>
    </xf>
    <xf numFmtId="0" fontId="28" fillId="4" borderId="10" xfId="0" applyFont="1" applyFill="1" applyBorder="1" applyAlignment="1">
      <alignment horizontal="right"/>
    </xf>
    <xf numFmtId="164" fontId="1" fillId="5" borderId="0" xfId="0" applyNumberFormat="1" applyFont="1" applyFill="1" applyBorder="1" applyAlignment="1">
      <alignment horizontal="center" vertical="center" wrapText="1"/>
    </xf>
    <xf numFmtId="164" fontId="1" fillId="5" borderId="0" xfId="0" applyNumberFormat="1" applyFont="1" applyFill="1" applyBorder="1" applyAlignment="1">
      <alignment horizontal="center" vertical="center"/>
    </xf>
    <xf numFmtId="164" fontId="1" fillId="5" borderId="49" xfId="0" applyNumberFormat="1" applyFont="1" applyFill="1" applyBorder="1" applyAlignment="1">
      <alignment horizontal="center" vertical="top"/>
    </xf>
    <xf numFmtId="164" fontId="1" fillId="5" borderId="56" xfId="0" applyNumberFormat="1" applyFont="1" applyFill="1" applyBorder="1" applyAlignment="1">
      <alignment horizontal="center" vertical="top"/>
    </xf>
    <xf numFmtId="3" fontId="1" fillId="0" borderId="34" xfId="0" applyNumberFormat="1" applyFont="1" applyFill="1" applyBorder="1" applyAlignment="1">
      <alignment horizontal="center" vertical="top" wrapText="1"/>
    </xf>
    <xf numFmtId="164" fontId="1" fillId="5" borderId="56" xfId="0" applyNumberFormat="1" applyFont="1" applyFill="1" applyBorder="1" applyAlignment="1">
      <alignment vertical="top"/>
    </xf>
    <xf numFmtId="3" fontId="1" fillId="0" borderId="38" xfId="0" applyNumberFormat="1" applyFont="1" applyFill="1" applyBorder="1" applyAlignment="1">
      <alignment horizontal="center" vertical="top"/>
    </xf>
    <xf numFmtId="3" fontId="1" fillId="5" borderId="18" xfId="0" applyNumberFormat="1" applyFont="1" applyFill="1" applyBorder="1" applyAlignment="1">
      <alignment horizontal="center" vertical="top" wrapText="1"/>
    </xf>
    <xf numFmtId="3" fontId="1" fillId="0" borderId="0" xfId="0" applyNumberFormat="1" applyFont="1" applyBorder="1"/>
    <xf numFmtId="0" fontId="1" fillId="5"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40" xfId="0" applyNumberFormat="1" applyFont="1" applyFill="1" applyBorder="1" applyAlignment="1">
      <alignment horizontal="center" vertical="top" wrapText="1"/>
    </xf>
    <xf numFmtId="164" fontId="1" fillId="3" borderId="22" xfId="0" applyNumberFormat="1" applyFont="1" applyFill="1" applyBorder="1" applyAlignment="1">
      <alignment horizontal="center" vertical="top"/>
    </xf>
    <xf numFmtId="164" fontId="1" fillId="3" borderId="56" xfId="0" applyNumberFormat="1" applyFont="1" applyFill="1" applyBorder="1" applyAlignment="1">
      <alignment horizontal="center" vertical="top"/>
    </xf>
    <xf numFmtId="164" fontId="1" fillId="0" borderId="24" xfId="0" applyNumberFormat="1" applyFont="1" applyFill="1" applyBorder="1" applyAlignment="1">
      <alignment horizontal="center" vertical="top"/>
    </xf>
    <xf numFmtId="3" fontId="1" fillId="5" borderId="67" xfId="0" applyNumberFormat="1" applyFont="1" applyFill="1" applyBorder="1" applyAlignment="1">
      <alignment vertical="top"/>
    </xf>
    <xf numFmtId="3" fontId="1" fillId="0" borderId="9" xfId="0" applyNumberFormat="1" applyFont="1" applyBorder="1" applyAlignment="1">
      <alignment horizontal="center" vertical="top"/>
    </xf>
    <xf numFmtId="0" fontId="1" fillId="5" borderId="56"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3" fontId="1" fillId="0" borderId="54" xfId="0" applyNumberFormat="1" applyFont="1" applyBorder="1" applyAlignment="1">
      <alignment horizontal="center" vertical="top"/>
    </xf>
    <xf numFmtId="164" fontId="1" fillId="0" borderId="10" xfId="0" applyNumberFormat="1" applyFont="1" applyFill="1" applyBorder="1" applyAlignment="1">
      <alignment horizontal="center" vertical="top"/>
    </xf>
    <xf numFmtId="164" fontId="1" fillId="0" borderId="58" xfId="0" applyNumberFormat="1" applyFont="1" applyFill="1" applyBorder="1" applyAlignment="1">
      <alignment horizontal="center" vertical="top"/>
    </xf>
    <xf numFmtId="164" fontId="1" fillId="10" borderId="81" xfId="1" applyNumberFormat="1" applyFont="1" applyFill="1" applyBorder="1" applyAlignment="1">
      <alignment horizontal="center" vertical="top"/>
    </xf>
    <xf numFmtId="3" fontId="1" fillId="3" borderId="37" xfId="0" applyNumberFormat="1" applyFont="1" applyFill="1" applyBorder="1" applyAlignment="1">
      <alignment horizontal="center" vertical="top"/>
    </xf>
    <xf numFmtId="49" fontId="1" fillId="3" borderId="57" xfId="0" applyNumberFormat="1" applyFont="1" applyFill="1" applyBorder="1" applyAlignment="1">
      <alignment horizontal="center" vertical="top" wrapText="1"/>
    </xf>
    <xf numFmtId="3" fontId="20" fillId="5" borderId="22" xfId="0" applyNumberFormat="1" applyFont="1" applyFill="1" applyBorder="1" applyAlignment="1">
      <alignment horizontal="center" vertical="top" wrapText="1"/>
    </xf>
    <xf numFmtId="3" fontId="5" fillId="5" borderId="23" xfId="0" applyNumberFormat="1" applyFont="1" applyFill="1" applyBorder="1" applyAlignment="1">
      <alignment horizontal="center" vertical="top" wrapText="1"/>
    </xf>
    <xf numFmtId="3" fontId="11" fillId="5" borderId="71" xfId="0" applyNumberFormat="1" applyFont="1" applyFill="1" applyBorder="1" applyAlignment="1">
      <alignment horizontal="center" vertical="center" textRotation="90" wrapText="1"/>
    </xf>
    <xf numFmtId="3" fontId="11" fillId="5" borderId="75" xfId="0" applyNumberFormat="1" applyFont="1" applyFill="1" applyBorder="1" applyAlignment="1">
      <alignment horizontal="center" vertical="center" textRotation="90" wrapText="1"/>
    </xf>
    <xf numFmtId="3" fontId="1" fillId="5" borderId="0" xfId="0" applyNumberFormat="1" applyFont="1" applyFill="1"/>
    <xf numFmtId="3" fontId="5" fillId="0" borderId="1" xfId="0" applyNumberFormat="1" applyFont="1" applyFill="1" applyBorder="1" applyAlignment="1">
      <alignment horizontal="center" vertical="top"/>
    </xf>
    <xf numFmtId="164" fontId="1" fillId="12" borderId="78" xfId="1" applyNumberFormat="1" applyFont="1" applyFill="1" applyBorder="1" applyAlignment="1">
      <alignment horizontal="center" vertical="top"/>
    </xf>
    <xf numFmtId="164" fontId="1" fillId="11" borderId="54" xfId="1" applyNumberFormat="1" applyFont="1" applyFill="1" applyBorder="1" applyAlignment="1">
      <alignment horizontal="center" vertical="top"/>
    </xf>
    <xf numFmtId="164" fontId="1" fillId="12" borderId="76" xfId="1" applyNumberFormat="1" applyFont="1" applyFill="1" applyBorder="1" applyAlignment="1">
      <alignment horizontal="center" vertical="top"/>
    </xf>
    <xf numFmtId="164" fontId="1" fillId="12" borderId="79" xfId="1" applyNumberFormat="1" applyFont="1" applyFill="1" applyBorder="1" applyAlignment="1">
      <alignment horizontal="center" vertical="top"/>
    </xf>
    <xf numFmtId="0" fontId="30" fillId="5" borderId="9" xfId="0" applyNumberFormat="1" applyFont="1" applyFill="1" applyBorder="1" applyAlignment="1">
      <alignment horizontal="center" vertical="top" wrapText="1"/>
    </xf>
    <xf numFmtId="3" fontId="1" fillId="5" borderId="58" xfId="0" applyNumberFormat="1" applyFont="1" applyFill="1" applyBorder="1"/>
    <xf numFmtId="3" fontId="1" fillId="5" borderId="57" xfId="0" applyNumberFormat="1" applyFont="1" applyFill="1" applyBorder="1" applyAlignment="1">
      <alignment horizontal="center" vertical="top" wrapText="1"/>
    </xf>
    <xf numFmtId="49" fontId="3" fillId="2" borderId="4" xfId="0" applyNumberFormat="1" applyFont="1" applyFill="1" applyBorder="1" applyAlignment="1">
      <alignment vertical="top"/>
    </xf>
    <xf numFmtId="49" fontId="3" fillId="2" borderId="11" xfId="0" applyNumberFormat="1" applyFont="1" applyFill="1" applyBorder="1" applyAlignment="1">
      <alignment vertical="top"/>
    </xf>
    <xf numFmtId="49" fontId="3" fillId="2" borderId="16" xfId="0" applyNumberFormat="1" applyFont="1" applyFill="1" applyBorder="1" applyAlignment="1">
      <alignment vertical="top"/>
    </xf>
    <xf numFmtId="49" fontId="3" fillId="3" borderId="29" xfId="0" applyNumberFormat="1" applyFont="1" applyFill="1" applyBorder="1" applyAlignment="1">
      <alignment vertical="top"/>
    </xf>
    <xf numFmtId="49" fontId="3" fillId="3" borderId="0" xfId="0" applyNumberFormat="1" applyFont="1" applyFill="1" applyBorder="1" applyAlignment="1">
      <alignment vertical="top"/>
    </xf>
    <xf numFmtId="49" fontId="3" fillId="3" borderId="1" xfId="0" applyNumberFormat="1" applyFont="1" applyFill="1" applyBorder="1" applyAlignment="1">
      <alignment vertical="top"/>
    </xf>
    <xf numFmtId="3" fontId="4" fillId="0" borderId="12" xfId="0" applyNumberFormat="1" applyFont="1" applyFill="1" applyBorder="1" applyAlignment="1">
      <alignment vertical="top" wrapText="1"/>
    </xf>
    <xf numFmtId="3" fontId="4" fillId="0" borderId="17" xfId="0" applyNumberFormat="1" applyFont="1" applyFill="1" applyBorder="1" applyAlignment="1">
      <alignment vertical="top" wrapText="1"/>
    </xf>
    <xf numFmtId="0" fontId="1" fillId="5" borderId="26" xfId="0" applyNumberFormat="1" applyFont="1" applyFill="1" applyBorder="1" applyAlignment="1">
      <alignment vertical="top" wrapText="1"/>
    </xf>
    <xf numFmtId="3" fontId="4" fillId="0" borderId="9" xfId="0" applyNumberFormat="1" applyFont="1" applyBorder="1" applyAlignment="1">
      <alignment horizontal="center" vertical="top"/>
    </xf>
    <xf numFmtId="0" fontId="30" fillId="5" borderId="49" xfId="0" applyNumberFormat="1" applyFont="1" applyFill="1" applyBorder="1" applyAlignment="1">
      <alignment horizontal="center" vertical="top" wrapText="1"/>
    </xf>
    <xf numFmtId="0" fontId="1" fillId="5" borderId="55" xfId="0" applyNumberFormat="1" applyFont="1" applyFill="1" applyBorder="1" applyAlignment="1">
      <alignment horizontal="center" vertical="top" wrapText="1"/>
    </xf>
    <xf numFmtId="3" fontId="1" fillId="0" borderId="9" xfId="0" applyNumberFormat="1" applyFont="1" applyBorder="1" applyAlignment="1">
      <alignment vertical="top"/>
    </xf>
    <xf numFmtId="3" fontId="1" fillId="0" borderId="15" xfId="0" applyNumberFormat="1" applyFont="1" applyBorder="1" applyAlignment="1">
      <alignment vertical="top"/>
    </xf>
    <xf numFmtId="164" fontId="3" fillId="4" borderId="74" xfId="0" applyNumberFormat="1" applyFont="1" applyFill="1" applyBorder="1" applyAlignment="1">
      <alignment horizontal="center" vertical="top" wrapText="1"/>
    </xf>
    <xf numFmtId="3" fontId="1" fillId="0" borderId="26" xfId="0" applyNumberFormat="1" applyFont="1" applyBorder="1" applyAlignment="1">
      <alignment horizontal="left" vertical="top"/>
    </xf>
    <xf numFmtId="3" fontId="13" fillId="0" borderId="0" xfId="0" applyNumberFormat="1" applyFont="1" applyAlignment="1">
      <alignment vertical="top" wrapText="1"/>
    </xf>
    <xf numFmtId="3" fontId="1" fillId="0" borderId="33" xfId="0" applyNumberFormat="1" applyFont="1" applyBorder="1" applyAlignment="1">
      <alignment horizontal="center" vertical="center" textRotation="90"/>
    </xf>
    <xf numFmtId="3" fontId="1" fillId="5" borderId="68" xfId="0" applyNumberFormat="1" applyFont="1" applyFill="1" applyBorder="1" applyAlignment="1">
      <alignment horizontal="center" vertical="top" wrapText="1"/>
    </xf>
    <xf numFmtId="3" fontId="1" fillId="0" borderId="65" xfId="0" applyNumberFormat="1" applyFont="1" applyBorder="1" applyAlignment="1">
      <alignment horizontal="center" vertical="top" wrapText="1"/>
    </xf>
    <xf numFmtId="0" fontId="1" fillId="0" borderId="38" xfId="0" applyFont="1" applyBorder="1" applyAlignment="1">
      <alignment horizontal="center" vertical="top" wrapText="1"/>
    </xf>
    <xf numFmtId="164" fontId="4" fillId="0" borderId="46" xfId="0" applyNumberFormat="1" applyFont="1" applyBorder="1" applyAlignment="1">
      <alignment horizontal="center" vertical="top"/>
    </xf>
    <xf numFmtId="3" fontId="1" fillId="0" borderId="58" xfId="0" applyNumberFormat="1" applyFont="1" applyBorder="1" applyAlignment="1">
      <alignment horizontal="center" vertical="top" wrapText="1"/>
    </xf>
    <xf numFmtId="164" fontId="1" fillId="11" borderId="72" xfId="1" applyNumberFormat="1" applyFont="1" applyFill="1" applyBorder="1" applyAlignment="1">
      <alignment horizontal="center" vertical="top"/>
    </xf>
    <xf numFmtId="164" fontId="4" fillId="5" borderId="0" xfId="0" applyNumberFormat="1" applyFont="1" applyFill="1" applyBorder="1" applyAlignment="1">
      <alignment horizontal="center" vertical="top" wrapText="1"/>
    </xf>
    <xf numFmtId="3" fontId="1" fillId="5" borderId="5" xfId="0" applyNumberFormat="1" applyFont="1" applyFill="1" applyBorder="1" applyAlignment="1">
      <alignment horizontal="center" vertical="top"/>
    </xf>
    <xf numFmtId="3" fontId="3" fillId="4" borderId="82" xfId="0" applyNumberFormat="1" applyFont="1" applyFill="1" applyBorder="1" applyAlignment="1">
      <alignment horizontal="right" vertical="top"/>
    </xf>
    <xf numFmtId="3" fontId="1" fillId="5" borderId="44" xfId="0" applyNumberFormat="1" applyFont="1" applyFill="1" applyBorder="1" applyAlignment="1">
      <alignment horizontal="center" vertical="top" wrapText="1"/>
    </xf>
    <xf numFmtId="3" fontId="4" fillId="5" borderId="12" xfId="0" applyNumberFormat="1" applyFont="1" applyFill="1" applyBorder="1" applyAlignment="1">
      <alignment horizontal="center" vertical="top"/>
    </xf>
    <xf numFmtId="164" fontId="4" fillId="3" borderId="6" xfId="0" applyNumberFormat="1" applyFont="1" applyFill="1" applyBorder="1" applyAlignment="1">
      <alignment horizontal="center" vertical="top" wrapText="1"/>
    </xf>
    <xf numFmtId="164" fontId="3" fillId="5" borderId="15" xfId="0" applyNumberFormat="1" applyFont="1" applyFill="1" applyBorder="1" applyAlignment="1">
      <alignment horizontal="center" vertical="top"/>
    </xf>
    <xf numFmtId="164" fontId="1" fillId="0" borderId="0" xfId="0" applyNumberFormat="1" applyFont="1" applyBorder="1" applyAlignment="1">
      <alignment horizontal="left" vertical="top"/>
    </xf>
    <xf numFmtId="165" fontId="1" fillId="5" borderId="26" xfId="0" applyNumberFormat="1" applyFont="1" applyFill="1" applyBorder="1" applyAlignment="1">
      <alignment horizontal="center" vertical="center"/>
    </xf>
    <xf numFmtId="3" fontId="3" fillId="0" borderId="68" xfId="0" applyNumberFormat="1" applyFont="1" applyFill="1" applyBorder="1" applyAlignment="1">
      <alignment horizontal="center" vertical="top" wrapText="1"/>
    </xf>
    <xf numFmtId="3" fontId="3" fillId="0" borderId="65" xfId="0" applyNumberFormat="1" applyFont="1" applyFill="1" applyBorder="1" applyAlignment="1">
      <alignment horizontal="center" vertical="top" wrapText="1"/>
    </xf>
    <xf numFmtId="164" fontId="1" fillId="0" borderId="22" xfId="0" applyNumberFormat="1" applyFont="1" applyFill="1" applyBorder="1" applyAlignment="1">
      <alignment horizontal="center" vertical="top" wrapText="1"/>
    </xf>
    <xf numFmtId="164" fontId="1" fillId="0" borderId="56" xfId="0" applyNumberFormat="1" applyFont="1" applyFill="1" applyBorder="1" applyAlignment="1">
      <alignment horizontal="center" vertical="top" wrapText="1"/>
    </xf>
    <xf numFmtId="3" fontId="1" fillId="5" borderId="27" xfId="0" applyNumberFormat="1" applyFont="1" applyFill="1" applyBorder="1" applyAlignment="1">
      <alignment horizontal="center" vertical="top" wrapText="1"/>
    </xf>
    <xf numFmtId="3" fontId="1" fillId="0" borderId="54" xfId="0" applyNumberFormat="1" applyFont="1" applyFill="1" applyBorder="1" applyAlignment="1">
      <alignment vertical="top" wrapText="1"/>
    </xf>
    <xf numFmtId="3" fontId="1" fillId="5" borderId="54" xfId="0" applyNumberFormat="1" applyFont="1" applyFill="1" applyBorder="1" applyAlignment="1">
      <alignment vertical="top" wrapText="1"/>
    </xf>
    <xf numFmtId="0" fontId="1" fillId="5" borderId="54" xfId="0" applyNumberFormat="1" applyFont="1" applyFill="1" applyBorder="1" applyAlignment="1">
      <alignment vertical="top" wrapText="1"/>
    </xf>
    <xf numFmtId="0" fontId="1" fillId="5" borderId="54" xfId="0" applyNumberFormat="1" applyFont="1" applyFill="1" applyBorder="1" applyAlignment="1">
      <alignment horizontal="left" vertical="top" wrapText="1"/>
    </xf>
    <xf numFmtId="3" fontId="1" fillId="0" borderId="26" xfId="0" applyNumberFormat="1" applyFont="1" applyFill="1" applyBorder="1" applyAlignment="1">
      <alignment vertical="top" wrapText="1"/>
    </xf>
    <xf numFmtId="3" fontId="1" fillId="0" borderId="32" xfId="0" applyNumberFormat="1" applyFont="1" applyFill="1" applyBorder="1" applyAlignment="1">
      <alignment vertical="top" wrapText="1"/>
    </xf>
    <xf numFmtId="3" fontId="1" fillId="0" borderId="22" xfId="0" applyNumberFormat="1" applyFont="1" applyFill="1" applyBorder="1" applyAlignment="1">
      <alignment horizontal="left" vertical="top" wrapText="1"/>
    </xf>
    <xf numFmtId="3" fontId="1" fillId="0" borderId="22" xfId="0" applyNumberFormat="1" applyFont="1" applyBorder="1" applyAlignment="1">
      <alignment vertical="top" wrapText="1"/>
    </xf>
    <xf numFmtId="3" fontId="1" fillId="0" borderId="6" xfId="0" applyNumberFormat="1" applyFont="1" applyFill="1" applyBorder="1" applyAlignment="1">
      <alignment vertical="top" wrapText="1"/>
    </xf>
    <xf numFmtId="3" fontId="1" fillId="0" borderId="35" xfId="0" applyNumberFormat="1" applyFont="1" applyFill="1" applyBorder="1" applyAlignment="1">
      <alignment vertical="top" wrapText="1"/>
    </xf>
    <xf numFmtId="3" fontId="1" fillId="0" borderId="28" xfId="0" applyNumberFormat="1" applyFont="1" applyFill="1" applyBorder="1" applyAlignment="1">
      <alignment vertical="top" wrapText="1"/>
    </xf>
    <xf numFmtId="3" fontId="1" fillId="5" borderId="63" xfId="0" applyNumberFormat="1" applyFont="1" applyFill="1" applyBorder="1" applyAlignment="1">
      <alignment horizontal="center" vertical="top" wrapText="1"/>
    </xf>
    <xf numFmtId="3" fontId="4" fillId="0" borderId="22" xfId="0" applyNumberFormat="1" applyFont="1" applyBorder="1" applyAlignment="1">
      <alignment horizontal="left" vertical="top" wrapText="1"/>
    </xf>
    <xf numFmtId="0" fontId="1" fillId="5" borderId="54" xfId="0" applyFont="1" applyFill="1" applyBorder="1" applyAlignment="1">
      <alignment horizontal="left" vertical="top" wrapText="1"/>
    </xf>
    <xf numFmtId="3" fontId="1" fillId="0" borderId="32" xfId="0" applyNumberFormat="1" applyFont="1" applyBorder="1" applyAlignment="1">
      <alignment horizontal="left" vertical="top" wrapText="1"/>
    </xf>
    <xf numFmtId="3" fontId="1" fillId="0" borderId="27" xfId="0" applyNumberFormat="1" applyFont="1" applyBorder="1" applyAlignment="1">
      <alignment horizontal="center"/>
    </xf>
    <xf numFmtId="3" fontId="1" fillId="0" borderId="36" xfId="0" applyNumberFormat="1" applyFont="1" applyBorder="1" applyAlignment="1">
      <alignment horizontal="center"/>
    </xf>
    <xf numFmtId="3" fontId="1" fillId="0" borderId="38" xfId="0" applyNumberFormat="1" applyFont="1" applyBorder="1" applyAlignment="1">
      <alignment horizontal="center" vertical="top" wrapText="1"/>
    </xf>
    <xf numFmtId="164" fontId="1" fillId="5" borderId="65" xfId="0" applyNumberFormat="1" applyFont="1" applyFill="1" applyBorder="1" applyAlignment="1">
      <alignment horizontal="center" vertical="top"/>
    </xf>
    <xf numFmtId="164" fontId="1" fillId="0" borderId="6" xfId="0" applyNumberFormat="1" applyFont="1" applyFill="1" applyBorder="1" applyAlignment="1">
      <alignment horizontal="center" vertical="top" wrapText="1"/>
    </xf>
    <xf numFmtId="164" fontId="3" fillId="3" borderId="0" xfId="0" applyNumberFormat="1" applyFont="1" applyFill="1" applyBorder="1" applyAlignment="1">
      <alignment horizontal="left" vertical="top" wrapText="1"/>
    </xf>
    <xf numFmtId="164" fontId="1" fillId="0" borderId="56" xfId="0" applyNumberFormat="1" applyFont="1" applyFill="1" applyBorder="1" applyAlignment="1">
      <alignment horizontal="center" vertical="top"/>
    </xf>
    <xf numFmtId="1" fontId="1" fillId="5" borderId="11" xfId="0" applyNumberFormat="1" applyFont="1" applyFill="1" applyBorder="1" applyAlignment="1">
      <alignment horizontal="center" vertical="top" wrapText="1"/>
    </xf>
    <xf numFmtId="1" fontId="1" fillId="0" borderId="46" xfId="0" applyNumberFormat="1" applyFont="1" applyFill="1" applyBorder="1" applyAlignment="1">
      <alignment horizontal="center" vertical="top" wrapText="1"/>
    </xf>
    <xf numFmtId="1" fontId="1" fillId="0" borderId="15" xfId="0" applyNumberFormat="1" applyFont="1" applyFill="1" applyBorder="1" applyAlignment="1">
      <alignment horizontal="center" vertical="top" wrapText="1"/>
    </xf>
    <xf numFmtId="1" fontId="1" fillId="0" borderId="58" xfId="0" applyNumberFormat="1" applyFont="1" applyFill="1" applyBorder="1" applyAlignment="1">
      <alignment horizontal="center" vertical="top" wrapText="1"/>
    </xf>
    <xf numFmtId="1" fontId="1" fillId="5" borderId="49" xfId="0" applyNumberFormat="1" applyFont="1" applyFill="1" applyBorder="1" applyAlignment="1">
      <alignment horizontal="center" vertical="top" wrapText="1"/>
    </xf>
    <xf numFmtId="1" fontId="1" fillId="0" borderId="55" xfId="0" applyNumberFormat="1" applyFont="1" applyFill="1" applyBorder="1" applyAlignment="1">
      <alignment horizontal="center" vertical="top" wrapText="1"/>
    </xf>
    <xf numFmtId="1" fontId="1" fillId="5" borderId="55" xfId="0" applyNumberFormat="1" applyFont="1" applyFill="1" applyBorder="1" applyAlignment="1">
      <alignment horizontal="center" vertical="top" wrapText="1"/>
    </xf>
    <xf numFmtId="1" fontId="30" fillId="5" borderId="10" xfId="0" applyNumberFormat="1" applyFont="1" applyFill="1" applyBorder="1" applyAlignment="1">
      <alignment horizontal="center" vertical="top" wrapText="1"/>
    </xf>
    <xf numFmtId="1" fontId="30" fillId="5" borderId="49" xfId="0" applyNumberFormat="1" applyFont="1" applyFill="1" applyBorder="1" applyAlignment="1">
      <alignment horizontal="center" vertical="top" wrapText="1"/>
    </xf>
    <xf numFmtId="1" fontId="1" fillId="0" borderId="10" xfId="0" applyNumberFormat="1" applyFont="1" applyBorder="1" applyAlignment="1">
      <alignment horizontal="center" vertical="top"/>
    </xf>
    <xf numFmtId="1" fontId="1" fillId="5" borderId="67" xfId="0" applyNumberFormat="1" applyFont="1" applyFill="1" applyBorder="1" applyAlignment="1">
      <alignment horizontal="center" vertical="top" wrapText="1"/>
    </xf>
    <xf numFmtId="1" fontId="1" fillId="0" borderId="58" xfId="0" applyNumberFormat="1" applyFont="1" applyBorder="1" applyAlignment="1">
      <alignment horizontal="center" vertical="top"/>
    </xf>
    <xf numFmtId="1" fontId="1" fillId="0" borderId="10" xfId="0" applyNumberFormat="1" applyFont="1" applyFill="1" applyBorder="1" applyAlignment="1">
      <alignment horizontal="center" vertical="top" wrapText="1"/>
    </xf>
    <xf numFmtId="1" fontId="1" fillId="0" borderId="24" xfId="0" applyNumberFormat="1" applyFont="1" applyFill="1" applyBorder="1" applyAlignment="1">
      <alignment horizontal="center" vertical="top" wrapText="1"/>
    </xf>
    <xf numFmtId="1" fontId="1" fillId="0" borderId="49" xfId="0" applyNumberFormat="1" applyFont="1" applyFill="1" applyBorder="1" applyAlignment="1">
      <alignment horizontal="center" vertical="top" wrapText="1"/>
    </xf>
    <xf numFmtId="1" fontId="1" fillId="5" borderId="15" xfId="0" applyNumberFormat="1" applyFont="1" applyFill="1" applyBorder="1" applyAlignment="1">
      <alignment horizontal="center" vertical="top" wrapText="1"/>
    </xf>
    <xf numFmtId="1" fontId="1" fillId="5" borderId="58" xfId="0" applyNumberFormat="1" applyFont="1" applyFill="1" applyBorder="1" applyAlignment="1">
      <alignment horizontal="center" vertical="top" wrapText="1"/>
    </xf>
    <xf numFmtId="1" fontId="1" fillId="0" borderId="36" xfId="0" applyNumberFormat="1" applyFont="1" applyFill="1" applyBorder="1" applyAlignment="1">
      <alignment horizontal="center" vertical="top" wrapText="1"/>
    </xf>
    <xf numFmtId="1" fontId="1" fillId="0" borderId="11" xfId="0" applyNumberFormat="1" applyFont="1" applyFill="1" applyBorder="1" applyAlignment="1">
      <alignment horizontal="center" vertical="top" wrapText="1"/>
    </xf>
    <xf numFmtId="1" fontId="1" fillId="5" borderId="4" xfId="0" applyNumberFormat="1" applyFont="1" applyFill="1" applyBorder="1" applyAlignment="1">
      <alignment horizontal="center" vertical="top" wrapText="1"/>
    </xf>
    <xf numFmtId="164" fontId="1" fillId="3" borderId="24" xfId="0" applyNumberFormat="1" applyFont="1" applyFill="1" applyBorder="1" applyAlignment="1">
      <alignment horizontal="center" vertical="top" wrapText="1"/>
    </xf>
    <xf numFmtId="3" fontId="1" fillId="5" borderId="5" xfId="0" applyNumberFormat="1" applyFont="1" applyFill="1" applyBorder="1" applyAlignment="1">
      <alignment horizontal="center" vertical="top" wrapText="1"/>
    </xf>
    <xf numFmtId="3" fontId="4" fillId="5" borderId="22" xfId="0" applyNumberFormat="1" applyFont="1" applyFill="1" applyBorder="1" applyAlignment="1">
      <alignment horizontal="left" vertical="top" wrapText="1"/>
    </xf>
    <xf numFmtId="164" fontId="1" fillId="10" borderId="11" xfId="1" applyNumberFormat="1" applyFont="1" applyFill="1" applyBorder="1" applyAlignment="1">
      <alignment horizontal="center" vertical="top"/>
    </xf>
    <xf numFmtId="164" fontId="1" fillId="10" borderId="83" xfId="1" applyNumberFormat="1" applyFont="1" applyFill="1" applyBorder="1" applyAlignment="1">
      <alignment horizontal="center" vertical="top"/>
    </xf>
    <xf numFmtId="49" fontId="3" fillId="2" borderId="36" xfId="0" applyNumberFormat="1" applyFont="1" applyFill="1" applyBorder="1" applyAlignment="1">
      <alignment horizontal="center" vertical="top"/>
    </xf>
    <xf numFmtId="49" fontId="3" fillId="9" borderId="9" xfId="0" applyNumberFormat="1" applyFont="1" applyFill="1" applyBorder="1" applyAlignment="1">
      <alignment horizontal="center" vertical="top" wrapText="1"/>
    </xf>
    <xf numFmtId="49" fontId="19" fillId="5" borderId="47" xfId="0" applyNumberFormat="1" applyFont="1" applyFill="1" applyBorder="1" applyAlignment="1">
      <alignment horizontal="center" vertical="top" wrapText="1"/>
    </xf>
    <xf numFmtId="49" fontId="19" fillId="5" borderId="51" xfId="0" applyNumberFormat="1" applyFont="1" applyFill="1" applyBorder="1" applyAlignment="1">
      <alignment horizontal="center" vertical="top" wrapText="1"/>
    </xf>
    <xf numFmtId="3" fontId="1" fillId="5" borderId="31" xfId="0" applyNumberFormat="1" applyFont="1" applyFill="1" applyBorder="1" applyAlignment="1">
      <alignment horizontal="center" vertical="top" wrapText="1"/>
    </xf>
    <xf numFmtId="164" fontId="1" fillId="5" borderId="22" xfId="0" applyNumberFormat="1" applyFont="1" applyFill="1" applyBorder="1" applyAlignment="1">
      <alignment vertical="top"/>
    </xf>
    <xf numFmtId="164" fontId="1" fillId="5" borderId="24" xfId="0" applyNumberFormat="1" applyFont="1" applyFill="1" applyBorder="1" applyAlignment="1">
      <alignment vertical="top"/>
    </xf>
    <xf numFmtId="165" fontId="1" fillId="0" borderId="26" xfId="0" applyNumberFormat="1" applyFont="1" applyFill="1" applyBorder="1" applyAlignment="1">
      <alignment horizontal="center" vertical="top" wrapText="1"/>
    </xf>
    <xf numFmtId="0" fontId="1" fillId="0" borderId="0" xfId="0" applyFont="1" applyAlignment="1">
      <alignment vertical="center" textRotation="90"/>
    </xf>
    <xf numFmtId="3" fontId="1" fillId="0" borderId="0" xfId="0" applyNumberFormat="1" applyFont="1" applyAlignment="1">
      <alignment horizontal="center" vertical="top" textRotation="90"/>
    </xf>
    <xf numFmtId="3" fontId="3" fillId="0" borderId="26" xfId="0" applyNumberFormat="1" applyFont="1" applyFill="1" applyBorder="1" applyAlignment="1">
      <alignment vertical="top" textRotation="90" wrapText="1"/>
    </xf>
    <xf numFmtId="3" fontId="3" fillId="0" borderId="45" xfId="0" applyNumberFormat="1" applyFont="1" applyFill="1" applyBorder="1" applyAlignment="1">
      <alignment vertical="top" textRotation="90" wrapText="1"/>
    </xf>
    <xf numFmtId="3" fontId="3" fillId="0" borderId="32" xfId="0" applyNumberFormat="1" applyFont="1" applyFill="1" applyBorder="1" applyAlignment="1">
      <alignment vertical="top" textRotation="90" wrapText="1"/>
    </xf>
    <xf numFmtId="3" fontId="5" fillId="0" borderId="32" xfId="0" applyNumberFormat="1" applyFont="1" applyFill="1" applyBorder="1" applyAlignment="1">
      <alignment horizontal="center" vertical="center" textRotation="90"/>
    </xf>
    <xf numFmtId="3" fontId="5" fillId="0" borderId="29" xfId="0" applyNumberFormat="1" applyFont="1" applyFill="1" applyBorder="1" applyAlignment="1">
      <alignment horizontal="center" vertical="center" textRotation="90"/>
    </xf>
    <xf numFmtId="3" fontId="5" fillId="0" borderId="1" xfId="0" applyNumberFormat="1" applyFont="1" applyFill="1" applyBorder="1" applyAlignment="1">
      <alignment horizontal="center" vertical="center" textRotation="90"/>
    </xf>
    <xf numFmtId="3" fontId="3" fillId="5" borderId="29" xfId="0" applyNumberFormat="1" applyFont="1" applyFill="1" applyBorder="1" applyAlignment="1">
      <alignment horizontal="center" vertical="top" textRotation="90"/>
    </xf>
    <xf numFmtId="3" fontId="3" fillId="5" borderId="23" xfId="0" applyNumberFormat="1" applyFont="1" applyFill="1" applyBorder="1" applyAlignment="1">
      <alignment horizontal="center" vertical="center" textRotation="90"/>
    </xf>
    <xf numFmtId="3" fontId="3" fillId="0" borderId="29" xfId="0" applyNumberFormat="1" applyFont="1" applyFill="1" applyBorder="1" applyAlignment="1">
      <alignment horizontal="center" vertical="center" textRotation="90"/>
    </xf>
    <xf numFmtId="3" fontId="3" fillId="0" borderId="1" xfId="0" applyNumberFormat="1" applyFont="1" applyFill="1" applyBorder="1" applyAlignment="1">
      <alignment horizontal="center" vertical="center" textRotation="90"/>
    </xf>
    <xf numFmtId="3" fontId="5" fillId="0" borderId="0" xfId="0" applyNumberFormat="1" applyFont="1" applyFill="1" applyBorder="1" applyAlignment="1">
      <alignment horizontal="center" vertical="top" textRotation="90"/>
    </xf>
    <xf numFmtId="3" fontId="3" fillId="0" borderId="30" xfId="0" applyNumberFormat="1" applyFont="1" applyBorder="1" applyAlignment="1">
      <alignment vertical="top" textRotation="90"/>
    </xf>
    <xf numFmtId="3" fontId="3" fillId="0" borderId="45" xfId="0" applyNumberFormat="1" applyFont="1" applyBorder="1" applyAlignment="1">
      <alignment vertical="top" textRotation="90"/>
    </xf>
    <xf numFmtId="49" fontId="3" fillId="0" borderId="26" xfId="0" applyNumberFormat="1" applyFont="1" applyBorder="1" applyAlignment="1">
      <alignment vertical="top" textRotation="90"/>
    </xf>
    <xf numFmtId="49" fontId="3" fillId="0" borderId="34" xfId="0" applyNumberFormat="1" applyFont="1" applyBorder="1" applyAlignment="1">
      <alignment vertical="top" textRotation="90"/>
    </xf>
    <xf numFmtId="49" fontId="3" fillId="0" borderId="22" xfId="0" applyNumberFormat="1" applyFont="1" applyBorder="1" applyAlignment="1">
      <alignment vertical="top" textRotation="90"/>
    </xf>
    <xf numFmtId="3" fontId="5" fillId="0" borderId="30" xfId="0" applyNumberFormat="1" applyFont="1" applyFill="1" applyBorder="1" applyAlignment="1">
      <alignment horizontal="center" vertical="top" textRotation="90"/>
    </xf>
    <xf numFmtId="3" fontId="5" fillId="0" borderId="18" xfId="0" applyNumberFormat="1" applyFont="1" applyFill="1" applyBorder="1" applyAlignment="1">
      <alignment horizontal="center" vertical="top" textRotation="90"/>
    </xf>
    <xf numFmtId="0" fontId="9" fillId="0" borderId="0" xfId="0" applyFont="1" applyAlignment="1">
      <alignment textRotation="90"/>
    </xf>
    <xf numFmtId="3" fontId="11" fillId="0" borderId="49" xfId="0" applyNumberFormat="1" applyFont="1" applyFill="1" applyBorder="1" applyAlignment="1">
      <alignment horizontal="center" vertical="top" textRotation="90" wrapText="1"/>
    </xf>
    <xf numFmtId="3" fontId="4" fillId="5" borderId="34" xfId="0" applyNumberFormat="1" applyFont="1" applyFill="1" applyBorder="1" applyAlignment="1">
      <alignment vertical="top" wrapText="1"/>
    </xf>
    <xf numFmtId="3" fontId="3" fillId="5" borderId="0" xfId="0" applyNumberFormat="1" applyFont="1" applyFill="1" applyBorder="1" applyAlignment="1">
      <alignment horizontal="left" vertical="top" wrapText="1"/>
    </xf>
    <xf numFmtId="1" fontId="1" fillId="5" borderId="31" xfId="0" applyNumberFormat="1" applyFont="1" applyFill="1" applyBorder="1" applyAlignment="1">
      <alignment horizontal="center" vertical="top" wrapText="1"/>
    </xf>
    <xf numFmtId="1" fontId="1" fillId="5" borderId="46" xfId="0" applyNumberFormat="1" applyFont="1" applyFill="1" applyBorder="1" applyAlignment="1">
      <alignment horizontal="center" vertical="top" wrapText="1"/>
    </xf>
    <xf numFmtId="165" fontId="2" fillId="0" borderId="0" xfId="0" applyNumberFormat="1" applyFont="1"/>
    <xf numFmtId="165" fontId="2" fillId="5" borderId="0" xfId="0" applyNumberFormat="1" applyFont="1" applyFill="1"/>
    <xf numFmtId="165" fontId="2" fillId="5" borderId="0" xfId="0" applyNumberFormat="1" applyFont="1" applyFill="1" applyBorder="1"/>
    <xf numFmtId="164" fontId="9" fillId="0" borderId="0" xfId="0" applyNumberFormat="1" applyFont="1" applyAlignment="1">
      <alignment horizontal="center"/>
    </xf>
    <xf numFmtId="164" fontId="1" fillId="5" borderId="64" xfId="0" applyNumberFormat="1" applyFont="1" applyFill="1" applyBorder="1" applyAlignment="1">
      <alignment horizontal="center" vertical="top" wrapText="1"/>
    </xf>
    <xf numFmtId="3" fontId="1" fillId="5" borderId="28" xfId="0" applyNumberFormat="1" applyFont="1" applyFill="1" applyBorder="1" applyAlignment="1">
      <alignment horizontal="center" vertical="top" wrapText="1"/>
    </xf>
    <xf numFmtId="3" fontId="5" fillId="0" borderId="9" xfId="0" applyNumberFormat="1" applyFont="1" applyFill="1" applyBorder="1" applyAlignment="1">
      <alignment horizontal="center" vertical="top" wrapText="1"/>
    </xf>
    <xf numFmtId="164" fontId="4" fillId="5" borderId="14" xfId="0" applyNumberFormat="1" applyFont="1" applyFill="1" applyBorder="1" applyAlignment="1">
      <alignment horizontal="center" vertical="top" wrapText="1"/>
    </xf>
    <xf numFmtId="3" fontId="1" fillId="0" borderId="67" xfId="0" applyNumberFormat="1" applyFont="1" applyBorder="1" applyAlignment="1">
      <alignment horizontal="center" vertical="top" wrapText="1"/>
    </xf>
    <xf numFmtId="49" fontId="19" fillId="0" borderId="12" xfId="0" applyNumberFormat="1" applyFont="1" applyBorder="1" applyAlignment="1">
      <alignment horizontal="center" vertical="top" wrapText="1"/>
    </xf>
    <xf numFmtId="0" fontId="1" fillId="5" borderId="64" xfId="0" applyFont="1" applyFill="1" applyBorder="1" applyAlignment="1">
      <alignment horizontal="center" vertical="center"/>
    </xf>
    <xf numFmtId="2" fontId="1" fillId="5" borderId="56" xfId="0" applyNumberFormat="1" applyFont="1" applyFill="1" applyBorder="1" applyAlignment="1">
      <alignment horizontal="center" vertical="top"/>
    </xf>
    <xf numFmtId="49" fontId="3" fillId="0" borderId="28" xfId="0" applyNumberFormat="1" applyFont="1" applyBorder="1" applyAlignment="1">
      <alignment horizontal="center" vertical="top"/>
    </xf>
    <xf numFmtId="49" fontId="10" fillId="0" borderId="4" xfId="0" applyNumberFormat="1" applyFont="1" applyBorder="1" applyAlignment="1">
      <alignment vertical="top" textRotation="90"/>
    </xf>
    <xf numFmtId="49" fontId="3" fillId="5" borderId="31" xfId="0" applyNumberFormat="1" applyFont="1" applyFill="1" applyBorder="1" applyAlignment="1">
      <alignment horizontal="center" vertical="top"/>
    </xf>
    <xf numFmtId="49" fontId="19" fillId="5" borderId="5" xfId="0" applyNumberFormat="1" applyFont="1" applyFill="1" applyBorder="1" applyAlignment="1">
      <alignment horizontal="center" vertical="top" wrapText="1"/>
    </xf>
    <xf numFmtId="49" fontId="3" fillId="0" borderId="32" xfId="0" applyNumberFormat="1" applyFont="1" applyBorder="1" applyAlignment="1">
      <alignment vertical="top"/>
    </xf>
    <xf numFmtId="49" fontId="10" fillId="0" borderId="16" xfId="0" applyNumberFormat="1" applyFont="1" applyBorder="1" applyAlignment="1">
      <alignment vertical="top" textRotation="90"/>
    </xf>
    <xf numFmtId="49" fontId="19" fillId="5" borderId="17" xfId="0" applyNumberFormat="1" applyFont="1" applyFill="1" applyBorder="1" applyAlignment="1">
      <alignment horizontal="center" vertical="top" wrapText="1"/>
    </xf>
    <xf numFmtId="3" fontId="1" fillId="5" borderId="1" xfId="0" applyNumberFormat="1" applyFont="1" applyFill="1" applyBorder="1" applyAlignment="1">
      <alignment horizontal="center" vertical="top"/>
    </xf>
    <xf numFmtId="3" fontId="4" fillId="0" borderId="32"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4" fillId="0" borderId="41" xfId="0" applyNumberFormat="1" applyFont="1" applyBorder="1" applyAlignment="1">
      <alignment horizontal="center" vertical="top" wrapText="1"/>
    </xf>
    <xf numFmtId="3" fontId="1" fillId="0" borderId="30" xfId="0" applyNumberFormat="1" applyFont="1" applyFill="1" applyBorder="1" applyAlignment="1">
      <alignment horizontal="center" vertical="top"/>
    </xf>
    <xf numFmtId="3" fontId="1" fillId="0" borderId="13" xfId="0" applyNumberFormat="1" applyFont="1" applyFill="1" applyBorder="1" applyAlignment="1">
      <alignment horizontal="left" vertical="top" wrapText="1"/>
    </xf>
    <xf numFmtId="3" fontId="1" fillId="0" borderId="47"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5" fillId="4" borderId="35" xfId="0" applyNumberFormat="1" applyFont="1" applyFill="1" applyBorder="1" applyAlignment="1">
      <alignment horizontal="right" vertical="top"/>
    </xf>
    <xf numFmtId="0" fontId="9" fillId="0" borderId="0" xfId="0" applyFont="1" applyAlignment="1">
      <alignment horizontal="center"/>
    </xf>
    <xf numFmtId="49" fontId="3" fillId="2" borderId="4" xfId="0" applyNumberFormat="1" applyFont="1" applyFill="1" applyBorder="1" applyAlignment="1">
      <alignment horizontal="center" vertical="top"/>
    </xf>
    <xf numFmtId="49" fontId="3" fillId="2" borderId="16" xfId="0" applyNumberFormat="1" applyFont="1" applyFill="1" applyBorder="1" applyAlignment="1">
      <alignment horizontal="center" vertical="top"/>
    </xf>
    <xf numFmtId="49" fontId="3" fillId="0" borderId="38" xfId="0" applyNumberFormat="1" applyFont="1" applyBorder="1" applyAlignment="1">
      <alignment horizontal="center" vertical="top"/>
    </xf>
    <xf numFmtId="3" fontId="1" fillId="5" borderId="17" xfId="0" applyNumberFormat="1" applyFont="1" applyFill="1" applyBorder="1" applyAlignment="1">
      <alignment vertical="top" wrapText="1"/>
    </xf>
    <xf numFmtId="3" fontId="3" fillId="0" borderId="31" xfId="0" applyNumberFormat="1" applyFont="1" applyBorder="1" applyAlignment="1">
      <alignment horizontal="center" vertical="top"/>
    </xf>
    <xf numFmtId="3" fontId="3" fillId="0" borderId="39" xfId="0" applyNumberFormat="1" applyFont="1" applyBorder="1" applyAlignment="1">
      <alignment horizontal="center" vertical="top"/>
    </xf>
    <xf numFmtId="3" fontId="1" fillId="5" borderId="0" xfId="0" applyNumberFormat="1" applyFont="1" applyFill="1" applyBorder="1" applyAlignment="1">
      <alignment horizontal="center" vertical="top"/>
    </xf>
    <xf numFmtId="3" fontId="1" fillId="0" borderId="34" xfId="0" applyNumberFormat="1" applyFont="1" applyBorder="1" applyAlignment="1">
      <alignment horizontal="left" vertical="top" wrapText="1"/>
    </xf>
    <xf numFmtId="3" fontId="10" fillId="0" borderId="4" xfId="0" applyNumberFormat="1" applyFont="1" applyFill="1" applyBorder="1" applyAlignment="1">
      <alignment horizontal="center" vertical="center" textRotation="90" wrapText="1"/>
    </xf>
    <xf numFmtId="3" fontId="10" fillId="0" borderId="16" xfId="0" applyNumberFormat="1" applyFont="1" applyFill="1" applyBorder="1" applyAlignment="1">
      <alignment horizontal="center" vertical="center" textRotation="90" wrapText="1"/>
    </xf>
    <xf numFmtId="3" fontId="5" fillId="0" borderId="45" xfId="0" applyNumberFormat="1" applyFont="1" applyBorder="1" applyAlignment="1">
      <alignment horizontal="center" vertical="center" textRotation="90"/>
    </xf>
    <xf numFmtId="49" fontId="1" fillId="3" borderId="50" xfId="0" applyNumberFormat="1" applyFont="1" applyFill="1" applyBorder="1" applyAlignment="1">
      <alignment horizontal="center" vertical="top" wrapText="1"/>
    </xf>
    <xf numFmtId="49" fontId="1" fillId="3" borderId="37" xfId="0" applyNumberFormat="1" applyFont="1" applyFill="1" applyBorder="1" applyAlignment="1">
      <alignment horizontal="center" vertical="top" wrapText="1"/>
    </xf>
    <xf numFmtId="3" fontId="5" fillId="5" borderId="47" xfId="0" applyNumberFormat="1" applyFont="1" applyFill="1" applyBorder="1" applyAlignment="1">
      <alignment horizontal="left" vertical="top" wrapText="1"/>
    </xf>
    <xf numFmtId="3" fontId="5" fillId="5" borderId="51" xfId="0" applyNumberFormat="1" applyFont="1" applyFill="1" applyBorder="1" applyAlignment="1">
      <alignment horizontal="left" vertical="top" wrapText="1"/>
    </xf>
    <xf numFmtId="3" fontId="5" fillId="5" borderId="57" xfId="0" applyNumberFormat="1" applyFont="1" applyFill="1" applyBorder="1" applyAlignment="1">
      <alignment horizontal="center" vertical="top" wrapText="1"/>
    </xf>
    <xf numFmtId="3" fontId="1" fillId="0" borderId="32" xfId="0" applyNumberFormat="1" applyFont="1" applyFill="1" applyBorder="1" applyAlignment="1">
      <alignment horizontal="left" vertical="top" wrapText="1"/>
    </xf>
    <xf numFmtId="3" fontId="11" fillId="0" borderId="16" xfId="0" applyNumberFormat="1" applyFont="1" applyFill="1" applyBorder="1" applyAlignment="1">
      <alignment horizontal="center" vertical="top" textRotation="90"/>
    </xf>
    <xf numFmtId="3" fontId="1" fillId="0" borderId="28" xfId="0" applyNumberFormat="1" applyFont="1" applyFill="1" applyBorder="1" applyAlignment="1">
      <alignment horizontal="left" vertical="top" wrapText="1"/>
    </xf>
    <xf numFmtId="3" fontId="1" fillId="5" borderId="12" xfId="0" applyNumberFormat="1" applyFont="1" applyFill="1" applyBorder="1" applyAlignment="1">
      <alignment horizontal="left" vertical="top" wrapText="1"/>
    </xf>
    <xf numFmtId="3" fontId="11" fillId="0" borderId="16" xfId="0" applyNumberFormat="1" applyFont="1" applyFill="1" applyBorder="1" applyAlignment="1">
      <alignment horizontal="center" vertical="center" textRotation="90"/>
    </xf>
    <xf numFmtId="3" fontId="3" fillId="0" borderId="30" xfId="0" applyNumberFormat="1" applyFont="1" applyFill="1" applyBorder="1" applyAlignment="1">
      <alignment horizontal="center" vertical="center" textRotation="90" wrapText="1"/>
    </xf>
    <xf numFmtId="3" fontId="3" fillId="0" borderId="45" xfId="0" applyNumberFormat="1" applyFont="1" applyFill="1" applyBorder="1" applyAlignment="1">
      <alignment horizontal="center" vertical="center" textRotation="90" wrapText="1"/>
    </xf>
    <xf numFmtId="3" fontId="10" fillId="0" borderId="11" xfId="0" applyNumberFormat="1" applyFont="1" applyFill="1" applyBorder="1" applyAlignment="1">
      <alignment horizontal="center" vertical="center" textRotation="90" wrapText="1"/>
    </xf>
    <xf numFmtId="3" fontId="1" fillId="3" borderId="47" xfId="0" applyNumberFormat="1" applyFont="1" applyFill="1" applyBorder="1" applyAlignment="1">
      <alignment horizontal="left" vertical="top" wrapText="1"/>
    </xf>
    <xf numFmtId="3" fontId="1" fillId="3" borderId="12" xfId="0" applyNumberFormat="1" applyFont="1" applyFill="1" applyBorder="1" applyAlignment="1">
      <alignment horizontal="left" vertical="top" wrapText="1"/>
    </xf>
    <xf numFmtId="3" fontId="3" fillId="3" borderId="12" xfId="0" applyNumberFormat="1" applyFont="1" applyFill="1" applyBorder="1" applyAlignment="1">
      <alignment horizontal="left" vertical="top" wrapText="1"/>
    </xf>
    <xf numFmtId="49" fontId="3" fillId="9" borderId="28" xfId="0" applyNumberFormat="1" applyFont="1" applyFill="1" applyBorder="1" applyAlignment="1">
      <alignment horizontal="center" vertical="top"/>
    </xf>
    <xf numFmtId="49" fontId="3" fillId="9" borderId="32" xfId="0" applyNumberFormat="1" applyFont="1" applyFill="1" applyBorder="1" applyAlignment="1">
      <alignment horizontal="center" vertical="top"/>
    </xf>
    <xf numFmtId="49" fontId="3" fillId="3" borderId="29" xfId="0" applyNumberFormat="1" applyFont="1" applyFill="1" applyBorder="1" applyAlignment="1">
      <alignment horizontal="center" vertical="top"/>
    </xf>
    <xf numFmtId="49" fontId="3" fillId="3" borderId="0" xfId="0" applyNumberFormat="1" applyFont="1" applyFill="1" applyBorder="1" applyAlignment="1">
      <alignment horizontal="center" vertical="top"/>
    </xf>
    <xf numFmtId="3" fontId="1" fillId="3" borderId="51" xfId="0" applyNumberFormat="1" applyFont="1" applyFill="1" applyBorder="1" applyAlignment="1">
      <alignment horizontal="left" vertical="top" wrapText="1"/>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3" fontId="1" fillId="0" borderId="48" xfId="0" applyNumberFormat="1" applyFont="1" applyFill="1" applyBorder="1" applyAlignment="1">
      <alignment horizontal="left" vertical="top" wrapText="1"/>
    </xf>
    <xf numFmtId="49" fontId="3" fillId="9" borderId="26"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3" fontId="4" fillId="0" borderId="5" xfId="0" applyNumberFormat="1" applyFont="1" applyFill="1" applyBorder="1" applyAlignment="1">
      <alignment horizontal="left" vertical="top" wrapText="1"/>
    </xf>
    <xf numFmtId="3" fontId="4" fillId="0" borderId="12" xfId="0" applyNumberFormat="1" applyFont="1" applyFill="1" applyBorder="1" applyAlignment="1">
      <alignment horizontal="left" vertical="top" wrapText="1"/>
    </xf>
    <xf numFmtId="3" fontId="5" fillId="0" borderId="8" xfId="0" applyNumberFormat="1" applyFont="1" applyFill="1" applyBorder="1" applyAlignment="1">
      <alignment horizontal="center" vertical="top"/>
    </xf>
    <xf numFmtId="3" fontId="5" fillId="0" borderId="46" xfId="0" applyNumberFormat="1" applyFont="1" applyFill="1" applyBorder="1" applyAlignment="1">
      <alignment horizontal="center" vertical="top"/>
    </xf>
    <xf numFmtId="3" fontId="5" fillId="0" borderId="55" xfId="0" applyNumberFormat="1" applyFont="1" applyFill="1" applyBorder="1" applyAlignment="1">
      <alignment horizontal="center" vertical="top"/>
    </xf>
    <xf numFmtId="3" fontId="1" fillId="0" borderId="45" xfId="0" applyNumberFormat="1" applyFont="1" applyFill="1" applyBorder="1" applyAlignment="1">
      <alignment horizontal="left" vertical="top" wrapText="1"/>
    </xf>
    <xf numFmtId="3" fontId="3" fillId="0" borderId="18" xfId="0" applyNumberFormat="1" applyFont="1" applyFill="1" applyBorder="1" applyAlignment="1">
      <alignment horizontal="center" vertical="center" textRotation="90" wrapText="1"/>
    </xf>
    <xf numFmtId="3" fontId="1" fillId="0" borderId="18" xfId="0" applyNumberFormat="1" applyFont="1" applyBorder="1" applyAlignment="1">
      <alignment horizontal="left" vertical="top" wrapText="1"/>
    </xf>
    <xf numFmtId="3" fontId="20" fillId="0" borderId="5" xfId="0" applyNumberFormat="1" applyFont="1" applyFill="1" applyBorder="1" applyAlignment="1">
      <alignment horizontal="center" vertical="top" wrapText="1"/>
    </xf>
    <xf numFmtId="49" fontId="3" fillId="0" borderId="36" xfId="0" applyNumberFormat="1" applyFont="1" applyBorder="1" applyAlignment="1">
      <alignment horizontal="center" vertical="top"/>
    </xf>
    <xf numFmtId="3" fontId="1" fillId="5" borderId="12" xfId="0" applyNumberFormat="1" applyFont="1" applyFill="1" applyBorder="1" applyAlignment="1">
      <alignment vertical="top" wrapText="1"/>
    </xf>
    <xf numFmtId="3" fontId="3" fillId="0" borderId="37" xfId="0" applyNumberFormat="1" applyFont="1" applyBorder="1" applyAlignment="1">
      <alignment horizontal="center" vertical="top"/>
    </xf>
    <xf numFmtId="49" fontId="3" fillId="3" borderId="36" xfId="0" applyNumberFormat="1" applyFont="1" applyFill="1" applyBorder="1" applyAlignment="1">
      <alignment horizontal="center" vertical="top" wrapText="1"/>
    </xf>
    <xf numFmtId="3" fontId="20" fillId="0" borderId="26" xfId="0" applyNumberFormat="1" applyFont="1" applyFill="1" applyBorder="1" applyAlignment="1">
      <alignment horizontal="center" vertical="top" wrapText="1"/>
    </xf>
    <xf numFmtId="3" fontId="20" fillId="0" borderId="22" xfId="0" applyNumberFormat="1" applyFont="1" applyFill="1" applyBorder="1" applyAlignment="1">
      <alignment horizontal="center" vertical="top" wrapText="1"/>
    </xf>
    <xf numFmtId="3" fontId="10" fillId="0" borderId="11" xfId="0" applyNumberFormat="1" applyFont="1" applyFill="1" applyBorder="1" applyAlignment="1">
      <alignment horizontal="center" vertical="top" textRotation="90" wrapText="1"/>
    </xf>
    <xf numFmtId="3" fontId="3" fillId="4" borderId="59" xfId="0" applyNumberFormat="1" applyFont="1" applyFill="1" applyBorder="1" applyAlignment="1">
      <alignment horizontal="right" vertical="top"/>
    </xf>
    <xf numFmtId="3" fontId="3" fillId="4" borderId="35" xfId="0" applyNumberFormat="1" applyFont="1" applyFill="1" applyBorder="1" applyAlignment="1">
      <alignment horizontal="right" vertical="top"/>
    </xf>
    <xf numFmtId="3" fontId="3" fillId="0" borderId="45" xfId="0" applyNumberFormat="1" applyFont="1" applyBorder="1" applyAlignment="1">
      <alignment horizontal="center" vertical="top"/>
    </xf>
    <xf numFmtId="3" fontId="5" fillId="0" borderId="50" xfId="0" applyNumberFormat="1" applyFont="1" applyFill="1" applyBorder="1" applyAlignment="1">
      <alignment horizontal="center" vertical="top" wrapText="1"/>
    </xf>
    <xf numFmtId="3" fontId="5" fillId="4" borderId="32" xfId="0" applyNumberFormat="1" applyFont="1" applyFill="1" applyBorder="1" applyAlignment="1">
      <alignment horizontal="right" vertical="top"/>
    </xf>
    <xf numFmtId="164" fontId="4" fillId="5" borderId="50" xfId="0" applyNumberFormat="1" applyFont="1" applyFill="1" applyBorder="1" applyAlignment="1">
      <alignment horizontal="center" vertical="top"/>
    </xf>
    <xf numFmtId="164" fontId="4" fillId="5" borderId="57" xfId="0" applyNumberFormat="1" applyFont="1" applyFill="1" applyBorder="1" applyAlignment="1">
      <alignment horizontal="center" vertical="top"/>
    </xf>
    <xf numFmtId="3" fontId="1"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1" fillId="3" borderId="0" xfId="0" applyNumberFormat="1" applyFont="1" applyFill="1" applyBorder="1" applyAlignment="1">
      <alignment horizontal="left" vertical="top" wrapText="1"/>
    </xf>
    <xf numFmtId="3" fontId="1" fillId="0" borderId="0" xfId="0" applyNumberFormat="1" applyFont="1" applyAlignment="1">
      <alignment vertical="top"/>
    </xf>
    <xf numFmtId="3" fontId="1" fillId="5" borderId="48" xfId="0" applyNumberFormat="1" applyFont="1" applyFill="1" applyBorder="1" applyAlignment="1">
      <alignment horizontal="left" vertical="top" wrapText="1"/>
    </xf>
    <xf numFmtId="49" fontId="3" fillId="2" borderId="11" xfId="0" applyNumberFormat="1" applyFont="1" applyFill="1" applyBorder="1" applyAlignment="1">
      <alignment horizontal="center" vertical="top" wrapText="1"/>
    </xf>
    <xf numFmtId="3" fontId="3" fillId="5" borderId="36"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3" fontId="1" fillId="0" borderId="0" xfId="0" applyNumberFormat="1" applyFont="1" applyAlignment="1">
      <alignment horizontal="center" vertical="top"/>
    </xf>
    <xf numFmtId="3" fontId="1" fillId="0" borderId="1" xfId="0" applyNumberFormat="1" applyFont="1" applyBorder="1" applyAlignment="1">
      <alignment horizontal="right" vertical="top"/>
    </xf>
    <xf numFmtId="164" fontId="1" fillId="11" borderId="45" xfId="1" applyNumberFormat="1" applyFont="1" applyFill="1" applyBorder="1" applyAlignment="1">
      <alignment horizontal="center" vertical="top"/>
    </xf>
    <xf numFmtId="1" fontId="1" fillId="0" borderId="56" xfId="0" applyNumberFormat="1" applyFont="1" applyBorder="1" applyAlignment="1">
      <alignment vertical="top"/>
    </xf>
    <xf numFmtId="1" fontId="1" fillId="0" borderId="56" xfId="0" applyNumberFormat="1" applyFont="1" applyBorder="1" applyAlignment="1">
      <alignment horizontal="center" vertical="top"/>
    </xf>
    <xf numFmtId="1" fontId="1" fillId="0" borderId="24" xfId="0" applyNumberFormat="1" applyFont="1" applyBorder="1" applyAlignment="1">
      <alignment vertical="top"/>
    </xf>
    <xf numFmtId="49" fontId="3" fillId="9" borderId="48" xfId="0" applyNumberFormat="1" applyFont="1" applyFill="1" applyBorder="1" applyAlignment="1">
      <alignment horizontal="center" vertical="top"/>
    </xf>
    <xf numFmtId="49" fontId="3" fillId="3" borderId="64" xfId="0" applyNumberFormat="1" applyFont="1" applyFill="1" applyBorder="1" applyAlignment="1">
      <alignment horizontal="center" vertical="top"/>
    </xf>
    <xf numFmtId="3" fontId="3" fillId="0" borderId="22" xfId="0" applyNumberFormat="1" applyFont="1" applyFill="1" applyBorder="1" applyAlignment="1">
      <alignment vertical="top" textRotation="90" wrapText="1"/>
    </xf>
    <xf numFmtId="3" fontId="10" fillId="0" borderId="56" xfId="0" applyNumberFormat="1" applyFont="1" applyFill="1" applyBorder="1" applyAlignment="1">
      <alignment vertical="top" textRotation="90" wrapText="1"/>
    </xf>
    <xf numFmtId="3" fontId="3" fillId="0" borderId="57" xfId="0" applyNumberFormat="1" applyFont="1" applyBorder="1" applyAlignment="1">
      <alignment horizontal="center" vertical="top"/>
    </xf>
    <xf numFmtId="3" fontId="11" fillId="0" borderId="11" xfId="0" applyNumberFormat="1" applyFont="1" applyFill="1" applyBorder="1" applyAlignment="1">
      <alignment vertical="top" textRotation="90" wrapText="1"/>
    </xf>
    <xf numFmtId="3" fontId="5" fillId="0" borderId="36" xfId="0" applyNumberFormat="1" applyFont="1" applyFill="1" applyBorder="1" applyAlignment="1">
      <alignment horizontal="center" vertical="top" wrapText="1"/>
    </xf>
    <xf numFmtId="49" fontId="3" fillId="9" borderId="22" xfId="0" applyNumberFormat="1" applyFont="1" applyFill="1" applyBorder="1" applyAlignment="1">
      <alignment vertical="top"/>
    </xf>
    <xf numFmtId="49" fontId="3" fillId="3" borderId="64" xfId="0" applyNumberFormat="1" applyFont="1" applyFill="1" applyBorder="1" applyAlignment="1">
      <alignment horizontal="center" vertical="top" wrapText="1"/>
    </xf>
    <xf numFmtId="3" fontId="4" fillId="5" borderId="51" xfId="0" applyNumberFormat="1" applyFont="1" applyFill="1" applyBorder="1" applyAlignment="1">
      <alignment horizontal="center" vertical="top"/>
    </xf>
    <xf numFmtId="3" fontId="11" fillId="0" borderId="11" xfId="0" applyNumberFormat="1" applyFont="1" applyFill="1" applyBorder="1" applyAlignment="1">
      <alignment horizontal="center" vertical="top" textRotation="90"/>
    </xf>
    <xf numFmtId="49" fontId="3" fillId="2" borderId="11" xfId="0" applyNumberFormat="1" applyFont="1" applyFill="1" applyBorder="1" applyAlignment="1">
      <alignment horizontal="center" vertical="top"/>
    </xf>
    <xf numFmtId="49" fontId="1" fillId="3" borderId="37"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3" fontId="1" fillId="5" borderId="47" xfId="0" applyNumberFormat="1" applyFont="1" applyFill="1" applyBorder="1" applyAlignment="1">
      <alignment horizontal="center" vertical="top" wrapText="1"/>
    </xf>
    <xf numFmtId="164" fontId="1" fillId="12" borderId="10" xfId="1" applyNumberFormat="1" applyFont="1" applyFill="1" applyBorder="1" applyAlignment="1">
      <alignment horizontal="center" vertical="top"/>
    </xf>
    <xf numFmtId="3" fontId="4" fillId="5" borderId="44" xfId="0" applyNumberFormat="1" applyFont="1" applyFill="1" applyBorder="1" applyAlignment="1">
      <alignment horizontal="center" vertical="top" wrapText="1"/>
    </xf>
    <xf numFmtId="3" fontId="2" fillId="5" borderId="10" xfId="0" applyNumberFormat="1" applyFont="1" applyFill="1" applyBorder="1"/>
    <xf numFmtId="0" fontId="9" fillId="0" borderId="0" xfId="0" applyFont="1" applyAlignment="1"/>
    <xf numFmtId="164" fontId="14" fillId="0" borderId="28" xfId="0" applyNumberFormat="1" applyFont="1" applyFill="1" applyBorder="1" applyAlignment="1">
      <alignment horizontal="center" vertical="top"/>
    </xf>
    <xf numFmtId="164" fontId="1" fillId="0" borderId="0" xfId="0" applyNumberFormat="1" applyFont="1" applyBorder="1" applyAlignment="1">
      <alignment horizontal="center" vertical="top"/>
    </xf>
    <xf numFmtId="164" fontId="1" fillId="3" borderId="29" xfId="0" applyNumberFormat="1" applyFont="1" applyFill="1" applyBorder="1" applyAlignment="1">
      <alignment horizontal="center" vertical="top"/>
    </xf>
    <xf numFmtId="164" fontId="5" fillId="4" borderId="59" xfId="0" applyNumberFormat="1" applyFont="1" applyFill="1" applyBorder="1" applyAlignment="1">
      <alignment horizontal="center" vertical="top"/>
    </xf>
    <xf numFmtId="165" fontId="1" fillId="5" borderId="0" xfId="0" applyNumberFormat="1" applyFont="1" applyFill="1" applyBorder="1" applyAlignment="1">
      <alignment horizontal="center" vertical="center"/>
    </xf>
    <xf numFmtId="164" fontId="1" fillId="0" borderId="23" xfId="0" applyNumberFormat="1" applyFont="1" applyFill="1" applyBorder="1" applyAlignment="1">
      <alignment horizontal="center" vertical="top" wrapText="1"/>
    </xf>
    <xf numFmtId="164" fontId="3" fillId="4" borderId="14" xfId="0" applyNumberFormat="1" applyFont="1" applyFill="1" applyBorder="1" applyAlignment="1">
      <alignment horizontal="center" vertical="top" wrapText="1"/>
    </xf>
    <xf numFmtId="164" fontId="19" fillId="0" borderId="7" xfId="0" applyNumberFormat="1" applyFont="1" applyBorder="1" applyAlignment="1">
      <alignment horizontal="center" vertical="center" wrapText="1"/>
    </xf>
    <xf numFmtId="164" fontId="4" fillId="0" borderId="23" xfId="0" applyNumberFormat="1" applyFont="1" applyBorder="1" applyAlignment="1">
      <alignment horizontal="center" vertical="top"/>
    </xf>
    <xf numFmtId="164" fontId="4" fillId="0" borderId="14" xfId="0" applyNumberFormat="1" applyFont="1" applyBorder="1" applyAlignment="1">
      <alignment horizontal="center" vertical="top"/>
    </xf>
    <xf numFmtId="3" fontId="1" fillId="0" borderId="59" xfId="0" applyNumberFormat="1" applyFont="1" applyBorder="1" applyAlignment="1">
      <alignment horizontal="center" vertical="center" textRotation="90"/>
    </xf>
    <xf numFmtId="165" fontId="1" fillId="5" borderId="11" xfId="0" applyNumberFormat="1" applyFont="1" applyFill="1" applyBorder="1" applyAlignment="1">
      <alignment horizontal="center" vertical="center"/>
    </xf>
    <xf numFmtId="164" fontId="1" fillId="5" borderId="40" xfId="0" applyNumberFormat="1" applyFont="1" applyFill="1" applyBorder="1" applyAlignment="1">
      <alignment horizontal="center" vertical="top" wrapText="1"/>
    </xf>
    <xf numFmtId="164" fontId="1" fillId="5" borderId="8" xfId="0" applyNumberFormat="1" applyFont="1" applyFill="1" applyBorder="1" applyAlignment="1">
      <alignment horizontal="center" vertical="top" wrapText="1"/>
    </xf>
    <xf numFmtId="164" fontId="3" fillId="4" borderId="46" xfId="0" applyNumberFormat="1" applyFont="1" applyFill="1" applyBorder="1" applyAlignment="1">
      <alignment horizontal="center" vertical="top"/>
    </xf>
    <xf numFmtId="3" fontId="4" fillId="5" borderId="36" xfId="0" applyNumberFormat="1" applyFont="1" applyFill="1" applyBorder="1" applyAlignment="1">
      <alignment horizontal="center" vertical="top" wrapText="1"/>
    </xf>
    <xf numFmtId="3" fontId="5" fillId="5" borderId="51" xfId="0" applyNumberFormat="1" applyFont="1" applyFill="1" applyBorder="1" applyAlignment="1">
      <alignment vertical="top" wrapText="1"/>
    </xf>
    <xf numFmtId="3" fontId="32" fillId="5" borderId="34" xfId="0" applyNumberFormat="1" applyFont="1" applyFill="1" applyBorder="1" applyAlignment="1">
      <alignment horizontal="center" vertical="top"/>
    </xf>
    <xf numFmtId="164" fontId="5" fillId="9" borderId="20" xfId="0" applyNumberFormat="1" applyFont="1" applyFill="1" applyBorder="1" applyAlignment="1">
      <alignment horizontal="center" vertical="top"/>
    </xf>
    <xf numFmtId="164" fontId="5" fillId="7" borderId="1" xfId="0" applyNumberFormat="1" applyFont="1" applyFill="1" applyBorder="1" applyAlignment="1">
      <alignment horizontal="center" vertical="top"/>
    </xf>
    <xf numFmtId="164" fontId="5" fillId="7" borderId="14" xfId="0" applyNumberFormat="1" applyFont="1" applyFill="1" applyBorder="1" applyAlignment="1">
      <alignment horizontal="center" vertical="top" wrapText="1"/>
    </xf>
    <xf numFmtId="164" fontId="4" fillId="5" borderId="23" xfId="0" applyNumberFormat="1" applyFont="1" applyFill="1" applyBorder="1" applyAlignment="1">
      <alignment horizontal="center" vertical="top"/>
    </xf>
    <xf numFmtId="164" fontId="1" fillId="0" borderId="14" xfId="0" applyNumberFormat="1" applyFont="1" applyBorder="1" applyAlignment="1">
      <alignment horizontal="center" vertical="top" wrapText="1"/>
    </xf>
    <xf numFmtId="164" fontId="5" fillId="7" borderId="14" xfId="0" applyNumberFormat="1" applyFont="1" applyFill="1" applyBorder="1" applyAlignment="1">
      <alignment horizontal="center" vertical="top"/>
    </xf>
    <xf numFmtId="164" fontId="3" fillId="5" borderId="28" xfId="0" applyNumberFormat="1" applyFont="1" applyFill="1" applyBorder="1" applyAlignment="1">
      <alignment horizontal="center" vertical="top" wrapText="1"/>
    </xf>
    <xf numFmtId="3" fontId="11" fillId="0" borderId="72" xfId="0" applyNumberFormat="1" applyFont="1" applyBorder="1" applyAlignment="1">
      <alignment vertical="center" textRotation="90"/>
    </xf>
    <xf numFmtId="164" fontId="3" fillId="5" borderId="54" xfId="0" applyNumberFormat="1" applyFont="1" applyFill="1" applyBorder="1" applyAlignment="1">
      <alignment horizontal="center" vertical="top"/>
    </xf>
    <xf numFmtId="164" fontId="1" fillId="12" borderId="15" xfId="1" applyNumberFormat="1" applyFont="1" applyFill="1" applyBorder="1" applyAlignment="1">
      <alignment horizontal="center" vertical="top"/>
    </xf>
    <xf numFmtId="164" fontId="1" fillId="3" borderId="10" xfId="0" applyNumberFormat="1" applyFont="1" applyFill="1" applyBorder="1" applyAlignment="1">
      <alignment horizontal="center" vertical="top" wrapText="1"/>
    </xf>
    <xf numFmtId="164" fontId="1" fillId="3" borderId="56"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xf>
    <xf numFmtId="3" fontId="4" fillId="5" borderId="32" xfId="0" applyNumberFormat="1" applyFont="1" applyFill="1" applyBorder="1" applyAlignment="1">
      <alignment vertical="top" wrapText="1"/>
    </xf>
    <xf numFmtId="3" fontId="4" fillId="5" borderId="38" xfId="0" applyNumberFormat="1" applyFont="1" applyFill="1" applyBorder="1" applyAlignment="1">
      <alignment horizontal="center" vertical="top" wrapText="1"/>
    </xf>
    <xf numFmtId="3" fontId="4" fillId="5" borderId="16" xfId="0" applyNumberFormat="1" applyFont="1" applyFill="1" applyBorder="1" applyAlignment="1">
      <alignment horizontal="center" vertical="top" wrapText="1"/>
    </xf>
    <xf numFmtId="3" fontId="4" fillId="5" borderId="41" xfId="0" applyNumberFormat="1" applyFont="1" applyFill="1" applyBorder="1" applyAlignment="1">
      <alignment horizontal="center" vertical="top" wrapText="1"/>
    </xf>
    <xf numFmtId="3" fontId="4" fillId="5" borderId="13" xfId="0" applyNumberFormat="1" applyFont="1" applyFill="1" applyBorder="1" applyAlignment="1">
      <alignment vertical="top" wrapText="1"/>
    </xf>
    <xf numFmtId="164" fontId="32" fillId="5" borderId="34" xfId="0" applyNumberFormat="1" applyFont="1" applyFill="1" applyBorder="1" applyAlignment="1">
      <alignment horizontal="center" vertical="top" wrapText="1"/>
    </xf>
    <xf numFmtId="164" fontId="32" fillId="5" borderId="49" xfId="0" applyNumberFormat="1" applyFont="1" applyFill="1" applyBorder="1" applyAlignment="1">
      <alignment horizontal="center" vertical="top" wrapText="1"/>
    </xf>
    <xf numFmtId="164" fontId="32" fillId="5" borderId="22" xfId="0" applyNumberFormat="1" applyFont="1" applyFill="1" applyBorder="1" applyAlignment="1">
      <alignment horizontal="center" vertical="top" wrapText="1"/>
    </xf>
    <xf numFmtId="164" fontId="32" fillId="5" borderId="56" xfId="0" applyNumberFormat="1" applyFont="1" applyFill="1" applyBorder="1" applyAlignment="1">
      <alignment horizontal="center" vertical="top" wrapText="1"/>
    </xf>
    <xf numFmtId="164" fontId="32" fillId="5" borderId="24" xfId="0" applyNumberFormat="1" applyFont="1" applyFill="1" applyBorder="1" applyAlignment="1">
      <alignment horizontal="center" vertical="top" wrapText="1"/>
    </xf>
    <xf numFmtId="3" fontId="32" fillId="5" borderId="26" xfId="0" applyNumberFormat="1" applyFont="1" applyFill="1" applyBorder="1" applyAlignment="1">
      <alignment horizontal="center" vertical="top"/>
    </xf>
    <xf numFmtId="164" fontId="32" fillId="5" borderId="11" xfId="0" applyNumberFormat="1" applyFont="1" applyFill="1" applyBorder="1" applyAlignment="1">
      <alignment horizontal="center" vertical="top"/>
    </xf>
    <xf numFmtId="164" fontId="32" fillId="10" borderId="26" xfId="1" applyNumberFormat="1" applyFont="1" applyFill="1" applyBorder="1" applyAlignment="1">
      <alignment horizontal="center" vertical="top"/>
    </xf>
    <xf numFmtId="164" fontId="32" fillId="10" borderId="11" xfId="1" applyNumberFormat="1" applyFont="1" applyFill="1" applyBorder="1" applyAlignment="1">
      <alignment horizontal="center" vertical="top"/>
    </xf>
    <xf numFmtId="164" fontId="32" fillId="10" borderId="46" xfId="1" applyNumberFormat="1" applyFont="1" applyFill="1" applyBorder="1" applyAlignment="1">
      <alignment horizontal="center" vertical="top"/>
    </xf>
    <xf numFmtId="164" fontId="32" fillId="5" borderId="34" xfId="0" applyNumberFormat="1" applyFont="1" applyFill="1" applyBorder="1" applyAlignment="1">
      <alignment horizontal="center" vertical="top"/>
    </xf>
    <xf numFmtId="164" fontId="32" fillId="5" borderId="49" xfId="0" applyNumberFormat="1" applyFont="1" applyFill="1" applyBorder="1" applyAlignment="1">
      <alignment horizontal="center" vertical="top"/>
    </xf>
    <xf numFmtId="164" fontId="32" fillId="10" borderId="34" xfId="1" applyNumberFormat="1" applyFont="1" applyFill="1" applyBorder="1" applyAlignment="1">
      <alignment horizontal="center" vertical="top"/>
    </xf>
    <xf numFmtId="164" fontId="32" fillId="10" borderId="49" xfId="1" applyNumberFormat="1" applyFont="1" applyFill="1" applyBorder="1" applyAlignment="1">
      <alignment horizontal="center" vertical="top"/>
    </xf>
    <xf numFmtId="164" fontId="32" fillId="10" borderId="55" xfId="1" applyNumberFormat="1" applyFont="1" applyFill="1" applyBorder="1" applyAlignment="1">
      <alignment horizontal="center" vertical="top"/>
    </xf>
    <xf numFmtId="3" fontId="33" fillId="5" borderId="34" xfId="0" applyNumberFormat="1" applyFont="1" applyFill="1" applyBorder="1" applyAlignment="1">
      <alignment horizontal="center" vertical="top"/>
    </xf>
    <xf numFmtId="164" fontId="33" fillId="10" borderId="15" xfId="1" applyNumberFormat="1" applyFont="1" applyFill="1" applyBorder="1" applyAlignment="1">
      <alignment horizontal="center" vertical="top"/>
    </xf>
    <xf numFmtId="164" fontId="33" fillId="5" borderId="15" xfId="0" applyNumberFormat="1" applyFont="1" applyFill="1" applyBorder="1" applyAlignment="1">
      <alignment horizontal="center" vertical="top" wrapText="1"/>
    </xf>
    <xf numFmtId="3" fontId="33" fillId="5" borderId="34" xfId="0" applyNumberFormat="1" applyFont="1" applyFill="1" applyBorder="1" applyAlignment="1">
      <alignment horizontal="center" vertical="top" wrapText="1"/>
    </xf>
    <xf numFmtId="164" fontId="33" fillId="12" borderId="54" xfId="1" applyNumberFormat="1" applyFont="1" applyFill="1" applyBorder="1" applyAlignment="1">
      <alignment horizontal="center" vertical="top"/>
    </xf>
    <xf numFmtId="164" fontId="33" fillId="12" borderId="15" xfId="1" applyNumberFormat="1" applyFont="1" applyFill="1" applyBorder="1" applyAlignment="1">
      <alignment horizontal="center" vertical="top"/>
    </xf>
    <xf numFmtId="164" fontId="33" fillId="12" borderId="26" xfId="1" applyNumberFormat="1" applyFont="1" applyFill="1" applyBorder="1" applyAlignment="1">
      <alignment horizontal="center" vertical="top"/>
    </xf>
    <xf numFmtId="164" fontId="33" fillId="12" borderId="11" xfId="1" applyNumberFormat="1" applyFont="1" applyFill="1" applyBorder="1" applyAlignment="1">
      <alignment horizontal="center" vertical="top"/>
    </xf>
    <xf numFmtId="164" fontId="33" fillId="12" borderId="24" xfId="1" applyNumberFormat="1" applyFont="1" applyFill="1" applyBorder="1" applyAlignment="1">
      <alignment horizontal="center" vertical="top"/>
    </xf>
    <xf numFmtId="164" fontId="32" fillId="5" borderId="54" xfId="0" applyNumberFormat="1" applyFont="1" applyFill="1" applyBorder="1" applyAlignment="1">
      <alignment horizontal="center" vertical="top" wrapText="1"/>
    </xf>
    <xf numFmtId="164" fontId="32" fillId="5" borderId="10" xfId="0" applyNumberFormat="1" applyFont="1" applyFill="1" applyBorder="1" applyAlignment="1">
      <alignment horizontal="center" vertical="top" wrapText="1"/>
    </xf>
    <xf numFmtId="164" fontId="32" fillId="5" borderId="15" xfId="0" applyNumberFormat="1" applyFont="1" applyFill="1" applyBorder="1" applyAlignment="1">
      <alignment horizontal="center" vertical="top" wrapText="1"/>
    </xf>
    <xf numFmtId="3" fontId="11" fillId="5" borderId="49" xfId="0" applyNumberFormat="1" applyFont="1" applyFill="1" applyBorder="1" applyAlignment="1">
      <alignment horizontal="center" vertical="center" textRotation="90" wrapText="1"/>
    </xf>
    <xf numFmtId="3" fontId="11" fillId="5" borderId="69" xfId="0" applyNumberFormat="1" applyFont="1" applyFill="1" applyBorder="1" applyAlignment="1">
      <alignment horizontal="center" vertical="center" textRotation="90" wrapText="1"/>
    </xf>
    <xf numFmtId="164" fontId="1" fillId="3" borderId="4" xfId="0" applyNumberFormat="1" applyFont="1" applyFill="1" applyBorder="1" applyAlignment="1">
      <alignment horizontal="center" vertical="top" wrapText="1"/>
    </xf>
    <xf numFmtId="164" fontId="1" fillId="5" borderId="11" xfId="0" applyNumberFormat="1" applyFont="1" applyFill="1" applyBorder="1" applyAlignment="1">
      <alignment horizontal="center" vertical="top" wrapText="1"/>
    </xf>
    <xf numFmtId="164" fontId="32" fillId="10" borderId="10" xfId="1" applyNumberFormat="1" applyFont="1" applyFill="1" applyBorder="1" applyAlignment="1">
      <alignment horizontal="center" vertical="top"/>
    </xf>
    <xf numFmtId="164" fontId="32" fillId="12" borderId="10" xfId="1" applyNumberFormat="1" applyFont="1" applyFill="1" applyBorder="1" applyAlignment="1">
      <alignment horizontal="center" vertical="top"/>
    </xf>
    <xf numFmtId="164" fontId="32" fillId="12" borderId="11" xfId="1" applyNumberFormat="1" applyFont="1" applyFill="1" applyBorder="1" applyAlignment="1">
      <alignment horizontal="center" vertical="top"/>
    </xf>
    <xf numFmtId="164" fontId="1" fillId="0" borderId="53" xfId="0" applyNumberFormat="1" applyFont="1" applyBorder="1" applyAlignment="1">
      <alignment horizontal="center" vertical="top"/>
    </xf>
    <xf numFmtId="3" fontId="1" fillId="0" borderId="22" xfId="0" applyNumberFormat="1" applyFont="1" applyFill="1" applyBorder="1" applyAlignment="1">
      <alignment vertical="top" wrapText="1"/>
    </xf>
    <xf numFmtId="1" fontId="1" fillId="0" borderId="57" xfId="0" applyNumberFormat="1" applyFont="1" applyFill="1" applyBorder="1" applyAlignment="1">
      <alignment horizontal="center" vertical="top" wrapText="1"/>
    </xf>
    <xf numFmtId="3" fontId="3" fillId="0" borderId="28" xfId="0" applyNumberFormat="1" applyFont="1" applyFill="1" applyBorder="1" applyAlignment="1">
      <alignment vertical="top" textRotation="90" wrapText="1"/>
    </xf>
    <xf numFmtId="49" fontId="3" fillId="9" borderId="48" xfId="0" applyNumberFormat="1" applyFont="1" applyFill="1" applyBorder="1" applyAlignment="1">
      <alignment vertical="top"/>
    </xf>
    <xf numFmtId="164" fontId="1" fillId="3" borderId="11" xfId="0" applyNumberFormat="1" applyFont="1" applyFill="1" applyBorder="1" applyAlignment="1">
      <alignment horizontal="center" vertical="top" wrapText="1"/>
    </xf>
    <xf numFmtId="3" fontId="3" fillId="0" borderId="23" xfId="0" applyNumberFormat="1" applyFont="1" applyFill="1" applyBorder="1" applyAlignment="1">
      <alignment horizontal="center" vertical="center" textRotation="90" wrapText="1"/>
    </xf>
    <xf numFmtId="3" fontId="1" fillId="0" borderId="56" xfId="0" applyNumberFormat="1" applyFont="1" applyFill="1" applyBorder="1" applyAlignment="1">
      <alignment vertical="top" textRotation="90" wrapText="1"/>
    </xf>
    <xf numFmtId="3" fontId="3" fillId="0" borderId="64" xfId="0" applyNumberFormat="1" applyFont="1" applyFill="1" applyBorder="1" applyAlignment="1">
      <alignment vertical="top" wrapText="1"/>
    </xf>
    <xf numFmtId="3" fontId="10" fillId="0" borderId="4" xfId="0" applyNumberFormat="1" applyFont="1" applyFill="1" applyBorder="1" applyAlignment="1">
      <alignment horizontal="center" vertical="center" textRotation="90" wrapText="1"/>
    </xf>
    <xf numFmtId="3" fontId="10" fillId="0" borderId="11" xfId="0" applyNumberFormat="1" applyFont="1" applyFill="1" applyBorder="1" applyAlignment="1">
      <alignment horizontal="center" vertical="center" textRotation="90" wrapText="1"/>
    </xf>
    <xf numFmtId="3" fontId="10" fillId="0" borderId="16" xfId="0" applyNumberFormat="1" applyFont="1" applyFill="1" applyBorder="1" applyAlignment="1">
      <alignment horizontal="center" vertical="center" textRotation="90" wrapText="1"/>
    </xf>
    <xf numFmtId="3" fontId="5" fillId="0" borderId="8" xfId="0" applyNumberFormat="1" applyFont="1" applyFill="1" applyBorder="1" applyAlignment="1">
      <alignment horizontal="center" vertical="top"/>
    </xf>
    <xf numFmtId="3" fontId="5" fillId="0" borderId="46" xfId="0" applyNumberFormat="1" applyFont="1" applyFill="1" applyBorder="1" applyAlignment="1">
      <alignment horizontal="center" vertical="top"/>
    </xf>
    <xf numFmtId="49" fontId="3" fillId="3" borderId="29" xfId="0" applyNumberFormat="1" applyFont="1" applyFill="1" applyBorder="1" applyAlignment="1">
      <alignment horizontal="center" vertical="top"/>
    </xf>
    <xf numFmtId="49" fontId="3" fillId="3" borderId="0" xfId="0" applyNumberFormat="1" applyFont="1" applyFill="1" applyBorder="1" applyAlignment="1">
      <alignment horizontal="center" vertical="top"/>
    </xf>
    <xf numFmtId="49" fontId="3" fillId="9" borderId="26" xfId="0" applyNumberFormat="1" applyFont="1" applyFill="1" applyBorder="1" applyAlignment="1">
      <alignment horizontal="center" vertical="top"/>
    </xf>
    <xf numFmtId="49" fontId="3" fillId="9" borderId="32"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2" borderId="16" xfId="0" applyNumberFormat="1" applyFont="1" applyFill="1" applyBorder="1" applyAlignment="1">
      <alignment horizontal="center" vertical="top"/>
    </xf>
    <xf numFmtId="3" fontId="1" fillId="3" borderId="47" xfId="0" applyNumberFormat="1" applyFont="1" applyFill="1" applyBorder="1" applyAlignment="1">
      <alignment horizontal="left" vertical="top" wrapText="1"/>
    </xf>
    <xf numFmtId="3" fontId="1" fillId="3" borderId="12" xfId="0" applyNumberFormat="1" applyFont="1" applyFill="1" applyBorder="1" applyAlignment="1">
      <alignment horizontal="left" vertical="top" wrapText="1"/>
    </xf>
    <xf numFmtId="3" fontId="3" fillId="3" borderId="12" xfId="0" applyNumberFormat="1" applyFont="1" applyFill="1" applyBorder="1" applyAlignment="1">
      <alignment horizontal="left" vertical="top" wrapText="1"/>
    </xf>
    <xf numFmtId="3" fontId="1" fillId="0" borderId="34"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3" fontId="1" fillId="0" borderId="28" xfId="0" applyNumberFormat="1" applyFont="1" applyFill="1" applyBorder="1" applyAlignment="1">
      <alignment horizontal="left" vertical="top" wrapText="1"/>
    </xf>
    <xf numFmtId="3" fontId="1" fillId="5" borderId="12" xfId="0" applyNumberFormat="1" applyFont="1" applyFill="1" applyBorder="1" applyAlignment="1">
      <alignment horizontal="left" vertical="top" wrapText="1"/>
    </xf>
    <xf numFmtId="3" fontId="11" fillId="0" borderId="16" xfId="0" applyNumberFormat="1" applyFont="1" applyFill="1" applyBorder="1" applyAlignment="1">
      <alignment horizontal="center" vertical="center" textRotation="90"/>
    </xf>
    <xf numFmtId="3" fontId="10" fillId="0" borderId="49" xfId="0" applyNumberFormat="1" applyFont="1" applyFill="1" applyBorder="1" applyAlignment="1">
      <alignment horizontal="center" vertical="top" textRotation="90" wrapText="1"/>
    </xf>
    <xf numFmtId="3" fontId="3" fillId="5" borderId="12" xfId="0" applyNumberFormat="1" applyFont="1" applyFill="1" applyBorder="1" applyAlignment="1">
      <alignment horizontal="left" vertical="top" wrapText="1"/>
    </xf>
    <xf numFmtId="3" fontId="11" fillId="0" borderId="16" xfId="0" applyNumberFormat="1" applyFont="1" applyFill="1" applyBorder="1" applyAlignment="1">
      <alignment horizontal="center" vertical="top" textRotation="90"/>
    </xf>
    <xf numFmtId="3" fontId="3" fillId="4" borderId="35" xfId="0" applyNumberFormat="1" applyFont="1" applyFill="1" applyBorder="1" applyAlignment="1">
      <alignment horizontal="right" vertical="top"/>
    </xf>
    <xf numFmtId="3" fontId="1" fillId="5" borderId="22" xfId="0" applyNumberFormat="1" applyFont="1" applyFill="1" applyBorder="1" applyAlignment="1">
      <alignment horizontal="left" vertical="top" wrapText="1"/>
    </xf>
    <xf numFmtId="3" fontId="11" fillId="0" borderId="11" xfId="0" applyNumberFormat="1" applyFont="1" applyFill="1" applyBorder="1" applyAlignment="1">
      <alignment horizontal="center" vertical="top" textRotation="90"/>
    </xf>
    <xf numFmtId="3" fontId="5" fillId="0" borderId="45" xfId="0" applyNumberFormat="1" applyFont="1" applyBorder="1" applyAlignment="1">
      <alignment horizontal="center" vertical="center" textRotation="90"/>
    </xf>
    <xf numFmtId="49" fontId="1" fillId="3" borderId="50" xfId="0" applyNumberFormat="1" applyFont="1" applyFill="1" applyBorder="1" applyAlignment="1">
      <alignment horizontal="center" vertical="top" wrapText="1"/>
    </xf>
    <xf numFmtId="49" fontId="1" fillId="3" borderId="57" xfId="0" applyNumberFormat="1" applyFont="1" applyFill="1" applyBorder="1" applyAlignment="1">
      <alignment horizontal="center" vertical="top" wrapText="1"/>
    </xf>
    <xf numFmtId="3" fontId="5" fillId="5" borderId="47" xfId="0" applyNumberFormat="1" applyFont="1" applyFill="1" applyBorder="1" applyAlignment="1">
      <alignment horizontal="left" vertical="top" wrapText="1"/>
    </xf>
    <xf numFmtId="3" fontId="5" fillId="5" borderId="51" xfId="0" applyNumberFormat="1" applyFont="1" applyFill="1" applyBorder="1" applyAlignment="1">
      <alignment horizontal="left" vertical="top" wrapText="1"/>
    </xf>
    <xf numFmtId="3" fontId="5" fillId="5" borderId="48" xfId="0" applyNumberFormat="1" applyFont="1" applyFill="1" applyBorder="1" applyAlignment="1">
      <alignment horizontal="center" vertical="top" wrapText="1"/>
    </xf>
    <xf numFmtId="3" fontId="1" fillId="5" borderId="0" xfId="0" applyNumberFormat="1" applyFont="1" applyFill="1" applyBorder="1" applyAlignment="1">
      <alignment horizontal="center" vertical="top"/>
    </xf>
    <xf numFmtId="3" fontId="1" fillId="0" borderId="34" xfId="0" applyNumberFormat="1" applyFont="1" applyBorder="1" applyAlignment="1">
      <alignment horizontal="left" vertical="top" wrapText="1"/>
    </xf>
    <xf numFmtId="3" fontId="3" fillId="0" borderId="31" xfId="0" applyNumberFormat="1" applyFont="1" applyBorder="1" applyAlignment="1">
      <alignment horizontal="center" vertical="top"/>
    </xf>
    <xf numFmtId="3" fontId="3" fillId="0" borderId="39" xfId="0" applyNumberFormat="1" applyFont="1" applyBorder="1" applyAlignment="1">
      <alignment horizontal="center" vertical="top"/>
    </xf>
    <xf numFmtId="3" fontId="5" fillId="4" borderId="35" xfId="0" applyNumberFormat="1" applyFont="1" applyFill="1" applyBorder="1" applyAlignment="1">
      <alignment horizontal="right" vertical="top"/>
    </xf>
    <xf numFmtId="0" fontId="1" fillId="5" borderId="22" xfId="0" applyFont="1" applyFill="1" applyBorder="1" applyAlignment="1">
      <alignment horizontal="left" vertical="top" wrapText="1"/>
    </xf>
    <xf numFmtId="49" fontId="1" fillId="3" borderId="37" xfId="0" applyNumberFormat="1" applyFont="1" applyFill="1" applyBorder="1" applyAlignment="1">
      <alignment horizontal="center" vertical="top" wrapText="1"/>
    </xf>
    <xf numFmtId="3" fontId="5" fillId="5" borderId="12" xfId="0" applyNumberFormat="1" applyFont="1" applyFill="1" applyBorder="1" applyAlignment="1">
      <alignment horizontal="left" vertical="top" wrapText="1"/>
    </xf>
    <xf numFmtId="3" fontId="11" fillId="0" borderId="49" xfId="0" applyNumberFormat="1" applyFont="1" applyFill="1" applyBorder="1" applyAlignment="1">
      <alignment horizontal="center" vertical="center" textRotation="90"/>
    </xf>
    <xf numFmtId="3" fontId="5" fillId="4" borderId="32" xfId="0" applyNumberFormat="1" applyFont="1" applyFill="1" applyBorder="1" applyAlignment="1">
      <alignment horizontal="right" vertical="top"/>
    </xf>
    <xf numFmtId="3" fontId="11" fillId="0" borderId="4" xfId="0" applyNumberFormat="1" applyFont="1" applyFill="1" applyBorder="1" applyAlignment="1">
      <alignment horizontal="center" vertical="top" textRotation="90"/>
    </xf>
    <xf numFmtId="49" fontId="3" fillId="0" borderId="36" xfId="0" applyNumberFormat="1" applyFont="1" applyBorder="1" applyAlignment="1">
      <alignment horizontal="center" vertical="top"/>
    </xf>
    <xf numFmtId="3" fontId="1" fillId="5" borderId="12" xfId="0" applyNumberFormat="1" applyFont="1" applyFill="1" applyBorder="1" applyAlignment="1">
      <alignment vertical="top" wrapText="1"/>
    </xf>
    <xf numFmtId="3" fontId="3" fillId="0" borderId="37" xfId="0" applyNumberFormat="1" applyFont="1" applyBorder="1" applyAlignment="1">
      <alignment horizontal="center" vertical="top"/>
    </xf>
    <xf numFmtId="49" fontId="3" fillId="3" borderId="36" xfId="0" applyNumberFormat="1" applyFont="1" applyFill="1" applyBorder="1" applyAlignment="1">
      <alignment horizontal="center" vertical="top" wrapText="1"/>
    </xf>
    <xf numFmtId="3" fontId="10" fillId="0" borderId="11" xfId="0" applyNumberFormat="1" applyFont="1" applyFill="1" applyBorder="1" applyAlignment="1">
      <alignment horizontal="center" vertical="top" textRotation="90" wrapText="1"/>
    </xf>
    <xf numFmtId="3" fontId="5" fillId="0" borderId="13" xfId="0" applyNumberFormat="1" applyFont="1" applyFill="1" applyBorder="1" applyAlignment="1">
      <alignment horizontal="center" vertical="top" wrapText="1"/>
    </xf>
    <xf numFmtId="3" fontId="10" fillId="0" borderId="49" xfId="0" applyNumberFormat="1" applyFont="1" applyFill="1" applyBorder="1" applyAlignment="1">
      <alignment horizontal="center" vertical="center" textRotation="90" wrapText="1"/>
    </xf>
    <xf numFmtId="0" fontId="9" fillId="0" borderId="0" xfId="0" applyFont="1" applyAlignment="1">
      <alignment horizontal="center"/>
    </xf>
    <xf numFmtId="3" fontId="11" fillId="0" borderId="49" xfId="0" applyNumberFormat="1" applyFont="1" applyFill="1" applyBorder="1" applyAlignment="1">
      <alignment horizontal="center" textRotation="90"/>
    </xf>
    <xf numFmtId="3" fontId="11" fillId="0" borderId="11" xfId="0" applyNumberFormat="1" applyFont="1" applyFill="1" applyBorder="1" applyAlignment="1">
      <alignment horizontal="center" vertical="top" textRotation="90" wrapText="1"/>
    </xf>
    <xf numFmtId="164" fontId="1" fillId="5" borderId="45" xfId="0" applyNumberFormat="1" applyFont="1" applyFill="1" applyBorder="1" applyAlignment="1">
      <alignment horizontal="center" vertical="top" wrapText="1"/>
    </xf>
    <xf numFmtId="164" fontId="1" fillId="5" borderId="9" xfId="0" applyNumberFormat="1" applyFont="1" applyFill="1" applyBorder="1" applyAlignment="1">
      <alignment horizontal="center" vertical="top" wrapText="1"/>
    </xf>
    <xf numFmtId="164" fontId="1" fillId="12" borderId="9" xfId="1" applyNumberFormat="1" applyFont="1" applyFill="1" applyBorder="1" applyAlignment="1">
      <alignment horizontal="center" vertical="top"/>
    </xf>
    <xf numFmtId="164" fontId="32" fillId="10" borderId="9" xfId="1" applyNumberFormat="1" applyFont="1" applyFill="1" applyBorder="1" applyAlignment="1">
      <alignment horizontal="center" vertical="top"/>
    </xf>
    <xf numFmtId="164" fontId="32" fillId="12" borderId="9" xfId="1" applyNumberFormat="1" applyFont="1" applyFill="1" applyBorder="1" applyAlignment="1">
      <alignment horizontal="center" vertical="top"/>
    </xf>
    <xf numFmtId="164" fontId="32" fillId="12" borderId="45" xfId="1" applyNumberFormat="1" applyFont="1" applyFill="1" applyBorder="1" applyAlignment="1">
      <alignment horizontal="center" vertical="top"/>
    </xf>
    <xf numFmtId="164" fontId="32" fillId="5" borderId="13" xfId="0" applyNumberFormat="1" applyFont="1" applyFill="1" applyBorder="1" applyAlignment="1">
      <alignment horizontal="center" vertical="top" wrapText="1"/>
    </xf>
    <xf numFmtId="164" fontId="1" fillId="3" borderId="46" xfId="0" applyNumberFormat="1" applyFont="1" applyFill="1" applyBorder="1" applyAlignment="1">
      <alignment horizontal="center" vertical="top" wrapText="1"/>
    </xf>
    <xf numFmtId="3" fontId="34" fillId="5" borderId="46" xfId="0" applyNumberFormat="1" applyFont="1" applyFill="1" applyBorder="1" applyAlignment="1">
      <alignment horizontal="center" vertical="top" wrapText="1"/>
    </xf>
    <xf numFmtId="164" fontId="33" fillId="10" borderId="46" xfId="1" applyNumberFormat="1" applyFont="1" applyFill="1" applyBorder="1" applyAlignment="1">
      <alignment horizontal="center" vertical="top"/>
    </xf>
    <xf numFmtId="164" fontId="32" fillId="11" borderId="11" xfId="1" applyNumberFormat="1" applyFont="1" applyFill="1" applyBorder="1" applyAlignment="1">
      <alignment horizontal="center" vertical="top"/>
    </xf>
    <xf numFmtId="164" fontId="32" fillId="10" borderId="58" xfId="1" applyNumberFormat="1" applyFont="1" applyFill="1" applyBorder="1" applyAlignment="1">
      <alignment horizontal="center" vertical="top"/>
    </xf>
    <xf numFmtId="164" fontId="32" fillId="12" borderId="55" xfId="1" applyNumberFormat="1" applyFont="1" applyFill="1" applyBorder="1" applyAlignment="1">
      <alignment horizontal="center" vertical="top"/>
    </xf>
    <xf numFmtId="3" fontId="30" fillId="5" borderId="49" xfId="0" applyNumberFormat="1" applyFont="1" applyFill="1" applyBorder="1" applyAlignment="1">
      <alignment horizontal="center" vertical="top" wrapText="1"/>
    </xf>
    <xf numFmtId="164" fontId="32" fillId="11" borderId="10" xfId="1" applyNumberFormat="1" applyFont="1" applyFill="1" applyBorder="1" applyAlignment="1">
      <alignment horizontal="center" vertical="top"/>
    </xf>
    <xf numFmtId="164" fontId="32" fillId="12" borderId="58" xfId="1" applyNumberFormat="1" applyFont="1" applyFill="1" applyBorder="1" applyAlignment="1">
      <alignment horizontal="center" vertical="top"/>
    </xf>
    <xf numFmtId="164" fontId="32" fillId="11" borderId="56" xfId="1" applyNumberFormat="1" applyFont="1" applyFill="1" applyBorder="1" applyAlignment="1">
      <alignment horizontal="center" vertical="top"/>
    </xf>
    <xf numFmtId="164" fontId="32" fillId="12" borderId="37" xfId="1" applyNumberFormat="1" applyFont="1" applyFill="1" applyBorder="1" applyAlignment="1">
      <alignment horizontal="center" vertical="top"/>
    </xf>
    <xf numFmtId="164" fontId="32" fillId="12" borderId="15" xfId="1" applyNumberFormat="1" applyFont="1" applyFill="1" applyBorder="1" applyAlignment="1">
      <alignment horizontal="center" vertical="top"/>
    </xf>
    <xf numFmtId="164" fontId="1" fillId="0" borderId="13" xfId="0" applyNumberFormat="1" applyFont="1" applyBorder="1" applyAlignment="1">
      <alignment horizontal="center" vertical="top"/>
    </xf>
    <xf numFmtId="164" fontId="1" fillId="0" borderId="55" xfId="0" applyNumberFormat="1" applyFont="1" applyBorder="1" applyAlignment="1">
      <alignment horizontal="center" vertical="top"/>
    </xf>
    <xf numFmtId="164" fontId="1" fillId="0" borderId="46" xfId="0" applyNumberFormat="1" applyFont="1" applyBorder="1" applyAlignment="1">
      <alignment horizontal="center" vertical="top"/>
    </xf>
    <xf numFmtId="3" fontId="1" fillId="5" borderId="28" xfId="0" applyNumberFormat="1" applyFont="1" applyFill="1" applyBorder="1" applyAlignment="1">
      <alignment horizontal="center" vertical="top"/>
    </xf>
    <xf numFmtId="3" fontId="3" fillId="4" borderId="54" xfId="0" applyNumberFormat="1" applyFont="1" applyFill="1" applyBorder="1" applyAlignment="1">
      <alignment horizontal="right" vertical="top"/>
    </xf>
    <xf numFmtId="3" fontId="32" fillId="5" borderId="54" xfId="0" applyNumberFormat="1" applyFont="1" applyFill="1" applyBorder="1" applyAlignment="1">
      <alignment horizontal="center" vertical="top"/>
    </xf>
    <xf numFmtId="164" fontId="32" fillId="5" borderId="9" xfId="0" applyNumberFormat="1" applyFont="1" applyFill="1" applyBorder="1" applyAlignment="1">
      <alignment horizontal="center" vertical="top" wrapText="1"/>
    </xf>
    <xf numFmtId="164" fontId="33" fillId="5" borderId="58" xfId="0" applyNumberFormat="1" applyFont="1" applyFill="1" applyBorder="1" applyAlignment="1">
      <alignment horizontal="center" vertical="top" wrapText="1"/>
    </xf>
    <xf numFmtId="164" fontId="32" fillId="11" borderId="45" xfId="1" applyNumberFormat="1" applyFont="1" applyFill="1" applyBorder="1" applyAlignment="1">
      <alignment horizontal="center" vertical="top"/>
    </xf>
    <xf numFmtId="164" fontId="32" fillId="5" borderId="50" xfId="0" applyNumberFormat="1" applyFont="1" applyFill="1" applyBorder="1" applyAlignment="1">
      <alignment horizontal="center" vertical="top" wrapText="1"/>
    </xf>
    <xf numFmtId="164" fontId="32" fillId="11" borderId="9" xfId="1" applyNumberFormat="1" applyFont="1" applyFill="1" applyBorder="1" applyAlignment="1">
      <alignment horizontal="center" vertical="top"/>
    </xf>
    <xf numFmtId="164" fontId="32" fillId="5" borderId="58" xfId="0" applyNumberFormat="1" applyFont="1" applyFill="1" applyBorder="1" applyAlignment="1">
      <alignment horizontal="center" vertical="top" wrapText="1"/>
    </xf>
    <xf numFmtId="164" fontId="32" fillId="11" borderId="48" xfId="1" applyNumberFormat="1" applyFont="1" applyFill="1" applyBorder="1" applyAlignment="1">
      <alignment horizontal="center" vertical="top"/>
    </xf>
    <xf numFmtId="164" fontId="32" fillId="5" borderId="45" xfId="0" applyNumberFormat="1" applyFont="1" applyFill="1" applyBorder="1" applyAlignment="1">
      <alignment horizontal="center" vertical="top"/>
    </xf>
    <xf numFmtId="164" fontId="32" fillId="5" borderId="46" xfId="0" applyNumberFormat="1" applyFont="1" applyFill="1" applyBorder="1" applyAlignment="1">
      <alignment horizontal="center" vertical="top"/>
    </xf>
    <xf numFmtId="164" fontId="32" fillId="5" borderId="55" xfId="0" applyNumberFormat="1" applyFont="1" applyFill="1" applyBorder="1" applyAlignment="1">
      <alignment horizontal="center" vertical="top"/>
    </xf>
    <xf numFmtId="164" fontId="14" fillId="5" borderId="3" xfId="0" applyNumberFormat="1" applyFont="1" applyFill="1" applyBorder="1" applyAlignment="1">
      <alignment horizontal="center" vertical="top" wrapText="1"/>
    </xf>
    <xf numFmtId="164" fontId="14" fillId="0" borderId="4"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3" borderId="36" xfId="0" applyNumberFormat="1" applyFont="1" applyFill="1" applyBorder="1" applyAlignment="1">
      <alignment horizontal="center" vertical="top" wrapText="1"/>
    </xf>
    <xf numFmtId="164" fontId="14" fillId="5" borderId="10" xfId="0" applyNumberFormat="1" applyFont="1" applyFill="1" applyBorder="1" applyAlignment="1">
      <alignment horizontal="center" vertical="top"/>
    </xf>
    <xf numFmtId="3" fontId="35" fillId="5" borderId="13" xfId="0" applyNumberFormat="1" applyFont="1" applyFill="1" applyBorder="1" applyAlignment="1">
      <alignment horizontal="center" vertical="top" wrapText="1"/>
    </xf>
    <xf numFmtId="3" fontId="36" fillId="5" borderId="75" xfId="0" applyNumberFormat="1" applyFont="1" applyFill="1" applyBorder="1" applyAlignment="1">
      <alignment horizontal="center" vertical="center" textRotation="90" wrapText="1"/>
    </xf>
    <xf numFmtId="3" fontId="35" fillId="5" borderId="65" xfId="0" applyNumberFormat="1" applyFont="1" applyFill="1" applyBorder="1" applyAlignment="1">
      <alignment horizontal="center" vertical="top" wrapText="1"/>
    </xf>
    <xf numFmtId="3" fontId="14" fillId="5" borderId="34" xfId="0" applyNumberFormat="1" applyFont="1" applyFill="1" applyBorder="1" applyAlignment="1">
      <alignment horizontal="left" vertical="top" wrapText="1"/>
    </xf>
    <xf numFmtId="3" fontId="14" fillId="5" borderId="65" xfId="0" applyNumberFormat="1" applyFont="1" applyFill="1" applyBorder="1" applyAlignment="1">
      <alignment horizontal="center" vertical="top" wrapText="1"/>
    </xf>
    <xf numFmtId="3" fontId="14" fillId="5" borderId="49" xfId="0" applyNumberFormat="1" applyFont="1" applyFill="1" applyBorder="1" applyAlignment="1">
      <alignment horizontal="center" vertical="top" wrapText="1"/>
    </xf>
    <xf numFmtId="3" fontId="35" fillId="5" borderId="48" xfId="0" applyNumberFormat="1" applyFont="1" applyFill="1" applyBorder="1" applyAlignment="1">
      <alignment horizontal="center" vertical="top" wrapText="1"/>
    </xf>
    <xf numFmtId="3" fontId="36" fillId="5" borderId="69" xfId="0" applyNumberFormat="1" applyFont="1" applyFill="1" applyBorder="1" applyAlignment="1">
      <alignment horizontal="center" vertical="center" textRotation="90" wrapText="1"/>
    </xf>
    <xf numFmtId="3" fontId="35" fillId="5" borderId="64" xfId="0" applyNumberFormat="1" applyFont="1" applyFill="1" applyBorder="1" applyAlignment="1">
      <alignment horizontal="center" vertical="top" wrapText="1"/>
    </xf>
    <xf numFmtId="3" fontId="14" fillId="5" borderId="22" xfId="0" applyNumberFormat="1" applyFont="1" applyFill="1" applyBorder="1" applyAlignment="1">
      <alignment horizontal="center" vertical="top"/>
    </xf>
    <xf numFmtId="164" fontId="14" fillId="11" borderId="48" xfId="1" applyNumberFormat="1" applyFont="1" applyFill="1" applyBorder="1" applyAlignment="1">
      <alignment horizontal="center" vertical="top"/>
    </xf>
    <xf numFmtId="164" fontId="14" fillId="11" borderId="56" xfId="1" applyNumberFormat="1" applyFont="1" applyFill="1" applyBorder="1" applyAlignment="1">
      <alignment horizontal="center" vertical="top"/>
    </xf>
    <xf numFmtId="164" fontId="14" fillId="5" borderId="24" xfId="0" applyNumberFormat="1" applyFont="1" applyFill="1" applyBorder="1" applyAlignment="1">
      <alignment horizontal="center" vertical="top" wrapText="1"/>
    </xf>
    <xf numFmtId="164" fontId="14" fillId="5" borderId="22" xfId="0" applyNumberFormat="1" applyFont="1" applyFill="1" applyBorder="1" applyAlignment="1">
      <alignment horizontal="center" vertical="top" wrapText="1"/>
    </xf>
    <xf numFmtId="164" fontId="14" fillId="5" borderId="56" xfId="0" applyNumberFormat="1" applyFont="1" applyFill="1" applyBorder="1" applyAlignment="1">
      <alignment horizontal="center" vertical="top" wrapText="1"/>
    </xf>
    <xf numFmtId="164" fontId="14" fillId="12" borderId="57" xfId="1" applyNumberFormat="1" applyFont="1" applyFill="1" applyBorder="1" applyAlignment="1">
      <alignment horizontal="center" vertical="top"/>
    </xf>
    <xf numFmtId="3" fontId="14" fillId="5" borderId="54" xfId="0" applyNumberFormat="1" applyFont="1" applyFill="1" applyBorder="1" applyAlignment="1">
      <alignment horizontal="left" vertical="top" wrapText="1"/>
    </xf>
    <xf numFmtId="3" fontId="14" fillId="5" borderId="67" xfId="0" applyNumberFormat="1" applyFont="1" applyFill="1" applyBorder="1" applyAlignment="1">
      <alignment horizontal="center" vertical="top" wrapText="1"/>
    </xf>
    <xf numFmtId="3" fontId="14" fillId="5" borderId="10" xfId="0" applyNumberFormat="1" applyFont="1" applyFill="1" applyBorder="1" applyAlignment="1">
      <alignment horizontal="center" vertical="top" wrapText="1"/>
    </xf>
    <xf numFmtId="3" fontId="37" fillId="5" borderId="34" xfId="0" applyNumberFormat="1" applyFont="1" applyFill="1" applyBorder="1" applyAlignment="1">
      <alignment horizontal="center" vertical="top"/>
    </xf>
    <xf numFmtId="164" fontId="37" fillId="11" borderId="13" xfId="1" applyNumberFormat="1" applyFont="1" applyFill="1" applyBorder="1" applyAlignment="1">
      <alignment horizontal="center" vertical="top"/>
    </xf>
    <xf numFmtId="164" fontId="37" fillId="11" borderId="49" xfId="1" applyNumberFormat="1" applyFont="1" applyFill="1" applyBorder="1" applyAlignment="1">
      <alignment horizontal="center" vertical="top"/>
    </xf>
    <xf numFmtId="164" fontId="37" fillId="5" borderId="55" xfId="0" applyNumberFormat="1" applyFont="1" applyFill="1" applyBorder="1" applyAlignment="1">
      <alignment horizontal="center" vertical="top" wrapText="1"/>
    </xf>
    <xf numFmtId="164" fontId="37" fillId="5" borderId="34" xfId="0" applyNumberFormat="1" applyFont="1" applyFill="1" applyBorder="1" applyAlignment="1">
      <alignment horizontal="center" vertical="top" wrapText="1"/>
    </xf>
    <xf numFmtId="164" fontId="37" fillId="5" borderId="49" xfId="0" applyNumberFormat="1" applyFont="1" applyFill="1" applyBorder="1" applyAlignment="1">
      <alignment horizontal="center" vertical="top" wrapText="1"/>
    </xf>
    <xf numFmtId="164" fontId="37" fillId="12" borderId="50" xfId="1" applyNumberFormat="1" applyFont="1" applyFill="1" applyBorder="1" applyAlignment="1">
      <alignment horizontal="center" vertical="top"/>
    </xf>
    <xf numFmtId="164" fontId="14" fillId="5" borderId="11" xfId="0" applyNumberFormat="1" applyFont="1" applyFill="1" applyBorder="1" applyAlignment="1">
      <alignment horizontal="center" vertical="top" wrapText="1"/>
    </xf>
    <xf numFmtId="164" fontId="14" fillId="5" borderId="46" xfId="0" applyNumberFormat="1" applyFont="1" applyFill="1" applyBorder="1" applyAlignment="1">
      <alignment horizontal="center" vertical="top" wrapText="1"/>
    </xf>
    <xf numFmtId="3" fontId="1" fillId="0" borderId="12" xfId="0" applyNumberFormat="1" applyFont="1" applyBorder="1" applyAlignment="1">
      <alignment vertical="top" wrapText="1"/>
    </xf>
    <xf numFmtId="164" fontId="14" fillId="5" borderId="3" xfId="0" applyNumberFormat="1" applyFont="1" applyFill="1" applyBorder="1" applyAlignment="1">
      <alignment horizontal="center" vertical="top"/>
    </xf>
    <xf numFmtId="164" fontId="14" fillId="5" borderId="4" xfId="0" applyNumberFormat="1" applyFont="1" applyFill="1" applyBorder="1" applyAlignment="1">
      <alignment horizontal="center" vertical="top"/>
    </xf>
    <xf numFmtId="3" fontId="3" fillId="3" borderId="12" xfId="0" applyNumberFormat="1" applyFont="1" applyFill="1" applyBorder="1" applyAlignment="1">
      <alignment horizontal="left" vertical="top" wrapText="1"/>
    </xf>
    <xf numFmtId="49" fontId="3" fillId="2" borderId="11" xfId="0" applyNumberFormat="1" applyFont="1" applyFill="1" applyBorder="1" applyAlignment="1">
      <alignment horizontal="center" vertical="top"/>
    </xf>
    <xf numFmtId="3" fontId="3" fillId="0" borderId="37" xfId="0" applyNumberFormat="1" applyFont="1" applyBorder="1" applyAlignment="1">
      <alignment horizontal="center" vertical="top"/>
    </xf>
    <xf numFmtId="3" fontId="14" fillId="5" borderId="3" xfId="0" applyNumberFormat="1" applyFont="1" applyFill="1" applyBorder="1" applyAlignment="1">
      <alignment horizontal="center" vertical="top" wrapText="1"/>
    </xf>
    <xf numFmtId="3" fontId="14" fillId="5" borderId="22" xfId="0" applyNumberFormat="1" applyFont="1" applyFill="1" applyBorder="1" applyAlignment="1">
      <alignment horizontal="left" vertical="top" wrapText="1"/>
    </xf>
    <xf numFmtId="1" fontId="14" fillId="5" borderId="56" xfId="0" applyNumberFormat="1" applyFont="1" applyFill="1" applyBorder="1" applyAlignment="1">
      <alignment horizontal="center" vertical="top" wrapText="1"/>
    </xf>
    <xf numFmtId="1" fontId="14" fillId="0" borderId="57" xfId="0" applyNumberFormat="1" applyFont="1" applyFill="1" applyBorder="1" applyAlignment="1">
      <alignment horizontal="center" vertical="top" wrapText="1"/>
    </xf>
    <xf numFmtId="3" fontId="1" fillId="0" borderId="12" xfId="0" applyNumberFormat="1" applyFont="1" applyFill="1" applyBorder="1" applyAlignment="1">
      <alignment horizontal="left" vertical="top" wrapText="1"/>
    </xf>
    <xf numFmtId="3" fontId="5" fillId="4" borderId="35" xfId="0" applyNumberFormat="1" applyFont="1" applyFill="1" applyBorder="1" applyAlignment="1">
      <alignment horizontal="right" vertical="top"/>
    </xf>
    <xf numFmtId="0" fontId="1" fillId="5" borderId="22" xfId="0" applyFont="1" applyFill="1" applyBorder="1" applyAlignment="1">
      <alignment horizontal="left" vertical="top" wrapText="1"/>
    </xf>
    <xf numFmtId="49" fontId="3" fillId="2" borderId="4" xfId="0" applyNumberFormat="1" applyFont="1" applyFill="1" applyBorder="1" applyAlignment="1">
      <alignment horizontal="center" vertical="top"/>
    </xf>
    <xf numFmtId="49" fontId="3" fillId="2" borderId="16" xfId="0" applyNumberFormat="1" applyFont="1" applyFill="1" applyBorder="1" applyAlignment="1">
      <alignment horizontal="center" vertical="top"/>
    </xf>
    <xf numFmtId="3" fontId="3" fillId="0" borderId="31" xfId="0" applyNumberFormat="1" applyFont="1" applyBorder="1" applyAlignment="1">
      <alignment horizontal="center" vertical="top"/>
    </xf>
    <xf numFmtId="3" fontId="3" fillId="0" borderId="39" xfId="0" applyNumberFormat="1" applyFont="1" applyBorder="1" applyAlignment="1">
      <alignment horizontal="center" vertical="top"/>
    </xf>
    <xf numFmtId="3" fontId="1" fillId="5" borderId="0" xfId="0" applyNumberFormat="1" applyFont="1" applyFill="1" applyBorder="1" applyAlignment="1">
      <alignment horizontal="center" vertical="top"/>
    </xf>
    <xf numFmtId="3" fontId="1" fillId="0" borderId="34" xfId="0" applyNumberFormat="1" applyFont="1" applyBorder="1" applyAlignment="1">
      <alignment horizontal="left" vertical="top" wrapText="1"/>
    </xf>
    <xf numFmtId="3" fontId="10" fillId="0" borderId="49" xfId="0" applyNumberFormat="1" applyFont="1" applyFill="1" applyBorder="1" applyAlignment="1">
      <alignment horizontal="center" vertical="top" textRotation="90" wrapText="1"/>
    </xf>
    <xf numFmtId="3" fontId="10" fillId="0" borderId="4" xfId="0" applyNumberFormat="1" applyFont="1" applyFill="1" applyBorder="1" applyAlignment="1">
      <alignment horizontal="center" vertical="center" textRotation="90" wrapText="1"/>
    </xf>
    <xf numFmtId="3" fontId="10" fillId="0" borderId="16" xfId="0" applyNumberFormat="1" applyFont="1" applyFill="1" applyBorder="1" applyAlignment="1">
      <alignment horizontal="center" vertical="center" textRotation="90" wrapText="1"/>
    </xf>
    <xf numFmtId="3" fontId="3" fillId="4" borderId="35" xfId="0" applyNumberFormat="1" applyFont="1" applyFill="1" applyBorder="1" applyAlignment="1">
      <alignment horizontal="right" vertical="top"/>
    </xf>
    <xf numFmtId="3" fontId="1" fillId="5" borderId="34" xfId="0" applyNumberFormat="1" applyFont="1" applyFill="1" applyBorder="1" applyAlignment="1">
      <alignment horizontal="left" vertical="top" wrapText="1"/>
    </xf>
    <xf numFmtId="3" fontId="1" fillId="5" borderId="22" xfId="0" applyNumberFormat="1" applyFont="1" applyFill="1" applyBorder="1" applyAlignment="1">
      <alignment horizontal="left" vertical="top" wrapText="1"/>
    </xf>
    <xf numFmtId="49" fontId="1" fillId="3" borderId="50" xfId="0" applyNumberFormat="1" applyFont="1" applyFill="1" applyBorder="1" applyAlignment="1">
      <alignment horizontal="center" vertical="top" wrapText="1"/>
    </xf>
    <xf numFmtId="49" fontId="1" fillId="3" borderId="57" xfId="0" applyNumberFormat="1" applyFont="1" applyFill="1" applyBorder="1" applyAlignment="1">
      <alignment horizontal="center" vertical="top" wrapText="1"/>
    </xf>
    <xf numFmtId="3" fontId="5" fillId="5" borderId="47" xfId="0" applyNumberFormat="1" applyFont="1" applyFill="1" applyBorder="1" applyAlignment="1">
      <alignment horizontal="left" vertical="top" wrapText="1"/>
    </xf>
    <xf numFmtId="3" fontId="3" fillId="5" borderId="12" xfId="0" applyNumberFormat="1" applyFont="1" applyFill="1" applyBorder="1" applyAlignment="1">
      <alignment horizontal="left" vertical="top" wrapText="1"/>
    </xf>
    <xf numFmtId="3" fontId="1" fillId="0" borderId="34" xfId="0" applyNumberFormat="1" applyFont="1" applyFill="1" applyBorder="1" applyAlignment="1">
      <alignment horizontal="left" vertical="top" wrapText="1"/>
    </xf>
    <xf numFmtId="3" fontId="11" fillId="0" borderId="16" xfId="0" applyNumberFormat="1" applyFont="1" applyFill="1" applyBorder="1" applyAlignment="1">
      <alignment horizontal="center" vertical="top" textRotation="90"/>
    </xf>
    <xf numFmtId="3" fontId="1" fillId="0" borderId="28" xfId="0" applyNumberFormat="1" applyFont="1" applyFill="1" applyBorder="1" applyAlignment="1">
      <alignment horizontal="left" vertical="top" wrapText="1"/>
    </xf>
    <xf numFmtId="3" fontId="1" fillId="5" borderId="12" xfId="0" applyNumberFormat="1" applyFont="1" applyFill="1" applyBorder="1" applyAlignment="1">
      <alignment horizontal="left" vertical="top" wrapText="1"/>
    </xf>
    <xf numFmtId="3" fontId="11" fillId="0" borderId="16" xfId="0" applyNumberFormat="1" applyFont="1" applyFill="1" applyBorder="1" applyAlignment="1">
      <alignment horizontal="center" vertical="center" textRotation="90"/>
    </xf>
    <xf numFmtId="3" fontId="1" fillId="3" borderId="47" xfId="0" applyNumberFormat="1" applyFont="1" applyFill="1" applyBorder="1" applyAlignment="1">
      <alignment horizontal="left" vertical="top" wrapText="1"/>
    </xf>
    <xf numFmtId="3" fontId="1" fillId="3" borderId="12" xfId="0" applyNumberFormat="1" applyFont="1" applyFill="1" applyBorder="1" applyAlignment="1">
      <alignment horizontal="left" vertical="top" wrapText="1"/>
    </xf>
    <xf numFmtId="3" fontId="3" fillId="3" borderId="12" xfId="0" applyNumberFormat="1" applyFont="1" applyFill="1" applyBorder="1" applyAlignment="1">
      <alignment horizontal="left" vertical="top" wrapText="1"/>
    </xf>
    <xf numFmtId="49" fontId="3" fillId="9" borderId="32" xfId="0" applyNumberFormat="1" applyFont="1" applyFill="1" applyBorder="1" applyAlignment="1">
      <alignment horizontal="center" vertical="top"/>
    </xf>
    <xf numFmtId="49" fontId="3" fillId="3" borderId="29" xfId="0" applyNumberFormat="1" applyFont="1" applyFill="1" applyBorder="1" applyAlignment="1">
      <alignment horizontal="center" vertical="top"/>
    </xf>
    <xf numFmtId="49" fontId="3" fillId="3" borderId="0" xfId="0" applyNumberFormat="1" applyFont="1" applyFill="1" applyBorder="1" applyAlignment="1">
      <alignment horizontal="center" vertical="top"/>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49" fontId="3" fillId="9" borderId="26"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3" fontId="10" fillId="0" borderId="11" xfId="0" applyNumberFormat="1" applyFont="1" applyFill="1" applyBorder="1" applyAlignment="1">
      <alignment horizontal="center" vertical="center" textRotation="90" wrapText="1"/>
    </xf>
    <xf numFmtId="3" fontId="5" fillId="0" borderId="8" xfId="0" applyNumberFormat="1" applyFont="1" applyFill="1" applyBorder="1" applyAlignment="1">
      <alignment horizontal="center" vertical="top"/>
    </xf>
    <xf numFmtId="3" fontId="5" fillId="0" borderId="46" xfId="0" applyNumberFormat="1" applyFont="1" applyFill="1" applyBorder="1" applyAlignment="1">
      <alignment horizontal="center" vertical="top"/>
    </xf>
    <xf numFmtId="49" fontId="1" fillId="3" borderId="37" xfId="0" applyNumberFormat="1" applyFont="1" applyFill="1" applyBorder="1" applyAlignment="1">
      <alignment horizontal="center" vertical="top" wrapText="1"/>
    </xf>
    <xf numFmtId="3" fontId="5" fillId="5" borderId="45" xfId="0" applyNumberFormat="1" applyFont="1" applyFill="1" applyBorder="1" applyAlignment="1">
      <alignment horizontal="center" vertical="top" wrapText="1"/>
    </xf>
    <xf numFmtId="49" fontId="3" fillId="2" borderId="56" xfId="0" applyNumberFormat="1" applyFont="1" applyFill="1" applyBorder="1" applyAlignment="1">
      <alignment horizontal="center" vertical="top"/>
    </xf>
    <xf numFmtId="3" fontId="11" fillId="0" borderId="49" xfId="0" applyNumberFormat="1" applyFont="1" applyFill="1" applyBorder="1" applyAlignment="1">
      <alignment horizontal="center" textRotation="90"/>
    </xf>
    <xf numFmtId="0" fontId="9" fillId="0" borderId="0" xfId="0" applyFont="1" applyAlignment="1">
      <alignment horizontal="center"/>
    </xf>
    <xf numFmtId="3" fontId="10" fillId="0" borderId="49" xfId="0" applyNumberFormat="1" applyFont="1" applyFill="1" applyBorder="1" applyAlignment="1">
      <alignment horizontal="center" vertical="center" textRotation="90" wrapText="1"/>
    </xf>
    <xf numFmtId="3" fontId="11" fillId="0" borderId="49" xfId="0" applyNumberFormat="1" applyFont="1" applyFill="1" applyBorder="1" applyAlignment="1">
      <alignment horizontal="center" vertical="center" textRotation="90"/>
    </xf>
    <xf numFmtId="3" fontId="11" fillId="0" borderId="4" xfId="0" applyNumberFormat="1" applyFont="1" applyFill="1" applyBorder="1" applyAlignment="1">
      <alignment horizontal="center" vertical="top" textRotation="90"/>
    </xf>
    <xf numFmtId="49" fontId="3" fillId="0" borderId="36" xfId="0" applyNumberFormat="1" applyFont="1" applyBorder="1" applyAlignment="1">
      <alignment horizontal="center" vertical="top"/>
    </xf>
    <xf numFmtId="3" fontId="3" fillId="0" borderId="37" xfId="0" applyNumberFormat="1" applyFont="1" applyBorder="1" applyAlignment="1">
      <alignment horizontal="center" vertical="top"/>
    </xf>
    <xf numFmtId="49" fontId="3" fillId="3" borderId="36" xfId="0" applyNumberFormat="1" applyFont="1" applyFill="1" applyBorder="1" applyAlignment="1">
      <alignment horizontal="center" vertical="top" wrapText="1"/>
    </xf>
    <xf numFmtId="3" fontId="10" fillId="0" borderId="11" xfId="0" applyNumberFormat="1" applyFont="1" applyFill="1" applyBorder="1" applyAlignment="1">
      <alignment horizontal="center" vertical="top" textRotation="90" wrapText="1"/>
    </xf>
    <xf numFmtId="3" fontId="5" fillId="0" borderId="13" xfId="0" applyNumberFormat="1" applyFont="1" applyFill="1" applyBorder="1" applyAlignment="1">
      <alignment horizontal="center" vertical="top" wrapText="1"/>
    </xf>
    <xf numFmtId="3" fontId="5" fillId="0" borderId="50" xfId="0" applyNumberFormat="1" applyFont="1" applyFill="1" applyBorder="1" applyAlignment="1">
      <alignment horizontal="center" vertical="top" wrapText="1"/>
    </xf>
    <xf numFmtId="3" fontId="5" fillId="4" borderId="32" xfId="0" applyNumberFormat="1" applyFont="1" applyFill="1" applyBorder="1" applyAlignment="1">
      <alignment horizontal="right" vertical="top"/>
    </xf>
    <xf numFmtId="164" fontId="14" fillId="5" borderId="49" xfId="0" applyNumberFormat="1" applyFont="1" applyFill="1" applyBorder="1" applyAlignment="1">
      <alignment horizontal="center" vertical="top"/>
    </xf>
    <xf numFmtId="164" fontId="14" fillId="5" borderId="53" xfId="0" applyNumberFormat="1" applyFont="1" applyFill="1" applyBorder="1" applyAlignment="1">
      <alignment horizontal="center" vertical="top"/>
    </xf>
    <xf numFmtId="164" fontId="14" fillId="5" borderId="29" xfId="0" applyNumberFormat="1" applyFont="1" applyFill="1" applyBorder="1" applyAlignment="1">
      <alignment horizontal="center" vertical="top"/>
    </xf>
    <xf numFmtId="164" fontId="14" fillId="5" borderId="58" xfId="0" applyNumberFormat="1" applyFont="1" applyFill="1" applyBorder="1" applyAlignment="1">
      <alignment horizontal="center" vertical="top"/>
    </xf>
    <xf numFmtId="164" fontId="14" fillId="5" borderId="7" xfId="0" applyNumberFormat="1" applyFont="1" applyFill="1" applyBorder="1" applyAlignment="1">
      <alignment horizontal="center" vertical="top"/>
    </xf>
    <xf numFmtId="164" fontId="14" fillId="5" borderId="40" xfId="0" applyNumberFormat="1" applyFont="1" applyFill="1" applyBorder="1" applyAlignment="1">
      <alignment horizontal="center" vertical="top"/>
    </xf>
    <xf numFmtId="164" fontId="14" fillId="5" borderId="7" xfId="0" applyNumberFormat="1" applyFont="1" applyFill="1" applyBorder="1" applyAlignment="1">
      <alignment horizontal="center" vertical="top" wrapText="1"/>
    </xf>
    <xf numFmtId="3" fontId="11" fillId="5" borderId="72" xfId="0" applyNumberFormat="1" applyFont="1" applyFill="1" applyBorder="1" applyAlignment="1">
      <alignment horizontal="center" vertical="center" textRotation="90" wrapText="1"/>
    </xf>
    <xf numFmtId="49" fontId="3" fillId="3" borderId="11" xfId="0" applyNumberFormat="1" applyFont="1" applyFill="1" applyBorder="1" applyAlignment="1">
      <alignment horizontal="center" vertical="top"/>
    </xf>
    <xf numFmtId="3" fontId="5" fillId="5" borderId="44" xfId="0" applyNumberFormat="1" applyFont="1" applyFill="1" applyBorder="1" applyAlignment="1">
      <alignment vertical="top" wrapText="1"/>
    </xf>
    <xf numFmtId="3" fontId="11" fillId="0" borderId="56" xfId="0" applyNumberFormat="1" applyFont="1" applyBorder="1" applyAlignment="1">
      <alignment vertical="center" textRotation="90"/>
    </xf>
    <xf numFmtId="164" fontId="4" fillId="5" borderId="23" xfId="0" applyNumberFormat="1" applyFont="1" applyFill="1" applyBorder="1" applyAlignment="1">
      <alignment horizontal="center" vertical="top" wrapText="1"/>
    </xf>
    <xf numFmtId="164" fontId="1" fillId="12" borderId="84" xfId="1" applyNumberFormat="1" applyFont="1" applyFill="1" applyBorder="1" applyAlignment="1">
      <alignment horizontal="center" vertical="top"/>
    </xf>
    <xf numFmtId="164" fontId="1" fillId="12" borderId="57" xfId="1" applyNumberFormat="1" applyFont="1" applyFill="1" applyBorder="1" applyAlignment="1">
      <alignment horizontal="center" vertical="top"/>
    </xf>
    <xf numFmtId="3" fontId="4" fillId="5" borderId="54" xfId="0" applyNumberFormat="1" applyFont="1" applyFill="1" applyBorder="1" applyAlignment="1">
      <alignment horizontal="left" vertical="top" wrapText="1"/>
    </xf>
    <xf numFmtId="3" fontId="4" fillId="5" borderId="14"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xf>
    <xf numFmtId="49" fontId="3" fillId="0" borderId="36" xfId="0" applyNumberFormat="1" applyFont="1" applyBorder="1" applyAlignment="1">
      <alignment horizontal="center" vertical="top"/>
    </xf>
    <xf numFmtId="164" fontId="14" fillId="5" borderId="11" xfId="0" applyNumberFormat="1" applyFont="1" applyFill="1" applyBorder="1" applyAlignment="1">
      <alignment horizontal="center" vertical="top"/>
    </xf>
    <xf numFmtId="164" fontId="14" fillId="5" borderId="0" xfId="0" applyNumberFormat="1" applyFont="1" applyFill="1" applyBorder="1" applyAlignment="1">
      <alignment horizontal="center" vertical="top"/>
    </xf>
    <xf numFmtId="3" fontId="10" fillId="0" borderId="11" xfId="0" applyNumberFormat="1" applyFont="1" applyFill="1" applyBorder="1" applyAlignment="1">
      <alignment horizontal="center" vertical="center" textRotation="90" wrapText="1"/>
    </xf>
    <xf numFmtId="49" fontId="1" fillId="3" borderId="37"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49" fontId="1" fillId="3" borderId="37" xfId="0" applyNumberFormat="1" applyFont="1" applyFill="1" applyBorder="1" applyAlignment="1">
      <alignment horizontal="center" vertical="top" wrapText="1"/>
    </xf>
    <xf numFmtId="3" fontId="10" fillId="0" borderId="11" xfId="0" applyNumberFormat="1" applyFont="1" applyFill="1" applyBorder="1" applyAlignment="1">
      <alignment horizontal="center" vertical="center" textRotation="90" wrapText="1"/>
    </xf>
    <xf numFmtId="49" fontId="3" fillId="3" borderId="36" xfId="0" applyNumberFormat="1" applyFont="1" applyFill="1" applyBorder="1" applyAlignment="1">
      <alignment horizontal="center" vertical="top" wrapText="1"/>
    </xf>
    <xf numFmtId="3" fontId="14" fillId="0" borderId="65" xfId="0" applyNumberFormat="1" applyFont="1" applyFill="1" applyBorder="1" applyAlignment="1">
      <alignment horizontal="center" vertical="top" wrapText="1"/>
    </xf>
    <xf numFmtId="3" fontId="14" fillId="0" borderId="49"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xf>
    <xf numFmtId="3" fontId="3" fillId="5" borderId="12" xfId="0" applyNumberFormat="1" applyFont="1" applyFill="1" applyBorder="1" applyAlignment="1">
      <alignment horizontal="left" vertical="top" wrapText="1"/>
    </xf>
    <xf numFmtId="49" fontId="1" fillId="3" borderId="37"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3" fontId="5" fillId="0" borderId="50" xfId="0" applyNumberFormat="1" applyFont="1" applyFill="1" applyBorder="1" applyAlignment="1">
      <alignment horizontal="center" vertical="top" wrapText="1"/>
    </xf>
    <xf numFmtId="3" fontId="14" fillId="5" borderId="34" xfId="0" applyNumberFormat="1" applyFont="1" applyFill="1" applyBorder="1" applyAlignment="1">
      <alignment horizontal="center" vertical="top"/>
    </xf>
    <xf numFmtId="164" fontId="14" fillId="5" borderId="54" xfId="0" applyNumberFormat="1" applyFont="1" applyFill="1" applyBorder="1" applyAlignment="1">
      <alignment horizontal="center" vertical="top"/>
    </xf>
    <xf numFmtId="164" fontId="14" fillId="5" borderId="14" xfId="0" applyNumberFormat="1" applyFont="1" applyFill="1" applyBorder="1" applyAlignment="1">
      <alignment horizontal="center" vertical="top"/>
    </xf>
    <xf numFmtId="3" fontId="3" fillId="0" borderId="57" xfId="0" applyNumberFormat="1" applyFont="1" applyFill="1" applyBorder="1" applyAlignment="1">
      <alignment horizontal="center" vertical="top" wrapText="1"/>
    </xf>
    <xf numFmtId="3" fontId="5" fillId="5" borderId="65" xfId="0" applyNumberFormat="1" applyFont="1" applyFill="1" applyBorder="1" applyAlignment="1">
      <alignment horizontal="center" vertical="top" wrapText="1"/>
    </xf>
    <xf numFmtId="3" fontId="4" fillId="5" borderId="47" xfId="0" applyNumberFormat="1" applyFont="1" applyFill="1" applyBorder="1" applyAlignment="1">
      <alignment horizontal="center" vertical="top"/>
    </xf>
    <xf numFmtId="164" fontId="1" fillId="11" borderId="53" xfId="1" applyNumberFormat="1" applyFont="1" applyFill="1" applyBorder="1" applyAlignment="1">
      <alignment horizontal="center" vertical="top"/>
    </xf>
    <xf numFmtId="164" fontId="4" fillId="5" borderId="65" xfId="0" applyNumberFormat="1" applyFont="1" applyFill="1" applyBorder="1" applyAlignment="1">
      <alignment horizontal="center" vertical="top" wrapText="1"/>
    </xf>
    <xf numFmtId="164" fontId="1" fillId="11" borderId="23" xfId="1" applyNumberFormat="1" applyFont="1" applyFill="1" applyBorder="1" applyAlignment="1">
      <alignment horizontal="center" vertical="top"/>
    </xf>
    <xf numFmtId="164" fontId="4" fillId="5" borderId="64" xfId="0" applyNumberFormat="1" applyFont="1" applyFill="1" applyBorder="1" applyAlignment="1">
      <alignment horizontal="center" vertical="top" wrapText="1"/>
    </xf>
    <xf numFmtId="164" fontId="14" fillId="0" borderId="56" xfId="0" applyNumberFormat="1" applyFont="1" applyFill="1" applyBorder="1" applyAlignment="1">
      <alignment horizontal="center" vertical="top" wrapText="1"/>
    </xf>
    <xf numFmtId="164" fontId="14" fillId="0" borderId="23" xfId="0" applyNumberFormat="1" applyFont="1" applyFill="1" applyBorder="1" applyAlignment="1">
      <alignment horizontal="center" vertical="top" wrapText="1"/>
    </xf>
    <xf numFmtId="164" fontId="1" fillId="5" borderId="46" xfId="0" applyNumberFormat="1" applyFont="1" applyFill="1" applyBorder="1" applyAlignment="1">
      <alignment horizontal="center" vertical="top" wrapText="1"/>
    </xf>
    <xf numFmtId="164" fontId="1" fillId="5" borderId="55" xfId="0" applyNumberFormat="1" applyFont="1" applyFill="1" applyBorder="1" applyAlignment="1">
      <alignment horizontal="center" vertical="top" wrapText="1"/>
    </xf>
    <xf numFmtId="49" fontId="3" fillId="0" borderId="67" xfId="0" applyNumberFormat="1" applyFont="1" applyBorder="1" applyAlignment="1">
      <alignment horizontal="center" vertical="top" wrapText="1"/>
    </xf>
    <xf numFmtId="164" fontId="14" fillId="5" borderId="10" xfId="0" applyNumberFormat="1" applyFont="1" applyFill="1" applyBorder="1" applyAlignment="1">
      <alignment horizontal="center" vertical="top" wrapText="1"/>
    </xf>
    <xf numFmtId="164" fontId="14" fillId="5" borderId="15" xfId="0" applyNumberFormat="1" applyFont="1" applyFill="1" applyBorder="1" applyAlignment="1">
      <alignment horizontal="center" vertical="top" wrapText="1"/>
    </xf>
    <xf numFmtId="164" fontId="14" fillId="5" borderId="9"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xf>
    <xf numFmtId="3" fontId="1" fillId="3" borderId="12" xfId="0" applyNumberFormat="1" applyFont="1" applyFill="1" applyBorder="1" applyAlignment="1">
      <alignment horizontal="left" vertical="top" wrapText="1"/>
    </xf>
    <xf numFmtId="3" fontId="3" fillId="0" borderId="37" xfId="0" applyNumberFormat="1" applyFont="1" applyBorder="1" applyAlignment="1">
      <alignment horizontal="center" vertical="top"/>
    </xf>
    <xf numFmtId="3" fontId="1" fillId="3" borderId="51" xfId="0" applyNumberFormat="1" applyFont="1" applyFill="1" applyBorder="1" applyAlignment="1">
      <alignment horizontal="left" vertical="top" wrapText="1"/>
    </xf>
    <xf numFmtId="49" fontId="3" fillId="2" borderId="56" xfId="0" applyNumberFormat="1" applyFont="1" applyFill="1" applyBorder="1" applyAlignment="1">
      <alignment horizontal="center" vertical="top"/>
    </xf>
    <xf numFmtId="3" fontId="1" fillId="0" borderId="0" xfId="0" applyNumberFormat="1" applyFont="1" applyAlignment="1">
      <alignment horizontal="right" vertical="top"/>
    </xf>
    <xf numFmtId="3" fontId="4" fillId="0" borderId="54" xfId="0" applyNumberFormat="1" applyFont="1" applyBorder="1" applyAlignment="1">
      <alignment horizontal="left" vertical="top" wrapText="1"/>
    </xf>
    <xf numFmtId="3" fontId="4" fillId="0" borderId="14" xfId="0" applyNumberFormat="1" applyFont="1" applyBorder="1" applyAlignment="1">
      <alignment horizontal="left" vertical="top" wrapText="1"/>
    </xf>
    <xf numFmtId="3" fontId="4" fillId="0" borderId="15" xfId="0" applyNumberFormat="1" applyFont="1" applyBorder="1" applyAlignment="1">
      <alignment horizontal="left" vertical="top" wrapText="1"/>
    </xf>
    <xf numFmtId="3" fontId="5" fillId="9" borderId="14" xfId="0" applyNumberFormat="1" applyFont="1" applyFill="1" applyBorder="1" applyAlignment="1">
      <alignment horizontal="left" vertical="top" wrapText="1"/>
    </xf>
    <xf numFmtId="3" fontId="2" fillId="9" borderId="14" xfId="0" applyNumberFormat="1" applyFont="1" applyFill="1" applyBorder="1" applyAlignment="1">
      <alignment horizontal="left" vertical="top" wrapText="1"/>
    </xf>
    <xf numFmtId="3" fontId="2" fillId="9" borderId="15" xfId="0" applyNumberFormat="1" applyFont="1" applyFill="1" applyBorder="1" applyAlignment="1">
      <alignment horizontal="left" vertical="top" wrapText="1"/>
    </xf>
    <xf numFmtId="3" fontId="3" fillId="2" borderId="38" xfId="0" applyNumberFormat="1" applyFont="1" applyFill="1" applyBorder="1" applyAlignment="1">
      <alignment horizontal="left" vertical="top" wrapText="1"/>
    </xf>
    <xf numFmtId="3" fontId="3" fillId="2" borderId="1" xfId="0" applyNumberFormat="1" applyFont="1" applyFill="1" applyBorder="1" applyAlignment="1">
      <alignment horizontal="left" vertical="top" wrapText="1"/>
    </xf>
    <xf numFmtId="3" fontId="3" fillId="2" borderId="41" xfId="0" applyNumberFormat="1" applyFont="1" applyFill="1" applyBorder="1" applyAlignment="1">
      <alignment horizontal="left" vertical="top" wrapText="1"/>
    </xf>
    <xf numFmtId="3" fontId="4" fillId="0" borderId="5" xfId="0" applyNumberFormat="1" applyFont="1" applyFill="1" applyBorder="1" applyAlignment="1">
      <alignment horizontal="left" vertical="top" wrapText="1"/>
    </xf>
    <xf numFmtId="3" fontId="4" fillId="0" borderId="12" xfId="0" applyNumberFormat="1" applyFont="1" applyFill="1" applyBorder="1" applyAlignment="1">
      <alignment horizontal="left" vertical="top" wrapText="1"/>
    </xf>
    <xf numFmtId="3" fontId="3" fillId="0" borderId="30" xfId="0" applyNumberFormat="1" applyFont="1" applyFill="1" applyBorder="1" applyAlignment="1">
      <alignment horizontal="center" vertical="center" textRotation="90" wrapText="1"/>
    </xf>
    <xf numFmtId="3" fontId="3" fillId="0" borderId="45" xfId="0" applyNumberFormat="1" applyFont="1" applyFill="1" applyBorder="1" applyAlignment="1">
      <alignment horizontal="center" vertical="center" textRotation="90" wrapText="1"/>
    </xf>
    <xf numFmtId="3" fontId="3" fillId="0" borderId="18" xfId="0" applyNumberFormat="1" applyFont="1" applyFill="1" applyBorder="1" applyAlignment="1">
      <alignment horizontal="center" vertical="center" textRotation="90" wrapText="1"/>
    </xf>
    <xf numFmtId="3" fontId="10" fillId="0" borderId="4" xfId="0" applyNumberFormat="1" applyFont="1" applyFill="1" applyBorder="1" applyAlignment="1">
      <alignment horizontal="center" vertical="center" textRotation="90" wrapText="1"/>
    </xf>
    <xf numFmtId="3" fontId="10" fillId="0" borderId="11" xfId="0" applyNumberFormat="1" applyFont="1" applyFill="1" applyBorder="1" applyAlignment="1">
      <alignment horizontal="center" vertical="center" textRotation="90" wrapText="1"/>
    </xf>
    <xf numFmtId="3" fontId="10" fillId="0" borderId="16" xfId="0" applyNumberFormat="1" applyFont="1" applyFill="1" applyBorder="1" applyAlignment="1">
      <alignment horizontal="center" vertical="center" textRotation="90" wrapText="1"/>
    </xf>
    <xf numFmtId="3" fontId="5" fillId="0" borderId="8" xfId="0" applyNumberFormat="1" applyFont="1" applyFill="1" applyBorder="1" applyAlignment="1">
      <alignment horizontal="center" vertical="top"/>
    </xf>
    <xf numFmtId="3" fontId="5" fillId="0" borderId="46" xfId="0" applyNumberFormat="1" applyFont="1" applyFill="1" applyBorder="1" applyAlignment="1">
      <alignment horizontal="center" vertical="top"/>
    </xf>
    <xf numFmtId="3" fontId="5" fillId="0" borderId="33" xfId="0" applyNumberFormat="1" applyFont="1" applyFill="1" applyBorder="1" applyAlignment="1">
      <alignment horizontal="center" vertical="top"/>
    </xf>
    <xf numFmtId="3" fontId="1" fillId="0" borderId="13" xfId="0" applyNumberFormat="1" applyFont="1" applyFill="1" applyBorder="1" applyAlignment="1">
      <alignment horizontal="left" vertical="top" wrapText="1"/>
    </xf>
    <xf numFmtId="3" fontId="1" fillId="0" borderId="18" xfId="0" applyNumberFormat="1" applyFont="1" applyFill="1" applyBorder="1" applyAlignment="1">
      <alignment horizontal="left" vertical="top" wrapText="1"/>
    </xf>
    <xf numFmtId="0" fontId="1" fillId="0" borderId="40"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1" fillId="0" borderId="41" xfId="0" applyFont="1" applyBorder="1" applyAlignment="1">
      <alignment horizontal="center" vertical="center" textRotation="90"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3" fontId="1" fillId="0" borderId="65" xfId="0" applyNumberFormat="1" applyFont="1" applyBorder="1" applyAlignment="1">
      <alignment horizontal="center" vertical="center"/>
    </xf>
    <xf numFmtId="3" fontId="1" fillId="0" borderId="53" xfId="0" applyNumberFormat="1" applyFont="1" applyBorder="1" applyAlignment="1">
      <alignment horizontal="center" vertical="center"/>
    </xf>
    <xf numFmtId="3" fontId="1" fillId="0" borderId="55" xfId="0" applyNumberFormat="1" applyFont="1" applyBorder="1" applyAlignment="1">
      <alignment horizontal="center" vertical="center"/>
    </xf>
    <xf numFmtId="3" fontId="5" fillId="8" borderId="28" xfId="0" applyNumberFormat="1" applyFont="1" applyFill="1" applyBorder="1" applyAlignment="1">
      <alignment horizontal="left" vertical="top" wrapText="1"/>
    </xf>
    <xf numFmtId="3" fontId="5" fillId="8" borderId="29" xfId="0" applyNumberFormat="1" applyFont="1" applyFill="1" applyBorder="1" applyAlignment="1">
      <alignment horizontal="left" vertical="top" wrapText="1"/>
    </xf>
    <xf numFmtId="3" fontId="5" fillId="8" borderId="0" xfId="0" applyNumberFormat="1" applyFont="1" applyFill="1" applyBorder="1" applyAlignment="1">
      <alignment horizontal="left" vertical="top" wrapText="1"/>
    </xf>
    <xf numFmtId="3" fontId="5" fillId="8" borderId="40" xfId="0" applyNumberFormat="1" applyFont="1" applyFill="1" applyBorder="1" applyAlignment="1">
      <alignment horizontal="left" vertical="top" wrapText="1"/>
    </xf>
    <xf numFmtId="3" fontId="6" fillId="7" borderId="54" xfId="0" applyNumberFormat="1" applyFont="1" applyFill="1" applyBorder="1" applyAlignment="1">
      <alignment horizontal="left" vertical="top" wrapText="1"/>
    </xf>
    <xf numFmtId="3" fontId="6" fillId="7" borderId="14" xfId="0" applyNumberFormat="1" applyFont="1" applyFill="1" applyBorder="1" applyAlignment="1">
      <alignment horizontal="left" vertical="top" wrapText="1"/>
    </xf>
    <xf numFmtId="3" fontId="6" fillId="7" borderId="15" xfId="0" applyNumberFormat="1" applyFont="1" applyFill="1" applyBorder="1" applyAlignment="1">
      <alignment horizontal="left" vertical="top" wrapText="1"/>
    </xf>
    <xf numFmtId="49" fontId="3" fillId="3" borderId="29" xfId="0" applyNumberFormat="1" applyFont="1" applyFill="1" applyBorder="1" applyAlignment="1">
      <alignment horizontal="center" vertical="top"/>
    </xf>
    <xf numFmtId="49" fontId="3" fillId="3" borderId="0" xfId="0" applyNumberFormat="1" applyFont="1" applyFill="1" applyBorder="1" applyAlignment="1">
      <alignment horizontal="center" vertical="top"/>
    </xf>
    <xf numFmtId="3" fontId="1" fillId="5" borderId="34" xfId="0" applyNumberFormat="1" applyFont="1" applyFill="1" applyBorder="1" applyAlignment="1">
      <alignment horizontal="left" vertical="top" wrapText="1"/>
    </xf>
    <xf numFmtId="3" fontId="1" fillId="5" borderId="32" xfId="0" applyNumberFormat="1" applyFont="1" applyFill="1" applyBorder="1" applyAlignment="1">
      <alignment horizontal="left" vertical="top" wrapText="1"/>
    </xf>
    <xf numFmtId="3" fontId="5" fillId="0" borderId="55" xfId="0" applyNumberFormat="1" applyFont="1" applyFill="1" applyBorder="1" applyAlignment="1">
      <alignment horizontal="center" vertical="top"/>
    </xf>
    <xf numFmtId="49" fontId="3" fillId="9" borderId="28" xfId="0" applyNumberFormat="1" applyFont="1" applyFill="1" applyBorder="1" applyAlignment="1">
      <alignment horizontal="center" vertical="top"/>
    </xf>
    <xf numFmtId="49" fontId="3" fillId="9" borderId="26" xfId="0" applyNumberFormat="1" applyFont="1" applyFill="1" applyBorder="1" applyAlignment="1">
      <alignment horizontal="center" vertical="top"/>
    </xf>
    <xf numFmtId="49" fontId="3" fillId="9" borderId="32"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2" borderId="16" xfId="0" applyNumberFormat="1" applyFont="1" applyFill="1" applyBorder="1" applyAlignment="1">
      <alignment horizontal="center" vertical="top"/>
    </xf>
    <xf numFmtId="3" fontId="16" fillId="0" borderId="0" xfId="0" applyNumberFormat="1" applyFont="1" applyAlignment="1">
      <alignment horizontal="center" vertical="top" wrapText="1"/>
    </xf>
    <xf numFmtId="3" fontId="18" fillId="0" borderId="0" xfId="0" applyNumberFormat="1" applyFont="1" applyAlignment="1">
      <alignment horizontal="center" vertical="top" wrapText="1"/>
    </xf>
    <xf numFmtId="3" fontId="16" fillId="0" borderId="0" xfId="0" applyNumberFormat="1" applyFont="1" applyAlignment="1">
      <alignment horizontal="center" vertical="top"/>
    </xf>
    <xf numFmtId="49" fontId="1" fillId="0" borderId="2" xfId="0" applyNumberFormat="1" applyFont="1" applyBorder="1" applyAlignment="1">
      <alignment horizontal="center" vertical="center" textRotation="90" wrapText="1"/>
    </xf>
    <xf numFmtId="49" fontId="1" fillId="0" borderId="9" xfId="0" applyNumberFormat="1" applyFont="1" applyBorder="1" applyAlignment="1">
      <alignment horizontal="center" vertical="center" textRotation="90" wrapText="1"/>
    </xf>
    <xf numFmtId="49" fontId="1" fillId="0" borderId="13"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49" fontId="1" fillId="0" borderId="49" xfId="0" applyNumberFormat="1" applyFont="1" applyBorder="1" applyAlignment="1">
      <alignment horizontal="center" vertical="center" textRotation="90" wrapText="1"/>
    </xf>
    <xf numFmtId="3" fontId="4" fillId="0" borderId="27"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3" fontId="4" fillId="0" borderId="28" xfId="0" applyNumberFormat="1" applyFont="1" applyBorder="1" applyAlignment="1">
      <alignment horizontal="center" vertical="center" textRotation="90" wrapText="1"/>
    </xf>
    <xf numFmtId="3" fontId="4" fillId="0" borderId="26" xfId="0" applyNumberFormat="1" applyFont="1" applyBorder="1" applyAlignment="1">
      <alignment horizontal="center" vertical="center" textRotation="90" wrapText="1"/>
    </xf>
    <xf numFmtId="3" fontId="4" fillId="0" borderId="4" xfId="0" applyNumberFormat="1" applyFont="1" applyBorder="1" applyAlignment="1">
      <alignment horizontal="center" vertical="center" textRotation="90" wrapText="1"/>
    </xf>
    <xf numFmtId="3" fontId="4" fillId="0" borderId="11" xfId="0" applyNumberFormat="1" applyFont="1" applyBorder="1" applyAlignment="1">
      <alignment horizontal="center" vertical="center" textRotation="90" wrapText="1"/>
    </xf>
    <xf numFmtId="3" fontId="4" fillId="0" borderId="16" xfId="0" applyNumberFormat="1" applyFont="1" applyBorder="1" applyAlignment="1">
      <alignment horizontal="center" vertical="center" textRotation="90" wrapText="1"/>
    </xf>
    <xf numFmtId="3" fontId="4" fillId="0" borderId="31" xfId="0" applyNumberFormat="1" applyFont="1" applyBorder="1" applyAlignment="1">
      <alignment horizontal="center" vertical="center" textRotation="90" wrapText="1"/>
    </xf>
    <xf numFmtId="3" fontId="4" fillId="0" borderId="37" xfId="0" applyNumberFormat="1" applyFont="1" applyBorder="1" applyAlignment="1">
      <alignment horizontal="center" vertical="center" textRotation="90" wrapText="1"/>
    </xf>
    <xf numFmtId="3" fontId="4" fillId="0" borderId="5"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17" xfId="0" applyNumberFormat="1" applyFont="1" applyBorder="1" applyAlignment="1">
      <alignment horizontal="center" vertical="center" textRotation="90" wrapText="1"/>
    </xf>
    <xf numFmtId="0" fontId="1" fillId="0" borderId="28"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3" fontId="1" fillId="0" borderId="1" xfId="0" applyNumberFormat="1" applyFont="1" applyBorder="1" applyAlignment="1">
      <alignment horizontal="right" vertical="top"/>
    </xf>
    <xf numFmtId="3" fontId="1" fillId="3" borderId="47" xfId="0" applyNumberFormat="1" applyFont="1" applyFill="1" applyBorder="1" applyAlignment="1">
      <alignment horizontal="left" vertical="top" wrapText="1"/>
    </xf>
    <xf numFmtId="3" fontId="1" fillId="3" borderId="12" xfId="0" applyNumberFormat="1" applyFont="1" applyFill="1" applyBorder="1" applyAlignment="1">
      <alignment horizontal="left" vertical="top" wrapText="1"/>
    </xf>
    <xf numFmtId="3" fontId="3" fillId="3" borderId="5" xfId="0" applyNumberFormat="1" applyFont="1" applyFill="1" applyBorder="1" applyAlignment="1">
      <alignment horizontal="left" vertical="top" wrapText="1"/>
    </xf>
    <xf numFmtId="3" fontId="3" fillId="3" borderId="12" xfId="0" applyNumberFormat="1" applyFont="1" applyFill="1" applyBorder="1" applyAlignment="1">
      <alignment horizontal="left" vertical="top" wrapText="1"/>
    </xf>
    <xf numFmtId="3" fontId="3" fillId="0" borderId="45" xfId="0" applyNumberFormat="1" applyFont="1" applyFill="1" applyBorder="1" applyAlignment="1">
      <alignment horizontal="center" vertical="top" textRotation="90" wrapText="1"/>
    </xf>
    <xf numFmtId="3" fontId="1" fillId="0" borderId="34" xfId="0" applyNumberFormat="1" applyFont="1" applyFill="1" applyBorder="1" applyAlignment="1">
      <alignment horizontal="left" vertical="top" wrapText="1"/>
    </xf>
    <xf numFmtId="3" fontId="1" fillId="0" borderId="32" xfId="0" applyNumberFormat="1" applyFont="1" applyFill="1" applyBorder="1" applyAlignment="1">
      <alignment horizontal="left" vertical="top" wrapText="1"/>
    </xf>
    <xf numFmtId="3" fontId="1" fillId="0" borderId="5"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5" fillId="2" borderId="19" xfId="0" applyNumberFormat="1" applyFont="1" applyFill="1" applyBorder="1" applyAlignment="1">
      <alignment horizontal="left" vertical="top" wrapText="1"/>
    </xf>
    <xf numFmtId="3" fontId="5" fillId="2" borderId="20" xfId="0" applyNumberFormat="1" applyFont="1" applyFill="1" applyBorder="1" applyAlignment="1">
      <alignment horizontal="left" vertical="top" wrapText="1"/>
    </xf>
    <xf numFmtId="3" fontId="5" fillId="2" borderId="21" xfId="0" applyNumberFormat="1" applyFont="1" applyFill="1" applyBorder="1" applyAlignment="1">
      <alignment horizontal="left" vertical="top" wrapText="1"/>
    </xf>
    <xf numFmtId="3" fontId="1" fillId="3" borderId="51" xfId="0" applyNumberFormat="1" applyFont="1" applyFill="1" applyBorder="1" applyAlignment="1">
      <alignment horizontal="left" vertical="top" wrapText="1"/>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3" fontId="5" fillId="2" borderId="19" xfId="0" applyNumberFormat="1" applyFont="1" applyFill="1" applyBorder="1" applyAlignment="1">
      <alignment horizontal="right" vertical="top"/>
    </xf>
    <xf numFmtId="3" fontId="5" fillId="2" borderId="20" xfId="0" applyNumberFormat="1" applyFont="1" applyFill="1" applyBorder="1" applyAlignment="1">
      <alignment horizontal="right" vertical="top"/>
    </xf>
    <xf numFmtId="3" fontId="3" fillId="2" borderId="19" xfId="0" applyNumberFormat="1" applyFont="1" applyFill="1" applyBorder="1" applyAlignment="1">
      <alignment horizontal="center" vertical="top"/>
    </xf>
    <xf numFmtId="3" fontId="3" fillId="2" borderId="20" xfId="0" applyNumberFormat="1" applyFont="1" applyFill="1" applyBorder="1" applyAlignment="1">
      <alignment horizontal="center" vertical="top"/>
    </xf>
    <xf numFmtId="3" fontId="3" fillId="2" borderId="21" xfId="0" applyNumberFormat="1"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3" fontId="1" fillId="0" borderId="28" xfId="0" applyNumberFormat="1" applyFont="1" applyFill="1" applyBorder="1" applyAlignment="1">
      <alignment horizontal="left" vertical="top" wrapText="1"/>
    </xf>
    <xf numFmtId="3" fontId="1" fillId="5" borderId="4" xfId="0" applyNumberFormat="1" applyFont="1" applyFill="1" applyBorder="1" applyAlignment="1">
      <alignment horizontal="center" vertical="top"/>
    </xf>
    <xf numFmtId="3" fontId="1" fillId="5" borderId="16" xfId="0" applyNumberFormat="1" applyFont="1" applyFill="1" applyBorder="1" applyAlignment="1">
      <alignment horizontal="center" vertical="top"/>
    </xf>
    <xf numFmtId="3" fontId="1" fillId="0" borderId="4" xfId="0" applyNumberFormat="1" applyFont="1" applyBorder="1" applyAlignment="1">
      <alignment horizontal="center" vertical="top"/>
    </xf>
    <xf numFmtId="3" fontId="1" fillId="0" borderId="16" xfId="0" applyNumberFormat="1" applyFont="1" applyBorder="1" applyAlignment="1">
      <alignment horizontal="center" vertical="top"/>
    </xf>
    <xf numFmtId="3" fontId="1" fillId="0" borderId="30" xfId="0" applyNumberFormat="1" applyFont="1" applyFill="1" applyBorder="1" applyAlignment="1">
      <alignment horizontal="left" vertical="top" wrapText="1"/>
    </xf>
    <xf numFmtId="3" fontId="1" fillId="0" borderId="48" xfId="0" applyNumberFormat="1" applyFont="1" applyFill="1" applyBorder="1" applyAlignment="1">
      <alignment horizontal="left" vertical="top" wrapText="1"/>
    </xf>
    <xf numFmtId="3" fontId="1" fillId="0" borderId="4" xfId="0" applyNumberFormat="1" applyFont="1" applyFill="1" applyBorder="1" applyAlignment="1">
      <alignment horizontal="center" vertical="center" textRotation="90" wrapText="1"/>
    </xf>
    <xf numFmtId="3" fontId="1" fillId="0" borderId="16" xfId="0" applyNumberFormat="1" applyFont="1" applyFill="1" applyBorder="1" applyAlignment="1">
      <alignment horizontal="center" vertical="center" textRotation="90" wrapText="1"/>
    </xf>
    <xf numFmtId="3" fontId="1" fillId="5" borderId="5" xfId="0" applyNumberFormat="1" applyFont="1" applyFill="1" applyBorder="1" applyAlignment="1">
      <alignment horizontal="left" vertical="top" wrapText="1"/>
    </xf>
    <xf numFmtId="3" fontId="1" fillId="5" borderId="12" xfId="0" applyNumberFormat="1" applyFont="1" applyFill="1" applyBorder="1" applyAlignment="1">
      <alignment horizontal="left" vertical="top" wrapText="1"/>
    </xf>
    <xf numFmtId="3" fontId="1" fillId="0" borderId="4" xfId="0" applyNumberFormat="1" applyFont="1" applyFill="1" applyBorder="1" applyAlignment="1">
      <alignment horizontal="center" vertical="top" textRotation="90"/>
    </xf>
    <xf numFmtId="3" fontId="1" fillId="0" borderId="16" xfId="0" applyNumberFormat="1" applyFont="1" applyFill="1" applyBorder="1" applyAlignment="1">
      <alignment horizontal="center" vertical="top" textRotation="90"/>
    </xf>
    <xf numFmtId="3" fontId="1" fillId="5" borderId="17" xfId="0" applyNumberFormat="1" applyFont="1" applyFill="1" applyBorder="1" applyAlignment="1">
      <alignment horizontal="left" vertical="top" wrapText="1"/>
    </xf>
    <xf numFmtId="3" fontId="1" fillId="0" borderId="4" xfId="0" applyNumberFormat="1" applyFont="1" applyFill="1" applyBorder="1" applyAlignment="1">
      <alignment horizontal="center" vertical="center" textRotation="90"/>
    </xf>
    <xf numFmtId="3" fontId="1" fillId="0" borderId="16" xfId="0" applyNumberFormat="1" applyFont="1" applyFill="1" applyBorder="1" applyAlignment="1">
      <alignment horizontal="center" vertical="center" textRotation="90"/>
    </xf>
    <xf numFmtId="3" fontId="11" fillId="0" borderId="4" xfId="0" applyNumberFormat="1" applyFont="1" applyFill="1" applyBorder="1" applyAlignment="1">
      <alignment horizontal="center" vertical="center" textRotation="90"/>
    </xf>
    <xf numFmtId="3" fontId="11" fillId="0" borderId="16" xfId="0" applyNumberFormat="1" applyFont="1" applyFill="1" applyBorder="1" applyAlignment="1">
      <alignment horizontal="center" vertical="center" textRotation="90"/>
    </xf>
    <xf numFmtId="3" fontId="1" fillId="0" borderId="47"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3" fontId="10" fillId="0" borderId="49" xfId="0" applyNumberFormat="1" applyFont="1" applyFill="1" applyBorder="1" applyAlignment="1">
      <alignment horizontal="center" vertical="top" textRotation="90" wrapText="1"/>
    </xf>
    <xf numFmtId="3" fontId="10" fillId="0" borderId="16" xfId="0" applyNumberFormat="1" applyFont="1" applyFill="1" applyBorder="1" applyAlignment="1">
      <alignment horizontal="center" vertical="top" textRotation="90" wrapText="1"/>
    </xf>
    <xf numFmtId="3" fontId="3" fillId="5" borderId="5" xfId="0" applyNumberFormat="1" applyFont="1" applyFill="1" applyBorder="1" applyAlignment="1">
      <alignment horizontal="left" vertical="top" wrapText="1"/>
    </xf>
    <xf numFmtId="3" fontId="3" fillId="5" borderId="51" xfId="0" applyNumberFormat="1" applyFont="1" applyFill="1" applyBorder="1" applyAlignment="1">
      <alignment horizontal="left" vertical="top" wrapText="1"/>
    </xf>
    <xf numFmtId="3" fontId="5" fillId="2" borderId="29" xfId="0" applyNumberFormat="1" applyFont="1" applyFill="1" applyBorder="1" applyAlignment="1">
      <alignment horizontal="left" vertical="top" wrapText="1"/>
    </xf>
    <xf numFmtId="49" fontId="3" fillId="0" borderId="27" xfId="0" applyNumberFormat="1" applyFont="1" applyBorder="1" applyAlignment="1">
      <alignment horizontal="center" vertical="top"/>
    </xf>
    <xf numFmtId="49" fontId="3" fillId="0" borderId="38" xfId="0" applyNumberFormat="1" applyFont="1" applyBorder="1" applyAlignment="1">
      <alignment horizontal="center" vertical="top"/>
    </xf>
    <xf numFmtId="3" fontId="3" fillId="5" borderId="12" xfId="0" applyNumberFormat="1" applyFont="1" applyFill="1" applyBorder="1" applyAlignment="1">
      <alignment horizontal="left" vertical="top" wrapText="1"/>
    </xf>
    <xf numFmtId="3" fontId="5" fillId="2" borderId="1" xfId="0" applyNumberFormat="1" applyFont="1" applyFill="1" applyBorder="1" applyAlignment="1">
      <alignment horizontal="right" vertical="top"/>
    </xf>
    <xf numFmtId="3" fontId="3" fillId="2" borderId="32"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3" fontId="3" fillId="2" borderId="41" xfId="0" applyNumberFormat="1" applyFont="1" applyFill="1" applyBorder="1" applyAlignment="1">
      <alignment horizontal="center" vertical="center"/>
    </xf>
    <xf numFmtId="3" fontId="4" fillId="5" borderId="47" xfId="0" applyNumberFormat="1" applyFont="1" applyFill="1" applyBorder="1" applyAlignment="1">
      <alignment horizontal="left" vertical="top" wrapText="1"/>
    </xf>
    <xf numFmtId="3" fontId="4" fillId="5" borderId="17" xfId="0" applyNumberFormat="1" applyFont="1" applyFill="1" applyBorder="1" applyAlignment="1">
      <alignment horizontal="left" vertical="top" wrapText="1"/>
    </xf>
    <xf numFmtId="3" fontId="11" fillId="0" borderId="49" xfId="0" applyNumberFormat="1" applyFont="1" applyFill="1" applyBorder="1" applyAlignment="1">
      <alignment horizontal="center" vertical="top" textRotation="90"/>
    </xf>
    <xf numFmtId="3" fontId="11" fillId="0" borderId="16" xfId="0" applyNumberFormat="1" applyFont="1" applyFill="1" applyBorder="1" applyAlignment="1">
      <alignment horizontal="center" vertical="top" textRotation="90"/>
    </xf>
    <xf numFmtId="49" fontId="1" fillId="0" borderId="47"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0" borderId="51" xfId="0" applyNumberFormat="1" applyFont="1" applyBorder="1" applyAlignment="1">
      <alignment horizontal="left" vertical="top" wrapText="1"/>
    </xf>
    <xf numFmtId="49" fontId="10" fillId="0" borderId="49" xfId="0" applyNumberFormat="1" applyFont="1" applyBorder="1" applyAlignment="1">
      <alignment horizontal="center" vertical="top" textRotation="90"/>
    </xf>
    <xf numFmtId="49" fontId="10" fillId="0" borderId="11" xfId="0" applyNumberFormat="1" applyFont="1" applyBorder="1" applyAlignment="1">
      <alignment horizontal="center" vertical="top" textRotation="90"/>
    </xf>
    <xf numFmtId="3" fontId="1" fillId="0" borderId="45" xfId="0" applyNumberFormat="1" applyFont="1" applyFill="1" applyBorder="1" applyAlignment="1">
      <alignment horizontal="left" vertical="top" wrapText="1"/>
    </xf>
    <xf numFmtId="3" fontId="3" fillId="4" borderId="35" xfId="0" applyNumberFormat="1" applyFont="1" applyFill="1" applyBorder="1" applyAlignment="1">
      <alignment horizontal="right" vertical="top"/>
    </xf>
    <xf numFmtId="3" fontId="3" fillId="4" borderId="59" xfId="0" applyNumberFormat="1" applyFont="1" applyFill="1" applyBorder="1" applyAlignment="1">
      <alignment horizontal="right" vertical="top"/>
    </xf>
    <xf numFmtId="3" fontId="1" fillId="5" borderId="26" xfId="0" applyNumberFormat="1" applyFont="1" applyFill="1" applyBorder="1" applyAlignment="1">
      <alignment horizontal="left" vertical="top" wrapText="1"/>
    </xf>
    <xf numFmtId="3" fontId="1" fillId="5" borderId="22" xfId="0" applyNumberFormat="1" applyFont="1" applyFill="1" applyBorder="1" applyAlignment="1">
      <alignment horizontal="left" vertical="top" wrapText="1"/>
    </xf>
    <xf numFmtId="3" fontId="11" fillId="0" borderId="11" xfId="0" applyNumberFormat="1" applyFont="1" applyFill="1" applyBorder="1" applyAlignment="1">
      <alignment horizontal="center" vertical="top" textRotation="90"/>
    </xf>
    <xf numFmtId="3" fontId="5" fillId="0" borderId="13" xfId="0" applyNumberFormat="1" applyFont="1" applyBorder="1" applyAlignment="1">
      <alignment horizontal="center" vertical="center" textRotation="90"/>
    </xf>
    <xf numFmtId="3" fontId="5" fillId="0" borderId="48" xfId="0" applyNumberFormat="1" applyFont="1" applyBorder="1" applyAlignment="1">
      <alignment horizontal="center" vertical="center" textRotation="90"/>
    </xf>
    <xf numFmtId="49" fontId="1" fillId="3" borderId="37" xfId="0" applyNumberFormat="1" applyFont="1" applyFill="1" applyBorder="1" applyAlignment="1">
      <alignment horizontal="center" vertical="top" wrapText="1"/>
    </xf>
    <xf numFmtId="49" fontId="1" fillId="3" borderId="57" xfId="0" applyNumberFormat="1" applyFont="1" applyFill="1" applyBorder="1" applyAlignment="1">
      <alignment horizontal="center" vertical="top" wrapText="1"/>
    </xf>
    <xf numFmtId="3" fontId="5" fillId="5" borderId="12" xfId="0" applyNumberFormat="1" applyFont="1" applyFill="1" applyBorder="1" applyAlignment="1">
      <alignment horizontal="left" vertical="top" wrapText="1"/>
    </xf>
    <xf numFmtId="3" fontId="5" fillId="5" borderId="51" xfId="0" applyNumberFormat="1" applyFont="1" applyFill="1" applyBorder="1" applyAlignment="1">
      <alignment horizontal="left" vertical="top" wrapText="1"/>
    </xf>
    <xf numFmtId="3" fontId="5" fillId="5" borderId="45" xfId="0" applyNumberFormat="1" applyFont="1" applyFill="1" applyBorder="1" applyAlignment="1">
      <alignment horizontal="center" vertical="top" wrapText="1"/>
    </xf>
    <xf numFmtId="3" fontId="5" fillId="5" borderId="37" xfId="0" applyNumberFormat="1" applyFont="1" applyFill="1" applyBorder="1" applyAlignment="1">
      <alignment horizontal="center" vertical="top" wrapText="1"/>
    </xf>
    <xf numFmtId="3" fontId="1" fillId="5" borderId="47" xfId="0" applyNumberFormat="1" applyFont="1" applyFill="1" applyBorder="1" applyAlignment="1">
      <alignment horizontal="left" vertical="top" wrapText="1"/>
    </xf>
    <xf numFmtId="3" fontId="1" fillId="5" borderId="51" xfId="0" applyNumberFormat="1" applyFont="1" applyFill="1" applyBorder="1" applyAlignment="1">
      <alignment horizontal="left" vertical="top" wrapText="1"/>
    </xf>
    <xf numFmtId="3" fontId="1" fillId="5" borderId="0" xfId="0" applyNumberFormat="1" applyFont="1" applyFill="1" applyBorder="1" applyAlignment="1">
      <alignment horizontal="center" vertical="top"/>
    </xf>
    <xf numFmtId="49" fontId="5" fillId="2" borderId="43" xfId="0" applyNumberFormat="1" applyFont="1" applyFill="1" applyBorder="1" applyAlignment="1">
      <alignment horizontal="left" vertical="top" wrapText="1"/>
    </xf>
    <xf numFmtId="49" fontId="5" fillId="2" borderId="20" xfId="0" applyNumberFormat="1" applyFont="1" applyFill="1" applyBorder="1" applyAlignment="1">
      <alignment horizontal="left" vertical="top" wrapText="1"/>
    </xf>
    <xf numFmtId="3" fontId="1" fillId="0" borderId="34"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3" fontId="10" fillId="0" borderId="11" xfId="0" applyNumberFormat="1" applyFont="1" applyFill="1" applyBorder="1" applyAlignment="1">
      <alignment horizontal="center" vertical="top" textRotation="90" wrapText="1"/>
    </xf>
    <xf numFmtId="3" fontId="10" fillId="0" borderId="56" xfId="0" applyNumberFormat="1" applyFont="1" applyFill="1" applyBorder="1" applyAlignment="1">
      <alignment horizontal="center" vertical="top" textRotation="90" wrapText="1"/>
    </xf>
    <xf numFmtId="3" fontId="1" fillId="5" borderId="5" xfId="0" applyNumberFormat="1" applyFont="1" applyFill="1" applyBorder="1" applyAlignment="1">
      <alignment vertical="top" wrapText="1"/>
    </xf>
    <xf numFmtId="3" fontId="1" fillId="5" borderId="17" xfId="0" applyNumberFormat="1" applyFont="1" applyFill="1" applyBorder="1" applyAlignment="1">
      <alignment vertical="top" wrapText="1"/>
    </xf>
    <xf numFmtId="3" fontId="1" fillId="0" borderId="29" xfId="0" applyNumberFormat="1" applyFont="1" applyFill="1" applyBorder="1" applyAlignment="1">
      <alignment horizontal="center" vertical="center" textRotation="90" wrapText="1"/>
    </xf>
    <xf numFmtId="3" fontId="1" fillId="0" borderId="1" xfId="0" applyNumberFormat="1" applyFont="1" applyFill="1" applyBorder="1" applyAlignment="1">
      <alignment horizontal="center" vertical="center" textRotation="90" wrapText="1"/>
    </xf>
    <xf numFmtId="3" fontId="1" fillId="0" borderId="62" xfId="0" applyNumberFormat="1" applyFont="1" applyFill="1" applyBorder="1" applyAlignment="1">
      <alignment horizontal="center" vertical="center" textRotation="90" wrapText="1"/>
    </xf>
    <xf numFmtId="3" fontId="1" fillId="0" borderId="61" xfId="0" applyNumberFormat="1" applyFont="1" applyFill="1" applyBorder="1" applyAlignment="1">
      <alignment horizontal="center" vertical="center" textRotation="90" wrapText="1"/>
    </xf>
    <xf numFmtId="3" fontId="3" fillId="0" borderId="40" xfId="0" applyNumberFormat="1" applyFont="1" applyBorder="1" applyAlignment="1">
      <alignment horizontal="center" vertical="top"/>
    </xf>
    <xf numFmtId="3" fontId="3" fillId="0" borderId="41" xfId="0" applyNumberFormat="1" applyFont="1" applyBorder="1" applyAlignment="1">
      <alignment horizontal="center" vertical="top"/>
    </xf>
    <xf numFmtId="3" fontId="1" fillId="5" borderId="28" xfId="0" applyNumberFormat="1" applyFont="1" applyFill="1" applyBorder="1" applyAlignment="1">
      <alignment horizontal="left" vertical="top" wrapText="1"/>
    </xf>
    <xf numFmtId="3" fontId="3" fillId="0" borderId="31" xfId="0" applyNumberFormat="1" applyFont="1" applyBorder="1" applyAlignment="1">
      <alignment horizontal="center" vertical="top"/>
    </xf>
    <xf numFmtId="3" fontId="3" fillId="0" borderId="39" xfId="0" applyNumberFormat="1" applyFont="1" applyBorder="1" applyAlignment="1">
      <alignment horizontal="center" vertical="top"/>
    </xf>
    <xf numFmtId="3" fontId="1" fillId="6" borderId="35"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top" wrapText="1"/>
    </xf>
    <xf numFmtId="3" fontId="13" fillId="0" borderId="0" xfId="0" applyNumberFormat="1" applyFont="1" applyAlignment="1">
      <alignment vertical="top" wrapText="1"/>
    </xf>
    <xf numFmtId="3" fontId="5" fillId="4" borderId="35" xfId="0" applyNumberFormat="1" applyFont="1" applyFill="1" applyBorder="1" applyAlignment="1">
      <alignment horizontal="right" vertical="top"/>
    </xf>
    <xf numFmtId="3" fontId="5" fillId="4" borderId="59" xfId="0" applyNumberFormat="1" applyFont="1" applyFill="1" applyBorder="1" applyAlignment="1">
      <alignment horizontal="right" vertical="top"/>
    </xf>
    <xf numFmtId="3" fontId="5" fillId="4" borderId="33" xfId="0" applyNumberFormat="1" applyFont="1" applyFill="1" applyBorder="1" applyAlignment="1">
      <alignment horizontal="right" vertical="top"/>
    </xf>
    <xf numFmtId="0" fontId="1" fillId="5" borderId="34" xfId="0" applyFont="1" applyFill="1" applyBorder="1" applyAlignment="1">
      <alignment horizontal="left" vertical="top" wrapText="1"/>
    </xf>
    <xf numFmtId="0" fontId="1" fillId="5" borderId="22" xfId="0" applyFont="1" applyFill="1" applyBorder="1" applyAlignment="1">
      <alignment horizontal="left" vertical="top" wrapText="1"/>
    </xf>
    <xf numFmtId="3" fontId="1" fillId="5" borderId="30" xfId="0" applyNumberFormat="1" applyFont="1" applyFill="1" applyBorder="1" applyAlignment="1">
      <alignment horizontal="left" vertical="top" wrapText="1"/>
    </xf>
    <xf numFmtId="3" fontId="1" fillId="5" borderId="18" xfId="0" applyNumberFormat="1" applyFont="1" applyFill="1" applyBorder="1" applyAlignment="1">
      <alignment horizontal="left" vertical="top" wrapText="1"/>
    </xf>
    <xf numFmtId="3" fontId="5" fillId="7" borderId="54" xfId="0" applyNumberFormat="1" applyFont="1" applyFill="1" applyBorder="1" applyAlignment="1">
      <alignment horizontal="right" vertical="top"/>
    </xf>
    <xf numFmtId="3" fontId="5" fillId="7" borderId="14" xfId="0" applyNumberFormat="1" applyFont="1" applyFill="1" applyBorder="1" applyAlignment="1">
      <alignment horizontal="right" vertical="top"/>
    </xf>
    <xf numFmtId="3" fontId="5" fillId="7" borderId="15" xfId="0" applyNumberFormat="1" applyFont="1" applyFill="1" applyBorder="1" applyAlignment="1">
      <alignment horizontal="right" vertical="top"/>
    </xf>
    <xf numFmtId="3" fontId="4" fillId="0" borderId="26" xfId="0" applyNumberFormat="1" applyFont="1" applyBorder="1" applyAlignment="1">
      <alignment horizontal="left" vertical="top"/>
    </xf>
    <xf numFmtId="3" fontId="4" fillId="0" borderId="0" xfId="0" applyNumberFormat="1" applyFont="1" applyBorder="1" applyAlignment="1">
      <alignment horizontal="left" vertical="top"/>
    </xf>
    <xf numFmtId="3" fontId="4" fillId="0" borderId="9" xfId="0" applyNumberFormat="1" applyFont="1" applyBorder="1" applyAlignment="1">
      <alignment horizontal="left" vertical="top"/>
    </xf>
    <xf numFmtId="3" fontId="4" fillId="0" borderId="10" xfId="0" applyNumberFormat="1" applyFont="1" applyBorder="1" applyAlignment="1">
      <alignment horizontal="left" vertical="top"/>
    </xf>
    <xf numFmtId="3" fontId="4" fillId="0" borderId="54" xfId="0" applyNumberFormat="1" applyFont="1" applyBorder="1" applyAlignment="1">
      <alignment horizontal="left" vertical="top"/>
    </xf>
    <xf numFmtId="3" fontId="4" fillId="0" borderId="14" xfId="0" applyNumberFormat="1" applyFont="1" applyBorder="1" applyAlignment="1">
      <alignment horizontal="left" vertical="top"/>
    </xf>
    <xf numFmtId="3" fontId="1" fillId="6" borderId="19"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3" fontId="1" fillId="6" borderId="21" xfId="0" applyNumberFormat="1" applyFont="1" applyFill="1" applyBorder="1" applyAlignment="1">
      <alignment horizontal="center" vertical="top" wrapText="1"/>
    </xf>
    <xf numFmtId="3" fontId="5" fillId="9" borderId="43" xfId="0" applyNumberFormat="1" applyFont="1" applyFill="1" applyBorder="1" applyAlignment="1">
      <alignment horizontal="right" vertical="top"/>
    </xf>
    <xf numFmtId="3" fontId="5" fillId="9" borderId="20" xfId="0" applyNumberFormat="1" applyFont="1" applyFill="1" applyBorder="1" applyAlignment="1">
      <alignment horizontal="right" vertical="top"/>
    </xf>
    <xf numFmtId="3" fontId="5" fillId="7" borderId="43" xfId="0" applyNumberFormat="1" applyFont="1" applyFill="1" applyBorder="1" applyAlignment="1">
      <alignment horizontal="right" vertical="top"/>
    </xf>
    <xf numFmtId="3" fontId="5" fillId="7" borderId="20" xfId="0" applyNumberFormat="1" applyFont="1" applyFill="1" applyBorder="1" applyAlignment="1">
      <alignment horizontal="right" vertical="top"/>
    </xf>
    <xf numFmtId="3" fontId="5" fillId="0" borderId="1" xfId="0" applyNumberFormat="1" applyFont="1" applyFill="1" applyBorder="1" applyAlignment="1">
      <alignment horizontal="center" wrapText="1"/>
    </xf>
    <xf numFmtId="3" fontId="1" fillId="0" borderId="28" xfId="0" applyNumberFormat="1" applyFont="1" applyBorder="1" applyAlignment="1">
      <alignment horizontal="center" vertical="center"/>
    </xf>
    <xf numFmtId="3" fontId="1" fillId="0" borderId="29" xfId="0" applyNumberFormat="1" applyFont="1" applyBorder="1" applyAlignment="1">
      <alignment horizontal="center" vertical="center"/>
    </xf>
    <xf numFmtId="3" fontId="1" fillId="0" borderId="51" xfId="0" applyNumberFormat="1" applyFont="1" applyFill="1" applyBorder="1" applyAlignment="1">
      <alignment horizontal="left" vertical="top" wrapText="1"/>
    </xf>
    <xf numFmtId="3" fontId="5" fillId="0" borderId="20" xfId="0" applyNumberFormat="1" applyFont="1" applyFill="1" applyBorder="1" applyAlignment="1">
      <alignment horizontal="center" wrapText="1"/>
    </xf>
    <xf numFmtId="3" fontId="4" fillId="0" borderId="15" xfId="0" applyNumberFormat="1" applyFont="1" applyBorder="1" applyAlignment="1">
      <alignment horizontal="left" vertical="top"/>
    </xf>
    <xf numFmtId="3" fontId="31" fillId="0" borderId="0" xfId="0" applyNumberFormat="1" applyFont="1" applyAlignment="1">
      <alignment horizontal="right" vertical="top" wrapText="1"/>
    </xf>
    <xf numFmtId="0" fontId="1" fillId="0" borderId="31" xfId="0" applyFont="1" applyBorder="1" applyAlignment="1">
      <alignment horizontal="center" vertical="center" textRotation="90" wrapText="1"/>
    </xf>
    <xf numFmtId="0" fontId="1" fillId="0" borderId="37" xfId="0" applyFont="1" applyBorder="1" applyAlignment="1">
      <alignment horizontal="center" vertical="center" textRotation="90" wrapText="1"/>
    </xf>
    <xf numFmtId="0" fontId="1" fillId="0" borderId="39" xfId="0" applyFont="1" applyBorder="1" applyAlignment="1">
      <alignment horizontal="center" vertical="center" textRotation="90" wrapText="1"/>
    </xf>
    <xf numFmtId="3" fontId="1" fillId="0" borderId="67"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5"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38" fillId="0" borderId="5" xfId="0" applyNumberFormat="1" applyFont="1" applyFill="1" applyBorder="1" applyAlignment="1">
      <alignment horizontal="left" vertical="top" wrapText="1"/>
    </xf>
    <xf numFmtId="3" fontId="38" fillId="0" borderId="12" xfId="0" applyNumberFormat="1" applyFont="1" applyFill="1" applyBorder="1" applyAlignment="1">
      <alignment horizontal="left" vertical="top" wrapText="1"/>
    </xf>
    <xf numFmtId="3" fontId="14" fillId="5" borderId="5" xfId="0" applyNumberFormat="1" applyFont="1" applyFill="1" applyBorder="1" applyAlignment="1">
      <alignment horizontal="left" vertical="top" wrapText="1"/>
    </xf>
    <xf numFmtId="3" fontId="14" fillId="5" borderId="17" xfId="0" applyNumberFormat="1" applyFont="1" applyFill="1" applyBorder="1" applyAlignment="1">
      <alignment horizontal="left" vertical="top" wrapText="1"/>
    </xf>
    <xf numFmtId="1" fontId="1" fillId="5" borderId="5" xfId="0" applyNumberFormat="1" applyFont="1" applyFill="1" applyBorder="1" applyAlignment="1">
      <alignment horizontal="left" vertical="top" wrapText="1"/>
    </xf>
    <xf numFmtId="1" fontId="1" fillId="5" borderId="12" xfId="0" applyNumberFormat="1" applyFont="1" applyFill="1" applyBorder="1" applyAlignment="1">
      <alignment horizontal="left" vertical="top" wrapText="1"/>
    </xf>
    <xf numFmtId="1" fontId="1" fillId="5" borderId="51" xfId="0" applyNumberFormat="1" applyFont="1" applyFill="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49" fontId="3" fillId="2" borderId="56" xfId="0" applyNumberFormat="1" applyFont="1" applyFill="1" applyBorder="1" applyAlignment="1">
      <alignment horizontal="center" vertical="top"/>
    </xf>
    <xf numFmtId="49" fontId="3" fillId="0" borderId="64" xfId="0" applyNumberFormat="1" applyFont="1" applyBorder="1" applyAlignment="1">
      <alignment horizontal="center" vertical="top"/>
    </xf>
    <xf numFmtId="3" fontId="5" fillId="5" borderId="50" xfId="0" applyNumberFormat="1" applyFont="1" applyFill="1" applyBorder="1" applyAlignment="1">
      <alignment horizontal="center" vertical="top" wrapText="1"/>
    </xf>
    <xf numFmtId="3" fontId="5" fillId="0" borderId="45" xfId="0" applyNumberFormat="1" applyFont="1" applyBorder="1" applyAlignment="1">
      <alignment horizontal="center" vertical="center" textRotation="90"/>
    </xf>
    <xf numFmtId="0" fontId="1" fillId="5" borderId="26" xfId="0" applyFont="1" applyFill="1" applyBorder="1" applyAlignment="1">
      <alignment horizontal="left" vertical="top" wrapText="1"/>
    </xf>
    <xf numFmtId="49" fontId="1" fillId="3" borderId="50" xfId="0" applyNumberFormat="1" applyFont="1" applyFill="1" applyBorder="1" applyAlignment="1">
      <alignment horizontal="center" vertical="top" wrapText="1"/>
    </xf>
    <xf numFmtId="3" fontId="5" fillId="5" borderId="47" xfId="0" applyNumberFormat="1" applyFont="1" applyFill="1" applyBorder="1" applyAlignment="1">
      <alignment horizontal="left" vertical="top" wrapText="1"/>
    </xf>
    <xf numFmtId="3" fontId="5" fillId="5" borderId="13" xfId="0" applyNumberFormat="1" applyFont="1" applyFill="1" applyBorder="1" applyAlignment="1">
      <alignment horizontal="center" vertical="top" wrapText="1"/>
    </xf>
    <xf numFmtId="3" fontId="14" fillId="5" borderId="47" xfId="0" applyNumberFormat="1" applyFont="1" applyFill="1" applyBorder="1" applyAlignment="1">
      <alignment horizontal="left" vertical="top" wrapText="1"/>
    </xf>
    <xf numFmtId="3" fontId="14" fillId="5" borderId="51" xfId="0" applyNumberFormat="1" applyFont="1" applyFill="1" applyBorder="1" applyAlignment="1">
      <alignment horizontal="left" vertical="top" wrapText="1"/>
    </xf>
    <xf numFmtId="49" fontId="14" fillId="3" borderId="50" xfId="0" applyNumberFormat="1" applyFont="1" applyFill="1" applyBorder="1" applyAlignment="1">
      <alignment horizontal="center" vertical="top" wrapText="1"/>
    </xf>
    <xf numFmtId="49" fontId="14" fillId="3" borderId="57" xfId="0" applyNumberFormat="1" applyFont="1" applyFill="1" applyBorder="1" applyAlignment="1">
      <alignment horizontal="center" vertical="top" wrapText="1"/>
    </xf>
    <xf numFmtId="49" fontId="1" fillId="3" borderId="39" xfId="0" applyNumberFormat="1" applyFont="1" applyFill="1" applyBorder="1" applyAlignment="1">
      <alignment horizontal="center" vertical="top" wrapText="1"/>
    </xf>
    <xf numFmtId="3" fontId="1" fillId="0" borderId="12"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3" fontId="3" fillId="4" borderId="33" xfId="0" applyNumberFormat="1" applyFont="1" applyFill="1" applyBorder="1" applyAlignment="1">
      <alignment horizontal="right" vertical="top"/>
    </xf>
    <xf numFmtId="0" fontId="1" fillId="0" borderId="29"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3" fontId="1" fillId="0" borderId="5"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9" fillId="0" borderId="5" xfId="0" applyNumberFormat="1" applyFont="1" applyBorder="1" applyAlignment="1">
      <alignment horizontal="center" vertical="top" wrapText="1"/>
    </xf>
    <xf numFmtId="3" fontId="19" fillId="0" borderId="12" xfId="0" applyNumberFormat="1" applyFont="1" applyBorder="1" applyAlignment="1">
      <alignment horizontal="center" vertical="top" wrapText="1"/>
    </xf>
    <xf numFmtId="3" fontId="20" fillId="0" borderId="12" xfId="0" applyNumberFormat="1" applyFont="1" applyBorder="1" applyAlignment="1">
      <alignment horizontal="center" vertical="top" wrapText="1"/>
    </xf>
    <xf numFmtId="3" fontId="20" fillId="0" borderId="17" xfId="0" applyNumberFormat="1" applyFont="1" applyBorder="1" applyAlignment="1">
      <alignment horizontal="center" vertical="top" wrapText="1"/>
    </xf>
    <xf numFmtId="164" fontId="4" fillId="5" borderId="50" xfId="0" applyNumberFormat="1" applyFont="1" applyFill="1" applyBorder="1" applyAlignment="1">
      <alignment horizontal="center" vertical="top"/>
    </xf>
    <xf numFmtId="164" fontId="4" fillId="5" borderId="57" xfId="0" applyNumberFormat="1" applyFont="1" applyFill="1" applyBorder="1" applyAlignment="1">
      <alignment horizontal="center" vertical="top"/>
    </xf>
    <xf numFmtId="3" fontId="11" fillId="0" borderId="49" xfId="0" applyNumberFormat="1" applyFont="1" applyFill="1" applyBorder="1" applyAlignment="1">
      <alignment horizontal="center" vertical="center" textRotation="90"/>
    </xf>
    <xf numFmtId="3" fontId="11" fillId="0" borderId="56" xfId="0" applyNumberFormat="1" applyFont="1" applyFill="1" applyBorder="1" applyAlignment="1">
      <alignment horizontal="center" vertical="center" textRotation="90"/>
    </xf>
    <xf numFmtId="3" fontId="5" fillId="4" borderId="32" xfId="0" applyNumberFormat="1" applyFont="1" applyFill="1" applyBorder="1" applyAlignment="1">
      <alignment horizontal="right" vertical="top"/>
    </xf>
    <xf numFmtId="3" fontId="5" fillId="4" borderId="1" xfId="0" applyNumberFormat="1" applyFont="1" applyFill="1" applyBorder="1" applyAlignment="1">
      <alignment horizontal="right" vertical="top"/>
    </xf>
    <xf numFmtId="3" fontId="5" fillId="7" borderId="26" xfId="0" applyNumberFormat="1" applyFont="1" applyFill="1" applyBorder="1" applyAlignment="1">
      <alignment horizontal="right" vertical="top"/>
    </xf>
    <xf numFmtId="3" fontId="5" fillId="7" borderId="0" xfId="0" applyNumberFormat="1" applyFont="1" applyFill="1" applyBorder="1" applyAlignment="1">
      <alignment horizontal="right" vertical="top"/>
    </xf>
    <xf numFmtId="3" fontId="11" fillId="0" borderId="4" xfId="0" applyNumberFormat="1" applyFont="1" applyFill="1" applyBorder="1" applyAlignment="1">
      <alignment horizontal="center" vertical="top" textRotation="90"/>
    </xf>
    <xf numFmtId="3" fontId="1" fillId="5" borderId="13" xfId="0" applyNumberFormat="1" applyFont="1" applyFill="1" applyBorder="1" applyAlignment="1">
      <alignment horizontal="left" vertical="top" wrapText="1"/>
    </xf>
    <xf numFmtId="49" fontId="3" fillId="0" borderId="36" xfId="0" applyNumberFormat="1" applyFont="1" applyBorder="1" applyAlignment="1">
      <alignment horizontal="center" vertical="top"/>
    </xf>
    <xf numFmtId="3" fontId="1" fillId="5" borderId="12" xfId="0" applyNumberFormat="1" applyFont="1" applyFill="1" applyBorder="1" applyAlignment="1">
      <alignment vertical="top" wrapText="1"/>
    </xf>
    <xf numFmtId="3" fontId="1" fillId="0" borderId="0" xfId="0" applyNumberFormat="1" applyFont="1" applyFill="1" applyBorder="1" applyAlignment="1">
      <alignment horizontal="center" vertical="center" textRotation="90" wrapText="1"/>
    </xf>
    <xf numFmtId="3" fontId="3" fillId="0" borderId="37" xfId="0" applyNumberFormat="1" applyFont="1" applyBorder="1" applyAlignment="1">
      <alignment horizontal="center" vertical="top"/>
    </xf>
    <xf numFmtId="49" fontId="3" fillId="3" borderId="36" xfId="0" applyNumberFormat="1" applyFont="1" applyFill="1" applyBorder="1" applyAlignment="1">
      <alignment horizontal="center" vertical="top" wrapText="1"/>
    </xf>
    <xf numFmtId="3" fontId="20" fillId="0" borderId="26" xfId="0" applyNumberFormat="1" applyFont="1" applyFill="1" applyBorder="1" applyAlignment="1">
      <alignment horizontal="center" vertical="top" wrapText="1"/>
    </xf>
    <xf numFmtId="3" fontId="20" fillId="0" borderId="22" xfId="0" applyNumberFormat="1" applyFont="1" applyFill="1" applyBorder="1" applyAlignment="1">
      <alignment horizontal="center" vertical="top" wrapText="1"/>
    </xf>
    <xf numFmtId="3" fontId="19" fillId="5" borderId="12" xfId="0" applyNumberFormat="1" applyFont="1" applyFill="1" applyBorder="1" applyAlignment="1">
      <alignment horizontal="center" vertical="top" wrapText="1"/>
    </xf>
    <xf numFmtId="3" fontId="19" fillId="5" borderId="51" xfId="0" applyNumberFormat="1" applyFont="1" applyFill="1" applyBorder="1" applyAlignment="1">
      <alignment horizontal="center" vertical="top" wrapText="1"/>
    </xf>
    <xf numFmtId="3" fontId="3" fillId="0" borderId="12" xfId="0" applyNumberFormat="1" applyFont="1" applyFill="1" applyBorder="1" applyAlignment="1">
      <alignment horizontal="left" vertical="top" wrapText="1"/>
    </xf>
    <xf numFmtId="3" fontId="3" fillId="0" borderId="13" xfId="0" applyNumberFormat="1" applyFont="1" applyBorder="1" applyAlignment="1">
      <alignment horizontal="center" vertical="top"/>
    </xf>
    <xf numFmtId="3" fontId="3" fillId="0" borderId="45" xfId="0" applyNumberFormat="1" applyFont="1" applyBorder="1" applyAlignment="1">
      <alignment horizontal="center" vertical="top"/>
    </xf>
    <xf numFmtId="3" fontId="10" fillId="0" borderId="49" xfId="0" applyNumberFormat="1" applyFont="1" applyBorder="1" applyAlignment="1">
      <alignment horizontal="center" vertical="top" textRotation="90"/>
    </xf>
    <xf numFmtId="3" fontId="10" fillId="0" borderId="11" xfId="0" applyNumberFormat="1" applyFont="1" applyBorder="1" applyAlignment="1">
      <alignment horizontal="center" vertical="top" textRotation="90"/>
    </xf>
    <xf numFmtId="3" fontId="19" fillId="0" borderId="26" xfId="0" applyNumberFormat="1" applyFont="1" applyFill="1" applyBorder="1" applyAlignment="1">
      <alignment horizontal="center" vertical="top" wrapText="1"/>
    </xf>
    <xf numFmtId="3" fontId="19" fillId="0" borderId="22"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wrapText="1"/>
    </xf>
    <xf numFmtId="3" fontId="5" fillId="0" borderId="50" xfId="0" applyNumberFormat="1" applyFont="1" applyFill="1" applyBorder="1" applyAlignment="1">
      <alignment horizontal="center" vertical="top" wrapText="1"/>
    </xf>
    <xf numFmtId="3" fontId="5" fillId="0" borderId="57" xfId="0" applyNumberFormat="1" applyFont="1" applyFill="1" applyBorder="1" applyAlignment="1">
      <alignment horizontal="center" vertical="top" wrapText="1"/>
    </xf>
    <xf numFmtId="3" fontId="10" fillId="0" borderId="4" xfId="0" applyNumberFormat="1" applyFont="1" applyBorder="1" applyAlignment="1">
      <alignment horizontal="center" vertical="top" textRotation="90"/>
    </xf>
    <xf numFmtId="3" fontId="10" fillId="0" borderId="56" xfId="0" applyNumberFormat="1" applyFont="1" applyBorder="1" applyAlignment="1">
      <alignment horizontal="center" vertical="top" textRotation="90"/>
    </xf>
    <xf numFmtId="3" fontId="20" fillId="0" borderId="28" xfId="0" applyNumberFormat="1" applyFont="1" applyFill="1" applyBorder="1" applyAlignment="1">
      <alignment horizontal="center" vertical="top" wrapText="1"/>
    </xf>
    <xf numFmtId="3" fontId="10" fillId="0" borderId="49" xfId="0" applyNumberFormat="1" applyFont="1" applyFill="1" applyBorder="1" applyAlignment="1">
      <alignment horizontal="center" vertical="center" textRotation="90" wrapText="1"/>
    </xf>
    <xf numFmtId="3" fontId="20" fillId="0" borderId="5" xfId="0" applyNumberFormat="1" applyFont="1" applyBorder="1" applyAlignment="1">
      <alignment horizontal="center" vertical="top" wrapText="1"/>
    </xf>
    <xf numFmtId="0" fontId="9" fillId="0" borderId="0" xfId="0" applyFont="1" applyAlignment="1">
      <alignment horizontal="center"/>
    </xf>
    <xf numFmtId="3" fontId="20" fillId="0" borderId="5" xfId="0" applyNumberFormat="1" applyFont="1" applyBorder="1" applyAlignment="1">
      <alignment horizontal="center" vertical="center" textRotation="90" wrapText="1"/>
    </xf>
    <xf numFmtId="3" fontId="20" fillId="0" borderId="12" xfId="0" applyNumberFormat="1" applyFont="1" applyBorder="1" applyAlignment="1">
      <alignment horizontal="center" vertical="center" textRotation="90" wrapText="1"/>
    </xf>
    <xf numFmtId="3" fontId="20" fillId="0" borderId="17" xfId="0" applyNumberFormat="1" applyFont="1" applyBorder="1" applyAlignment="1">
      <alignment horizontal="center" vertical="center" textRotation="90" wrapText="1"/>
    </xf>
    <xf numFmtId="3" fontId="5" fillId="8" borderId="19" xfId="0" applyNumberFormat="1" applyFont="1" applyFill="1" applyBorder="1" applyAlignment="1">
      <alignment horizontal="left" vertical="top" wrapText="1"/>
    </xf>
    <xf numFmtId="3" fontId="5" fillId="8" borderId="20" xfId="0" applyNumberFormat="1" applyFont="1" applyFill="1" applyBorder="1" applyAlignment="1">
      <alignment horizontal="left" vertical="top" wrapText="1"/>
    </xf>
    <xf numFmtId="3" fontId="5" fillId="8" borderId="1" xfId="0" applyNumberFormat="1" applyFont="1" applyFill="1" applyBorder="1" applyAlignment="1">
      <alignment horizontal="left" vertical="top" wrapText="1"/>
    </xf>
    <xf numFmtId="3" fontId="5" fillId="8" borderId="21" xfId="0" applyNumberFormat="1" applyFont="1" applyFill="1" applyBorder="1" applyAlignment="1">
      <alignment horizontal="left" vertical="top" wrapText="1"/>
    </xf>
    <xf numFmtId="3" fontId="6" fillId="7" borderId="22" xfId="0" applyNumberFormat="1" applyFont="1" applyFill="1" applyBorder="1" applyAlignment="1">
      <alignment horizontal="left" vertical="top" wrapText="1"/>
    </xf>
    <xf numFmtId="3" fontId="6" fillId="7" borderId="23" xfId="0" applyNumberFormat="1" applyFont="1" applyFill="1" applyBorder="1" applyAlignment="1">
      <alignment horizontal="left" vertical="top" wrapText="1"/>
    </xf>
    <xf numFmtId="3" fontId="6" fillId="7" borderId="24" xfId="0" applyNumberFormat="1" applyFont="1" applyFill="1" applyBorder="1" applyAlignment="1">
      <alignment horizontal="left" vertical="top" wrapText="1"/>
    </xf>
    <xf numFmtId="3" fontId="5" fillId="9" borderId="20" xfId="0" applyNumberFormat="1" applyFont="1" applyFill="1" applyBorder="1" applyAlignment="1">
      <alignment horizontal="left" vertical="top" wrapText="1"/>
    </xf>
    <xf numFmtId="3" fontId="2" fillId="9" borderId="20" xfId="0" applyNumberFormat="1" applyFont="1" applyFill="1" applyBorder="1" applyAlignment="1">
      <alignment horizontal="left" vertical="top" wrapText="1"/>
    </xf>
    <xf numFmtId="3" fontId="2" fillId="9" borderId="21" xfId="0" applyNumberFormat="1" applyFont="1" applyFill="1" applyBorder="1" applyAlignment="1">
      <alignment horizontal="left" vertical="top" wrapText="1"/>
    </xf>
    <xf numFmtId="3" fontId="3" fillId="2" borderId="43" xfId="0" applyNumberFormat="1" applyFont="1" applyFill="1" applyBorder="1" applyAlignment="1">
      <alignment horizontal="left" vertical="top" wrapText="1"/>
    </xf>
    <xf numFmtId="3" fontId="3" fillId="2" borderId="20" xfId="0" applyNumberFormat="1" applyFont="1" applyFill="1" applyBorder="1" applyAlignment="1">
      <alignment horizontal="left" vertical="top" wrapText="1"/>
    </xf>
    <xf numFmtId="3" fontId="3" fillId="2" borderId="21" xfId="0" applyNumberFormat="1" applyFont="1" applyFill="1" applyBorder="1" applyAlignment="1">
      <alignment horizontal="left" vertical="top" wrapText="1"/>
    </xf>
    <xf numFmtId="3" fontId="1" fillId="0" borderId="13" xfId="0" applyNumberFormat="1" applyFont="1" applyBorder="1" applyAlignment="1">
      <alignment horizontal="left" vertical="top" wrapText="1"/>
    </xf>
    <xf numFmtId="3" fontId="1" fillId="0" borderId="48" xfId="0" applyNumberFormat="1" applyFont="1" applyBorder="1" applyAlignment="1">
      <alignment horizontal="left" vertical="top" wrapText="1"/>
    </xf>
    <xf numFmtId="3" fontId="19" fillId="0" borderId="17" xfId="0" applyNumberFormat="1" applyFont="1" applyBorder="1" applyAlignment="1">
      <alignment horizontal="center" vertical="top" wrapText="1"/>
    </xf>
    <xf numFmtId="3" fontId="21" fillId="5" borderId="5" xfId="0" applyNumberFormat="1" applyFont="1" applyFill="1" applyBorder="1" applyAlignment="1">
      <alignment horizontal="center" vertical="top" wrapText="1"/>
    </xf>
    <xf numFmtId="3" fontId="21" fillId="5" borderId="17" xfId="0" applyNumberFormat="1" applyFont="1" applyFill="1" applyBorder="1" applyAlignment="1">
      <alignment horizontal="center" vertical="top" wrapText="1"/>
    </xf>
    <xf numFmtId="3" fontId="13" fillId="0" borderId="0" xfId="0" applyNumberFormat="1" applyFont="1" applyAlignment="1">
      <alignment horizontal="right" vertical="top" wrapText="1"/>
    </xf>
    <xf numFmtId="3" fontId="1" fillId="0" borderId="13" xfId="0" applyNumberFormat="1" applyFont="1" applyBorder="1" applyAlignment="1">
      <alignment horizontal="center" vertical="center" wrapText="1"/>
    </xf>
    <xf numFmtId="3" fontId="1" fillId="0" borderId="45" xfId="0" applyNumberFormat="1" applyFont="1" applyBorder="1" applyAlignment="1">
      <alignment horizontal="center" vertical="center" wrapText="1"/>
    </xf>
    <xf numFmtId="0" fontId="1" fillId="0" borderId="5"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3" fontId="20" fillId="0" borderId="5" xfId="0" applyNumberFormat="1" applyFont="1" applyFill="1" applyBorder="1" applyAlignment="1">
      <alignment horizontal="center" vertical="top" wrapText="1"/>
    </xf>
    <xf numFmtId="3" fontId="20" fillId="0" borderId="12" xfId="0" applyNumberFormat="1" applyFont="1" applyFill="1" applyBorder="1" applyAlignment="1">
      <alignment horizontal="center" vertical="top" wrapText="1"/>
    </xf>
    <xf numFmtId="0" fontId="1" fillId="0" borderId="13" xfId="0" applyFont="1" applyBorder="1" applyAlignment="1">
      <alignment horizontal="left" vertical="top" wrapText="1"/>
    </xf>
    <xf numFmtId="0" fontId="1" fillId="0" borderId="18" xfId="0" applyFont="1" applyBorder="1" applyAlignment="1">
      <alignment horizontal="left" vertical="top" wrapText="1"/>
    </xf>
    <xf numFmtId="3" fontId="11" fillId="0" borderId="49" xfId="0" applyNumberFormat="1" applyFont="1" applyFill="1" applyBorder="1" applyAlignment="1">
      <alignment horizontal="center" textRotation="90"/>
    </xf>
    <xf numFmtId="3" fontId="11" fillId="0" borderId="11" xfId="0" applyNumberFormat="1" applyFont="1" applyFill="1" applyBorder="1" applyAlignment="1">
      <alignment horizontal="center" textRotation="90"/>
    </xf>
    <xf numFmtId="3" fontId="1" fillId="0" borderId="18" xfId="0" applyNumberFormat="1" applyFont="1" applyBorder="1" applyAlignment="1">
      <alignment horizontal="left" vertical="top" wrapText="1"/>
    </xf>
    <xf numFmtId="3" fontId="1" fillId="0" borderId="31" xfId="0" applyNumberFormat="1" applyFont="1" applyBorder="1" applyAlignment="1">
      <alignment horizontal="center" vertical="top" wrapText="1"/>
    </xf>
    <xf numFmtId="3" fontId="1" fillId="0" borderId="39" xfId="0" applyNumberFormat="1" applyFont="1" applyBorder="1" applyAlignment="1">
      <alignment horizontal="center" vertical="top" wrapText="1"/>
    </xf>
    <xf numFmtId="3" fontId="1" fillId="5" borderId="30" xfId="0" applyNumberFormat="1" applyFont="1" applyFill="1" applyBorder="1" applyAlignment="1">
      <alignment horizontal="center" vertical="top"/>
    </xf>
    <xf numFmtId="3" fontId="1" fillId="5" borderId="18" xfId="0" applyNumberFormat="1" applyFont="1" applyFill="1" applyBorder="1" applyAlignment="1">
      <alignment horizontal="center" vertical="top"/>
    </xf>
    <xf numFmtId="3" fontId="4" fillId="0" borderId="13" xfId="0" applyNumberFormat="1" applyFont="1" applyBorder="1" applyAlignment="1">
      <alignment horizontal="left" vertical="top" wrapText="1"/>
    </xf>
    <xf numFmtId="3" fontId="4" fillId="0" borderId="18" xfId="0" applyNumberFormat="1" applyFont="1" applyBorder="1" applyAlignment="1">
      <alignment horizontal="left" vertical="top" wrapText="1"/>
    </xf>
    <xf numFmtId="3" fontId="1" fillId="5" borderId="45" xfId="0" applyNumberFormat="1" applyFont="1" applyFill="1" applyBorder="1" applyAlignment="1">
      <alignment horizontal="left" vertical="top" wrapText="1"/>
    </xf>
    <xf numFmtId="3" fontId="11" fillId="0" borderId="11" xfId="0" applyNumberFormat="1" applyFont="1" applyFill="1" applyBorder="1" applyAlignment="1">
      <alignment horizontal="center" vertical="top" textRotation="90" wrapText="1"/>
    </xf>
    <xf numFmtId="3" fontId="19" fillId="0" borderId="28" xfId="0" applyNumberFormat="1" applyFont="1" applyBorder="1" applyAlignment="1">
      <alignment horizontal="center" vertical="top" wrapText="1"/>
    </xf>
    <xf numFmtId="3" fontId="19" fillId="0" borderId="32" xfId="0" applyNumberFormat="1" applyFont="1" applyBorder="1" applyAlignment="1">
      <alignment horizontal="center" vertical="top" wrapText="1"/>
    </xf>
    <xf numFmtId="3" fontId="20" fillId="5" borderId="47" xfId="0" applyNumberFormat="1" applyFont="1" applyFill="1" applyBorder="1" applyAlignment="1">
      <alignment horizontal="center" vertical="top" wrapText="1"/>
    </xf>
    <xf numFmtId="3" fontId="20" fillId="5" borderId="12" xfId="0" applyNumberFormat="1" applyFont="1" applyFill="1" applyBorder="1" applyAlignment="1">
      <alignment horizontal="center" vertical="top" wrapText="1"/>
    </xf>
    <xf numFmtId="3" fontId="4" fillId="5" borderId="12" xfId="0" applyNumberFormat="1" applyFont="1" applyFill="1" applyBorder="1" applyAlignment="1">
      <alignment horizontal="left" vertical="top" wrapText="1"/>
    </xf>
    <xf numFmtId="0" fontId="24" fillId="0" borderId="0" xfId="0" applyFont="1" applyAlignment="1">
      <alignment horizontal="center"/>
    </xf>
    <xf numFmtId="0" fontId="25" fillId="0" borderId="49"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6" xfId="0" applyFont="1" applyFill="1" applyBorder="1" applyAlignment="1">
      <alignment horizontal="center" vertical="center" wrapText="1"/>
    </xf>
    <xf numFmtId="165" fontId="24" fillId="0" borderId="49" xfId="0" applyNumberFormat="1" applyFont="1" applyFill="1" applyBorder="1" applyAlignment="1">
      <alignment horizontal="center" vertical="center" wrapText="1"/>
    </xf>
    <xf numFmtId="165" fontId="24" fillId="0" borderId="56" xfId="0" applyNumberFormat="1"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5" fillId="0" borderId="53" xfId="0" applyFont="1" applyBorder="1" applyAlignment="1">
      <alignment horizontal="left" vertical="top"/>
    </xf>
    <xf numFmtId="0" fontId="25" fillId="0" borderId="0" xfId="0" applyFont="1" applyBorder="1" applyAlignment="1">
      <alignment horizontal="left" vertical="top"/>
    </xf>
    <xf numFmtId="0" fontId="28" fillId="0" borderId="67" xfId="0" applyFont="1" applyBorder="1" applyAlignment="1">
      <alignment horizontal="center" vertical="top" wrapText="1"/>
    </xf>
    <xf numFmtId="0" fontId="28" fillId="0" borderId="14" xfId="0" applyFont="1" applyBorder="1" applyAlignment="1">
      <alignment horizontal="center" vertical="top" wrapText="1"/>
    </xf>
    <xf numFmtId="0" fontId="28" fillId="0" borderId="71" xfId="0" applyFont="1" applyBorder="1" applyAlignment="1">
      <alignment horizontal="center" vertical="top" wrapText="1"/>
    </xf>
    <xf numFmtId="2" fontId="24" fillId="0" borderId="49" xfId="0" applyNumberFormat="1" applyFont="1" applyFill="1" applyBorder="1" applyAlignment="1">
      <alignment horizontal="center" vertical="center" wrapText="1"/>
    </xf>
    <xf numFmtId="2" fontId="24" fillId="0" borderId="56" xfId="0" applyNumberFormat="1" applyFont="1" applyFill="1" applyBorder="1" applyAlignment="1">
      <alignment horizontal="center" vertical="center" wrapText="1"/>
    </xf>
    <xf numFmtId="0" fontId="24" fillId="0" borderId="49" xfId="0" applyFont="1" applyFill="1" applyBorder="1" applyAlignment="1">
      <alignment horizontal="center" vertical="center"/>
    </xf>
    <xf numFmtId="0" fontId="24" fillId="0" borderId="56" xfId="0" applyFont="1" applyFill="1" applyBorder="1" applyAlignment="1">
      <alignment horizontal="center" vertical="center"/>
    </xf>
    <xf numFmtId="0" fontId="28" fillId="5" borderId="67"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71" xfId="0" applyFont="1" applyFill="1" applyBorder="1" applyAlignment="1">
      <alignment horizontal="center" vertical="center" wrapText="1"/>
    </xf>
    <xf numFmtId="0" fontId="28" fillId="0" borderId="67" xfId="0" applyFont="1" applyBorder="1" applyAlignment="1">
      <alignment horizontal="center" vertical="top"/>
    </xf>
    <xf numFmtId="0" fontId="28" fillId="0" borderId="14" xfId="0" applyFont="1" applyBorder="1" applyAlignment="1">
      <alignment horizontal="center" vertical="top"/>
    </xf>
    <xf numFmtId="0" fontId="28" fillId="0" borderId="71" xfId="0" applyFont="1" applyBorder="1" applyAlignment="1">
      <alignment horizontal="center" vertical="top"/>
    </xf>
    <xf numFmtId="0" fontId="24" fillId="7" borderId="49" xfId="0" applyFont="1" applyFill="1" applyBorder="1" applyAlignment="1">
      <alignment horizontal="center" vertical="center"/>
    </xf>
    <xf numFmtId="0" fontId="24" fillId="7" borderId="56" xfId="0" applyFont="1" applyFill="1" applyBorder="1" applyAlignment="1">
      <alignment horizontal="center" vertical="center"/>
    </xf>
    <xf numFmtId="0" fontId="28" fillId="4" borderId="10" xfId="0" applyFont="1" applyFill="1" applyBorder="1" applyAlignment="1">
      <alignment horizontal="right" vertical="center"/>
    </xf>
  </cellXfs>
  <cellStyles count="2">
    <cellStyle name="Excel Built-in Normal" xfId="1"/>
    <cellStyle name="Įprastas"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180975</xdr:colOff>
      <xdr:row>42</xdr:row>
      <xdr:rowOff>19050</xdr:rowOff>
    </xdr:to>
    <xdr:pic>
      <xdr:nvPicPr>
        <xdr:cNvPr id="2" name="Paveikslėli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67375" cy="802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5"/>
  <sheetViews>
    <sheetView tabSelected="1" zoomScaleNormal="100" workbookViewId="0"/>
  </sheetViews>
  <sheetFormatPr defaultColWidth="9.140625" defaultRowHeight="12.75" x14ac:dyDescent="0.2"/>
  <cols>
    <col min="1" max="1" width="3.140625" style="52" customWidth="1"/>
    <col min="2" max="4" width="3.140625" style="1370" customWidth="1"/>
    <col min="5" max="5" width="28.28515625" style="52" customWidth="1"/>
    <col min="6" max="6" width="3" style="985" customWidth="1"/>
    <col min="7" max="7" width="3" style="205" hidden="1" customWidth="1"/>
    <col min="8" max="8" width="3" style="1370" customWidth="1"/>
    <col min="9" max="9" width="8.140625" style="52" customWidth="1"/>
    <col min="10" max="12" width="8.7109375" style="52" customWidth="1"/>
    <col min="13" max="13" width="24.7109375" style="52" customWidth="1"/>
    <col min="14" max="16" width="5.42578125" style="1370" customWidth="1"/>
    <col min="17" max="18" width="10.28515625" style="52" bestFit="1" customWidth="1"/>
    <col min="19" max="16384" width="9.140625" style="52"/>
  </cols>
  <sheetData>
    <row r="1" spans="1:21" s="77" customFormat="1" ht="64.5" customHeight="1" x14ac:dyDescent="0.25">
      <c r="A1" s="74"/>
      <c r="B1" s="76"/>
      <c r="C1" s="76"/>
      <c r="D1" s="76"/>
      <c r="E1" s="74"/>
      <c r="F1" s="965"/>
      <c r="G1" s="196"/>
      <c r="H1" s="125"/>
      <c r="I1" s="888"/>
      <c r="J1" s="888"/>
      <c r="K1" s="888"/>
      <c r="L1" s="1618" t="s">
        <v>369</v>
      </c>
      <c r="M1" s="1618"/>
      <c r="N1" s="1618"/>
      <c r="O1" s="1618"/>
      <c r="P1" s="1618"/>
    </row>
    <row r="2" spans="1:21" s="1" customFormat="1" ht="14.25" customHeight="1" x14ac:dyDescent="0.2">
      <c r="A2" s="1490" t="s">
        <v>346</v>
      </c>
      <c r="B2" s="1490"/>
      <c r="C2" s="1490"/>
      <c r="D2" s="1490"/>
      <c r="E2" s="1490"/>
      <c r="F2" s="1490"/>
      <c r="G2" s="1490"/>
      <c r="H2" s="1490"/>
      <c r="I2" s="1490"/>
      <c r="J2" s="1490"/>
      <c r="K2" s="1490"/>
      <c r="L2" s="1490"/>
      <c r="M2" s="1490"/>
      <c r="N2" s="1490"/>
      <c r="O2" s="1490"/>
      <c r="P2" s="1490"/>
      <c r="Q2" s="50"/>
      <c r="R2" s="1" t="s">
        <v>67</v>
      </c>
    </row>
    <row r="3" spans="1:21" s="1" customFormat="1" ht="14.25" customHeight="1" x14ac:dyDescent="0.2">
      <c r="A3" s="1491" t="s">
        <v>0</v>
      </c>
      <c r="B3" s="1491"/>
      <c r="C3" s="1491"/>
      <c r="D3" s="1491"/>
      <c r="E3" s="1491"/>
      <c r="F3" s="1491"/>
      <c r="G3" s="1491"/>
      <c r="H3" s="1491"/>
      <c r="I3" s="1491"/>
      <c r="J3" s="1491"/>
      <c r="K3" s="1491"/>
      <c r="L3" s="1491"/>
      <c r="M3" s="1491"/>
      <c r="N3" s="1491"/>
      <c r="O3" s="1491"/>
      <c r="P3" s="1491"/>
      <c r="Q3" s="50"/>
    </row>
    <row r="4" spans="1:21" s="1" customFormat="1" ht="14.25" customHeight="1" x14ac:dyDescent="0.2">
      <c r="A4" s="1492" t="s">
        <v>1</v>
      </c>
      <c r="B4" s="1492"/>
      <c r="C4" s="1492"/>
      <c r="D4" s="1492"/>
      <c r="E4" s="1492"/>
      <c r="F4" s="1492"/>
      <c r="G4" s="1492"/>
      <c r="H4" s="1492"/>
      <c r="I4" s="1492"/>
      <c r="J4" s="1492"/>
      <c r="K4" s="1492"/>
      <c r="L4" s="1492"/>
      <c r="M4" s="1492"/>
      <c r="N4" s="1492"/>
      <c r="O4" s="1492"/>
      <c r="P4" s="1492"/>
      <c r="Q4" s="1083"/>
    </row>
    <row r="5" spans="1:21" s="1" customFormat="1" ht="15.75" customHeight="1" thickBot="1" x14ac:dyDescent="0.25">
      <c r="A5" s="2"/>
      <c r="B5" s="2"/>
      <c r="C5" s="2"/>
      <c r="D5" s="2"/>
      <c r="E5" s="1088"/>
      <c r="F5" s="966"/>
      <c r="G5" s="197"/>
      <c r="H5" s="1088"/>
      <c r="I5" s="1088"/>
      <c r="J5" s="3"/>
      <c r="K5" s="3"/>
      <c r="L5" s="3"/>
      <c r="M5" s="65"/>
      <c r="N5" s="1088"/>
      <c r="O5" s="1517" t="s">
        <v>403</v>
      </c>
      <c r="P5" s="1517"/>
      <c r="Q5" s="1088"/>
    </row>
    <row r="6" spans="1:21" s="1" customFormat="1" ht="22.5" customHeight="1" x14ac:dyDescent="0.2">
      <c r="A6" s="1493" t="s">
        <v>2</v>
      </c>
      <c r="B6" s="1496" t="s">
        <v>3</v>
      </c>
      <c r="C6" s="1496" t="s">
        <v>4</v>
      </c>
      <c r="D6" s="277"/>
      <c r="E6" s="1499" t="s">
        <v>5</v>
      </c>
      <c r="F6" s="1501" t="s">
        <v>6</v>
      </c>
      <c r="G6" s="1503" t="s">
        <v>132</v>
      </c>
      <c r="H6" s="1506" t="s">
        <v>7</v>
      </c>
      <c r="I6" s="1508" t="s">
        <v>8</v>
      </c>
      <c r="J6" s="1511" t="s">
        <v>163</v>
      </c>
      <c r="K6" s="1514" t="s">
        <v>142</v>
      </c>
      <c r="L6" s="1461" t="s">
        <v>143</v>
      </c>
      <c r="M6" s="1464" t="s">
        <v>9</v>
      </c>
      <c r="N6" s="1465"/>
      <c r="O6" s="1465"/>
      <c r="P6" s="1466"/>
    </row>
    <row r="7" spans="1:21" s="1" customFormat="1" ht="16.5" customHeight="1" x14ac:dyDescent="0.2">
      <c r="A7" s="1494"/>
      <c r="B7" s="1497"/>
      <c r="C7" s="1497"/>
      <c r="D7" s="278"/>
      <c r="E7" s="1500"/>
      <c r="F7" s="1502"/>
      <c r="G7" s="1504"/>
      <c r="H7" s="1507"/>
      <c r="I7" s="1509"/>
      <c r="J7" s="1512"/>
      <c r="K7" s="1515"/>
      <c r="L7" s="1462"/>
      <c r="M7" s="1467" t="s">
        <v>5</v>
      </c>
      <c r="N7" s="1469" t="s">
        <v>10</v>
      </c>
      <c r="O7" s="1470"/>
      <c r="P7" s="1471"/>
    </row>
    <row r="8" spans="1:21" s="1" customFormat="1" ht="76.5" customHeight="1" thickBot="1" x14ac:dyDescent="0.25">
      <c r="A8" s="1495"/>
      <c r="B8" s="1498"/>
      <c r="C8" s="1498"/>
      <c r="D8" s="278"/>
      <c r="E8" s="1500"/>
      <c r="F8" s="1502"/>
      <c r="G8" s="1505"/>
      <c r="H8" s="1507"/>
      <c r="I8" s="1510"/>
      <c r="J8" s="1513"/>
      <c r="K8" s="1516"/>
      <c r="L8" s="1463"/>
      <c r="M8" s="1468"/>
      <c r="N8" s="287" t="s">
        <v>144</v>
      </c>
      <c r="O8" s="287" t="s">
        <v>145</v>
      </c>
      <c r="P8" s="889" t="s">
        <v>146</v>
      </c>
    </row>
    <row r="9" spans="1:21" s="1" customFormat="1" ht="15.75" customHeight="1" x14ac:dyDescent="0.2">
      <c r="A9" s="1472" t="s">
        <v>11</v>
      </c>
      <c r="B9" s="1473"/>
      <c r="C9" s="1473"/>
      <c r="D9" s="1473"/>
      <c r="E9" s="1473"/>
      <c r="F9" s="1473"/>
      <c r="G9" s="1473"/>
      <c r="H9" s="1473"/>
      <c r="I9" s="1474"/>
      <c r="J9" s="1474"/>
      <c r="K9" s="1474"/>
      <c r="L9" s="1474"/>
      <c r="M9" s="1473"/>
      <c r="N9" s="1473"/>
      <c r="O9" s="1473"/>
      <c r="P9" s="1475"/>
    </row>
    <row r="10" spans="1:21" s="1" customFormat="1" ht="15.75" customHeight="1" x14ac:dyDescent="0.2">
      <c r="A10" s="1476" t="s">
        <v>12</v>
      </c>
      <c r="B10" s="1477"/>
      <c r="C10" s="1477"/>
      <c r="D10" s="1477"/>
      <c r="E10" s="1477"/>
      <c r="F10" s="1477"/>
      <c r="G10" s="1477"/>
      <c r="H10" s="1477"/>
      <c r="I10" s="1477"/>
      <c r="J10" s="1477"/>
      <c r="K10" s="1477"/>
      <c r="L10" s="1477"/>
      <c r="M10" s="1477"/>
      <c r="N10" s="1477"/>
      <c r="O10" s="1477"/>
      <c r="P10" s="1478"/>
    </row>
    <row r="11" spans="1:21" s="1" customFormat="1" ht="15.75" customHeight="1" x14ac:dyDescent="0.2">
      <c r="A11" s="958" t="s">
        <v>13</v>
      </c>
      <c r="B11" s="1442" t="s">
        <v>14</v>
      </c>
      <c r="C11" s="1442"/>
      <c r="D11" s="1442"/>
      <c r="E11" s="1442"/>
      <c r="F11" s="1442"/>
      <c r="G11" s="1442"/>
      <c r="H11" s="1442"/>
      <c r="I11" s="1442"/>
      <c r="J11" s="1443"/>
      <c r="K11" s="1443"/>
      <c r="L11" s="1443"/>
      <c r="M11" s="1443"/>
      <c r="N11" s="1443"/>
      <c r="O11" s="1443"/>
      <c r="P11" s="1444"/>
    </row>
    <row r="12" spans="1:21" s="1" customFormat="1" ht="15.75" customHeight="1" thickBot="1" x14ac:dyDescent="0.25">
      <c r="A12" s="1361" t="s">
        <v>13</v>
      </c>
      <c r="B12" s="957" t="s">
        <v>13</v>
      </c>
      <c r="C12" s="1445" t="s">
        <v>15</v>
      </c>
      <c r="D12" s="1446"/>
      <c r="E12" s="1446"/>
      <c r="F12" s="1446"/>
      <c r="G12" s="1446"/>
      <c r="H12" s="1446"/>
      <c r="I12" s="1446"/>
      <c r="J12" s="1446"/>
      <c r="K12" s="1446"/>
      <c r="L12" s="1446"/>
      <c r="M12" s="1446"/>
      <c r="N12" s="1446"/>
      <c r="O12" s="1446"/>
      <c r="P12" s="1447"/>
    </row>
    <row r="13" spans="1:21" s="1" customFormat="1" ht="28.5" customHeight="1" x14ac:dyDescent="0.2">
      <c r="A13" s="135" t="s">
        <v>13</v>
      </c>
      <c r="B13" s="872" t="s">
        <v>13</v>
      </c>
      <c r="C13" s="875" t="s">
        <v>13</v>
      </c>
      <c r="D13" s="447"/>
      <c r="E13" s="1448" t="s">
        <v>111</v>
      </c>
      <c r="F13" s="1450" t="s">
        <v>66</v>
      </c>
      <c r="G13" s="1453">
        <v>11020306</v>
      </c>
      <c r="H13" s="1456" t="s">
        <v>16</v>
      </c>
      <c r="I13" s="4" t="s">
        <v>17</v>
      </c>
      <c r="J13" s="475">
        <v>48</v>
      </c>
      <c r="K13" s="470">
        <v>94</v>
      </c>
      <c r="L13" s="699">
        <v>24.6</v>
      </c>
      <c r="M13" s="471" t="s">
        <v>160</v>
      </c>
      <c r="N13" s="890">
        <v>60</v>
      </c>
      <c r="O13" s="349">
        <v>60</v>
      </c>
      <c r="P13" s="350">
        <v>60</v>
      </c>
    </row>
    <row r="14" spans="1:21" s="1" customFormat="1" ht="42" customHeight="1" x14ac:dyDescent="0.2">
      <c r="A14" s="136"/>
      <c r="B14" s="873"/>
      <c r="C14" s="876"/>
      <c r="D14" s="150"/>
      <c r="E14" s="1449"/>
      <c r="F14" s="1451"/>
      <c r="G14" s="1454"/>
      <c r="H14" s="1457"/>
      <c r="I14" s="13"/>
      <c r="J14" s="483"/>
      <c r="K14" s="258"/>
      <c r="L14" s="660"/>
      <c r="M14" s="464" t="s">
        <v>161</v>
      </c>
      <c r="N14" s="525">
        <v>1</v>
      </c>
      <c r="O14" s="355"/>
      <c r="P14" s="356"/>
      <c r="S14" s="14"/>
    </row>
    <row r="15" spans="1:21" s="1" customFormat="1" ht="30.75" customHeight="1" x14ac:dyDescent="0.2">
      <c r="A15" s="136"/>
      <c r="B15" s="873"/>
      <c r="C15" s="876"/>
      <c r="D15" s="150"/>
      <c r="E15" s="878"/>
      <c r="F15" s="1451"/>
      <c r="G15" s="1454"/>
      <c r="H15" s="1457"/>
      <c r="I15" s="13"/>
      <c r="J15" s="257"/>
      <c r="K15" s="258"/>
      <c r="L15" s="473"/>
      <c r="M15" s="1337" t="s">
        <v>147</v>
      </c>
      <c r="N15" s="891"/>
      <c r="O15" s="355">
        <v>1</v>
      </c>
      <c r="P15" s="356"/>
      <c r="S15" s="14"/>
    </row>
    <row r="16" spans="1:21" s="1" customFormat="1" ht="29.25" customHeight="1" x14ac:dyDescent="0.2">
      <c r="A16" s="136"/>
      <c r="B16" s="873"/>
      <c r="C16" s="876"/>
      <c r="D16" s="150"/>
      <c r="E16" s="878"/>
      <c r="F16" s="1451"/>
      <c r="G16" s="1454"/>
      <c r="H16" s="1457"/>
      <c r="I16" s="20"/>
      <c r="J16" s="257"/>
      <c r="K16" s="258"/>
      <c r="L16" s="280"/>
      <c r="M16" s="1459" t="s">
        <v>90</v>
      </c>
      <c r="N16" s="431"/>
      <c r="O16" s="292"/>
      <c r="P16" s="293">
        <v>1</v>
      </c>
      <c r="T16" s="14"/>
      <c r="U16" s="14"/>
    </row>
    <row r="17" spans="1:22" s="1" customFormat="1" ht="15.75" customHeight="1" thickBot="1" x14ac:dyDescent="0.25">
      <c r="A17" s="137"/>
      <c r="B17" s="874"/>
      <c r="C17" s="877"/>
      <c r="D17" s="448"/>
      <c r="E17" s="879"/>
      <c r="F17" s="1452"/>
      <c r="G17" s="1455"/>
      <c r="H17" s="1458"/>
      <c r="I17" s="5" t="s">
        <v>18</v>
      </c>
      <c r="J17" s="209">
        <f>SUM(J13:J16)</f>
        <v>48</v>
      </c>
      <c r="K17" s="220">
        <f>SUM(K13:K16)</f>
        <v>94</v>
      </c>
      <c r="L17" s="216">
        <f>SUM(L13:L16)</f>
        <v>24.6</v>
      </c>
      <c r="M17" s="1460"/>
      <c r="N17" s="554"/>
      <c r="O17" s="295"/>
      <c r="P17" s="296"/>
      <c r="R17" s="14"/>
    </row>
    <row r="18" spans="1:22" s="1" customFormat="1" ht="27" customHeight="1" x14ac:dyDescent="0.2">
      <c r="A18" s="1484" t="s">
        <v>13</v>
      </c>
      <c r="B18" s="1487" t="s">
        <v>13</v>
      </c>
      <c r="C18" s="1479" t="s">
        <v>19</v>
      </c>
      <c r="D18" s="447"/>
      <c r="E18" s="1448" t="s">
        <v>64</v>
      </c>
      <c r="F18" s="1450"/>
      <c r="G18" s="1453">
        <v>11020307</v>
      </c>
      <c r="H18" s="1456" t="s">
        <v>16</v>
      </c>
      <c r="I18" s="4" t="s">
        <v>17</v>
      </c>
      <c r="J18" s="210">
        <v>9</v>
      </c>
      <c r="K18" s="221">
        <v>9</v>
      </c>
      <c r="L18" s="217">
        <v>9</v>
      </c>
      <c r="M18" s="1350" t="s">
        <v>20</v>
      </c>
      <c r="N18" s="379">
        <v>20</v>
      </c>
      <c r="O18" s="298">
        <v>20</v>
      </c>
      <c r="P18" s="299">
        <v>20</v>
      </c>
    </row>
    <row r="19" spans="1:22" s="1" customFormat="1" ht="15" customHeight="1" x14ac:dyDescent="0.2">
      <c r="A19" s="1485"/>
      <c r="B19" s="1488"/>
      <c r="C19" s="1480"/>
      <c r="D19" s="150"/>
      <c r="E19" s="1449"/>
      <c r="F19" s="1451"/>
      <c r="G19" s="1454"/>
      <c r="H19" s="1457"/>
      <c r="I19" s="43" t="s">
        <v>79</v>
      </c>
      <c r="J19" s="501">
        <v>6</v>
      </c>
      <c r="K19" s="502"/>
      <c r="L19" s="503"/>
      <c r="M19" s="1459" t="s">
        <v>347</v>
      </c>
      <c r="N19" s="334">
        <v>300</v>
      </c>
      <c r="O19" s="292">
        <v>300</v>
      </c>
      <c r="P19" s="25">
        <v>300</v>
      </c>
      <c r="S19" s="14"/>
    </row>
    <row r="20" spans="1:22" s="1" customFormat="1" ht="15" customHeight="1" thickBot="1" x14ac:dyDescent="0.25">
      <c r="A20" s="1486"/>
      <c r="B20" s="1489"/>
      <c r="C20" s="1480"/>
      <c r="D20" s="150"/>
      <c r="E20" s="1449"/>
      <c r="F20" s="1451"/>
      <c r="G20" s="1455"/>
      <c r="H20" s="1483"/>
      <c r="I20" s="1330" t="s">
        <v>18</v>
      </c>
      <c r="J20" s="209">
        <f>SUM(J18:J19)</f>
        <v>15</v>
      </c>
      <c r="K20" s="220">
        <f>+K18</f>
        <v>9</v>
      </c>
      <c r="L20" s="216">
        <f>+L18</f>
        <v>9</v>
      </c>
      <c r="M20" s="1460"/>
      <c r="N20" s="892"/>
      <c r="O20" s="304"/>
      <c r="P20" s="305"/>
      <c r="S20" s="14"/>
    </row>
    <row r="21" spans="1:22" s="1" customFormat="1" ht="30" customHeight="1" x14ac:dyDescent="0.2">
      <c r="A21" s="1484" t="s">
        <v>13</v>
      </c>
      <c r="B21" s="1487" t="s">
        <v>13</v>
      </c>
      <c r="C21" s="1479" t="s">
        <v>21</v>
      </c>
      <c r="D21" s="447"/>
      <c r="E21" s="1448" t="s">
        <v>167</v>
      </c>
      <c r="F21" s="1450"/>
      <c r="G21" s="1453">
        <v>11020310</v>
      </c>
      <c r="H21" s="1456" t="s">
        <v>16</v>
      </c>
      <c r="I21" s="4" t="s">
        <v>17</v>
      </c>
      <c r="J21" s="210">
        <v>62.3</v>
      </c>
      <c r="K21" s="221">
        <v>33.299999999999997</v>
      </c>
      <c r="L21" s="217">
        <v>33.299999999999997</v>
      </c>
      <c r="M21" s="273" t="s">
        <v>93</v>
      </c>
      <c r="N21" s="349">
        <v>200</v>
      </c>
      <c r="O21" s="307">
        <v>200</v>
      </c>
      <c r="P21" s="173">
        <v>200</v>
      </c>
    </row>
    <row r="22" spans="1:22" s="1" customFormat="1" ht="37.5" customHeight="1" x14ac:dyDescent="0.2">
      <c r="A22" s="1485"/>
      <c r="B22" s="1488"/>
      <c r="C22" s="1480"/>
      <c r="D22" s="150"/>
      <c r="E22" s="1449"/>
      <c r="F22" s="1451"/>
      <c r="G22" s="1454"/>
      <c r="H22" s="1457"/>
      <c r="I22" s="549"/>
      <c r="J22" s="477"/>
      <c r="K22" s="931"/>
      <c r="L22" s="693"/>
      <c r="M22" s="1523" t="s">
        <v>168</v>
      </c>
      <c r="N22" s="514">
        <v>32</v>
      </c>
      <c r="O22" s="309">
        <v>32</v>
      </c>
      <c r="P22" s="310">
        <v>32</v>
      </c>
      <c r="U22" s="14"/>
    </row>
    <row r="23" spans="1:22" s="1" customFormat="1" ht="18" customHeight="1" thickBot="1" x14ac:dyDescent="0.25">
      <c r="A23" s="1486"/>
      <c r="B23" s="1489"/>
      <c r="C23" s="1480"/>
      <c r="D23" s="150"/>
      <c r="E23" s="1449"/>
      <c r="F23" s="1451"/>
      <c r="G23" s="1455"/>
      <c r="H23" s="1483"/>
      <c r="I23" s="1330" t="s">
        <v>18</v>
      </c>
      <c r="J23" s="209">
        <f>SUM(J21:J22)</f>
        <v>62.3</v>
      </c>
      <c r="K23" s="220">
        <f t="shared" ref="K23:L23" si="0">SUM(K21:K22)</f>
        <v>33.299999999999997</v>
      </c>
      <c r="L23" s="216">
        <f t="shared" si="0"/>
        <v>33.299999999999997</v>
      </c>
      <c r="M23" s="1524"/>
      <c r="N23" s="554"/>
      <c r="O23" s="295"/>
      <c r="P23" s="296"/>
      <c r="V23" s="14"/>
    </row>
    <row r="24" spans="1:22" s="1" customFormat="1" ht="28.5" customHeight="1" x14ac:dyDescent="0.2">
      <c r="A24" s="1484" t="s">
        <v>13</v>
      </c>
      <c r="B24" s="1487" t="s">
        <v>13</v>
      </c>
      <c r="C24" s="1479" t="s">
        <v>34</v>
      </c>
      <c r="D24" s="447"/>
      <c r="E24" s="1448" t="s">
        <v>134</v>
      </c>
      <c r="F24" s="1450"/>
      <c r="G24" s="1453">
        <v>11020310</v>
      </c>
      <c r="H24" s="1364" t="s">
        <v>16</v>
      </c>
      <c r="I24" s="6" t="s">
        <v>17</v>
      </c>
      <c r="J24" s="255">
        <f>153-6.7</f>
        <v>146.30000000000001</v>
      </c>
      <c r="K24" s="255">
        <v>153</v>
      </c>
      <c r="L24" s="484">
        <v>153</v>
      </c>
      <c r="M24" s="273" t="s">
        <v>125</v>
      </c>
      <c r="N24" s="585">
        <v>10326</v>
      </c>
      <c r="O24" s="432">
        <v>10904</v>
      </c>
      <c r="P24" s="173">
        <v>10904</v>
      </c>
      <c r="T24" s="14"/>
    </row>
    <row r="25" spans="1:22" s="1" customFormat="1" ht="16.5" customHeight="1" x14ac:dyDescent="0.2">
      <c r="A25" s="1485"/>
      <c r="B25" s="1488"/>
      <c r="C25" s="1480"/>
      <c r="D25" s="150"/>
      <c r="E25" s="1449"/>
      <c r="F25" s="1451"/>
      <c r="G25" s="1454"/>
      <c r="H25" s="1365">
        <v>3</v>
      </c>
      <c r="I25" s="13" t="s">
        <v>17</v>
      </c>
      <c r="J25" s="257">
        <v>10.4</v>
      </c>
      <c r="K25" s="258">
        <v>10.4</v>
      </c>
      <c r="L25" s="474">
        <v>10.4</v>
      </c>
      <c r="M25" s="1481" t="s">
        <v>135</v>
      </c>
      <c r="N25" s="357">
        <v>88</v>
      </c>
      <c r="O25" s="1336">
        <v>88</v>
      </c>
      <c r="P25" s="170">
        <v>88</v>
      </c>
    </row>
    <row r="26" spans="1:22" s="1" customFormat="1" ht="15.75" customHeight="1" thickBot="1" x14ac:dyDescent="0.25">
      <c r="A26" s="1486"/>
      <c r="B26" s="1489"/>
      <c r="C26" s="1480"/>
      <c r="D26" s="448"/>
      <c r="E26" s="1449"/>
      <c r="F26" s="1451"/>
      <c r="G26" s="1455"/>
      <c r="H26" s="259"/>
      <c r="I26" s="1330" t="s">
        <v>18</v>
      </c>
      <c r="J26" s="209">
        <f t="shared" ref="J26:L26" si="1">SUM(J24:J25)</f>
        <v>156.70000000000002</v>
      </c>
      <c r="K26" s="220">
        <f t="shared" si="1"/>
        <v>163.4</v>
      </c>
      <c r="L26" s="216">
        <f t="shared" si="1"/>
        <v>163.4</v>
      </c>
      <c r="M26" s="1482"/>
      <c r="N26" s="433"/>
      <c r="O26" s="433"/>
      <c r="P26" s="434"/>
    </row>
    <row r="27" spans="1:22" s="617" customFormat="1" ht="30" customHeight="1" x14ac:dyDescent="0.2">
      <c r="A27" s="1484" t="s">
        <v>13</v>
      </c>
      <c r="B27" s="1487" t="s">
        <v>13</v>
      </c>
      <c r="C27" s="1479" t="s">
        <v>63</v>
      </c>
      <c r="D27" s="447"/>
      <c r="E27" s="1525" t="s">
        <v>320</v>
      </c>
      <c r="F27" s="1450"/>
      <c r="G27" s="1547">
        <v>11020310</v>
      </c>
      <c r="H27" s="1538" t="s">
        <v>16</v>
      </c>
      <c r="I27" s="621" t="s">
        <v>17</v>
      </c>
      <c r="J27" s="488">
        <v>25</v>
      </c>
      <c r="K27" s="542">
        <f>50-25</f>
        <v>25</v>
      </c>
      <c r="L27" s="700">
        <f>75-50</f>
        <v>25</v>
      </c>
      <c r="M27" s="1540" t="s">
        <v>112</v>
      </c>
      <c r="N27" s="1541">
        <v>2</v>
      </c>
      <c r="O27" s="1543">
        <v>2</v>
      </c>
      <c r="P27" s="1531">
        <v>2</v>
      </c>
      <c r="Q27" s="863"/>
    </row>
    <row r="28" spans="1:22" s="617" customFormat="1" ht="15.75" customHeight="1" thickBot="1" x14ac:dyDescent="0.25">
      <c r="A28" s="1486"/>
      <c r="B28" s="1489"/>
      <c r="C28" s="1480"/>
      <c r="D28" s="448"/>
      <c r="E28" s="1526"/>
      <c r="F28" s="1451"/>
      <c r="G28" s="1548"/>
      <c r="H28" s="1539"/>
      <c r="I28" s="1341" t="s">
        <v>18</v>
      </c>
      <c r="J28" s="209">
        <f>SUM(J27:J27)</f>
        <v>25</v>
      </c>
      <c r="K28" s="220">
        <f>SUM(K27:K27)</f>
        <v>25</v>
      </c>
      <c r="L28" s="216">
        <f>SUM(L27:L27)</f>
        <v>25</v>
      </c>
      <c r="M28" s="1524"/>
      <c r="N28" s="1542"/>
      <c r="O28" s="1544"/>
      <c r="P28" s="1532"/>
      <c r="Q28" s="616"/>
    </row>
    <row r="29" spans="1:22" s="1" customFormat="1" ht="13.5" thickBot="1" x14ac:dyDescent="0.25">
      <c r="A29" s="127" t="s">
        <v>13</v>
      </c>
      <c r="B29" s="7" t="s">
        <v>13</v>
      </c>
      <c r="C29" s="1533" t="s">
        <v>22</v>
      </c>
      <c r="D29" s="1534"/>
      <c r="E29" s="1534"/>
      <c r="F29" s="1534"/>
      <c r="G29" s="1534"/>
      <c r="H29" s="1534"/>
      <c r="I29" s="1534"/>
      <c r="J29" s="8">
        <f>J20+J17+J23+J26+J28</f>
        <v>307</v>
      </c>
      <c r="K29" s="225">
        <f>K20+K17+K23+K26+K28</f>
        <v>324.70000000000005</v>
      </c>
      <c r="L29" s="556">
        <f>L20+L17+L23+L26+L28</f>
        <v>255.3</v>
      </c>
      <c r="M29" s="1535"/>
      <c r="N29" s="1536"/>
      <c r="O29" s="1536"/>
      <c r="P29" s="1537"/>
    </row>
    <row r="30" spans="1:22" s="1" customFormat="1" ht="13.5" thickBot="1" x14ac:dyDescent="0.25">
      <c r="A30" s="127" t="s">
        <v>13</v>
      </c>
      <c r="B30" s="9" t="s">
        <v>19</v>
      </c>
      <c r="C30" s="1527" t="s">
        <v>23</v>
      </c>
      <c r="D30" s="1528"/>
      <c r="E30" s="1528"/>
      <c r="F30" s="1528"/>
      <c r="G30" s="1528"/>
      <c r="H30" s="1528"/>
      <c r="I30" s="1528"/>
      <c r="J30" s="1528"/>
      <c r="K30" s="1528"/>
      <c r="L30" s="1528"/>
      <c r="M30" s="1528"/>
      <c r="N30" s="1528"/>
      <c r="O30" s="1528"/>
      <c r="P30" s="1529"/>
      <c r="V30" s="14"/>
    </row>
    <row r="31" spans="1:22" s="1" customFormat="1" ht="14.25" customHeight="1" x14ac:dyDescent="0.2">
      <c r="A31" s="128" t="s">
        <v>13</v>
      </c>
      <c r="B31" s="1332" t="s">
        <v>19</v>
      </c>
      <c r="C31" s="12" t="s">
        <v>13</v>
      </c>
      <c r="D31" s="447"/>
      <c r="E31" s="1520" t="s">
        <v>24</v>
      </c>
      <c r="F31" s="967"/>
      <c r="G31" s="198"/>
      <c r="H31" s="1334">
        <v>2</v>
      </c>
      <c r="I31" s="187" t="s">
        <v>17</v>
      </c>
      <c r="J31" s="207">
        <v>4922.3999999999996</v>
      </c>
      <c r="K31" s="470">
        <v>4832.2</v>
      </c>
      <c r="L31" s="476">
        <v>4794.3</v>
      </c>
      <c r="M31" s="1545" t="s">
        <v>26</v>
      </c>
      <c r="N31" s="951">
        <v>2917</v>
      </c>
      <c r="O31" s="951">
        <v>3017</v>
      </c>
      <c r="P31" s="989">
        <v>3165</v>
      </c>
      <c r="Q31" s="11"/>
      <c r="R31" s="14"/>
      <c r="T31" s="14"/>
    </row>
    <row r="32" spans="1:22" s="1" customFormat="1" ht="14.25" customHeight="1" x14ac:dyDescent="0.2">
      <c r="A32" s="129"/>
      <c r="B32" s="1362"/>
      <c r="C32" s="12"/>
      <c r="D32" s="150"/>
      <c r="E32" s="1521"/>
      <c r="F32" s="967"/>
      <c r="G32" s="199"/>
      <c r="H32" s="1375"/>
      <c r="I32" s="189" t="s">
        <v>25</v>
      </c>
      <c r="J32" s="249">
        <v>350.3</v>
      </c>
      <c r="K32" s="836">
        <v>350.3</v>
      </c>
      <c r="L32" s="482">
        <v>350.3</v>
      </c>
      <c r="M32" s="1546"/>
      <c r="N32" s="932"/>
      <c r="O32" s="932"/>
      <c r="P32" s="990"/>
      <c r="Q32" s="11"/>
      <c r="T32" s="14"/>
    </row>
    <row r="33" spans="1:23" s="1" customFormat="1" ht="40.5" customHeight="1" x14ac:dyDescent="0.2">
      <c r="A33" s="129"/>
      <c r="B33" s="1362"/>
      <c r="C33" s="12"/>
      <c r="D33" s="150"/>
      <c r="E33" s="1355"/>
      <c r="F33" s="967"/>
      <c r="G33" s="199"/>
      <c r="H33" s="1375"/>
      <c r="I33" s="43" t="s">
        <v>62</v>
      </c>
      <c r="J33" s="605">
        <v>65.599999999999994</v>
      </c>
      <c r="K33" s="606"/>
      <c r="L33" s="503"/>
      <c r="M33" s="471" t="s">
        <v>169</v>
      </c>
      <c r="N33" s="492">
        <v>1794</v>
      </c>
      <c r="O33" s="492">
        <v>1828</v>
      </c>
      <c r="P33" s="935">
        <v>1842</v>
      </c>
      <c r="Q33" s="11"/>
      <c r="T33" s="14"/>
    </row>
    <row r="34" spans="1:23" s="1" customFormat="1" ht="30" customHeight="1" x14ac:dyDescent="0.2">
      <c r="A34" s="129"/>
      <c r="B34" s="1362"/>
      <c r="C34" s="12"/>
      <c r="D34" s="150"/>
      <c r="E34" s="1355"/>
      <c r="F34" s="967"/>
      <c r="G34" s="199"/>
      <c r="H34" s="1375"/>
      <c r="I34" s="13"/>
      <c r="J34" s="435"/>
      <c r="K34" s="436"/>
      <c r="L34" s="474"/>
      <c r="M34" s="471" t="s">
        <v>170</v>
      </c>
      <c r="N34" s="492">
        <v>265</v>
      </c>
      <c r="O34" s="492">
        <v>271</v>
      </c>
      <c r="P34" s="935">
        <v>277</v>
      </c>
      <c r="Q34" s="11"/>
      <c r="U34" s="14"/>
    </row>
    <row r="35" spans="1:23" s="1" customFormat="1" ht="30" customHeight="1" x14ac:dyDescent="0.2">
      <c r="A35" s="129"/>
      <c r="B35" s="1362"/>
      <c r="C35" s="12"/>
      <c r="D35" s="150"/>
      <c r="E35" s="1355"/>
      <c r="F35" s="967"/>
      <c r="G35" s="199"/>
      <c r="H35" s="1375"/>
      <c r="I35" s="13"/>
      <c r="J35" s="435"/>
      <c r="K35" s="436"/>
      <c r="L35" s="474"/>
      <c r="M35" s="1343" t="s">
        <v>394</v>
      </c>
      <c r="N35" s="496">
        <v>34</v>
      </c>
      <c r="O35" s="496">
        <v>34</v>
      </c>
      <c r="P35" s="1186">
        <v>34</v>
      </c>
      <c r="Q35" s="11"/>
      <c r="U35" s="14"/>
    </row>
    <row r="36" spans="1:23" s="1" customFormat="1" ht="30" customHeight="1" x14ac:dyDescent="0.2">
      <c r="A36" s="129"/>
      <c r="B36" s="1362"/>
      <c r="C36" s="12"/>
      <c r="D36" s="150"/>
      <c r="E36" s="1355"/>
      <c r="F36" s="967"/>
      <c r="G36" s="199"/>
      <c r="H36" s="1375"/>
      <c r="I36" s="13"/>
      <c r="J36" s="435"/>
      <c r="K36" s="436"/>
      <c r="L36" s="474"/>
      <c r="M36" s="910" t="s">
        <v>94</v>
      </c>
      <c r="N36" s="492">
        <v>114</v>
      </c>
      <c r="O36" s="492">
        <v>116</v>
      </c>
      <c r="P36" s="935">
        <v>118</v>
      </c>
      <c r="Q36" s="11"/>
      <c r="T36" s="14"/>
    </row>
    <row r="37" spans="1:23" s="1" customFormat="1" ht="42.75" customHeight="1" x14ac:dyDescent="0.2">
      <c r="A37" s="129"/>
      <c r="B37" s="1362"/>
      <c r="C37" s="12"/>
      <c r="D37" s="150"/>
      <c r="E37" s="1355"/>
      <c r="F37" s="967"/>
      <c r="G37" s="199"/>
      <c r="H37" s="1375"/>
      <c r="I37" s="13"/>
      <c r="J37" s="435"/>
      <c r="K37" s="436"/>
      <c r="L37" s="474"/>
      <c r="M37" s="471" t="s">
        <v>348</v>
      </c>
      <c r="N37" s="492">
        <v>24420</v>
      </c>
      <c r="O37" s="492">
        <v>24522</v>
      </c>
      <c r="P37" s="934">
        <v>24537</v>
      </c>
      <c r="Q37" s="11"/>
      <c r="R37" s="11"/>
      <c r="S37" s="11"/>
      <c r="T37" s="14"/>
    </row>
    <row r="38" spans="1:23" s="1" customFormat="1" ht="16.5" customHeight="1" x14ac:dyDescent="0.2">
      <c r="A38" s="129"/>
      <c r="B38" s="1362"/>
      <c r="C38" s="12"/>
      <c r="D38" s="449" t="s">
        <v>13</v>
      </c>
      <c r="E38" s="1518" t="s">
        <v>27</v>
      </c>
      <c r="F38" s="967"/>
      <c r="G38" s="445">
        <v>11030201</v>
      </c>
      <c r="H38" s="1375"/>
      <c r="I38" s="270"/>
      <c r="J38" s="483"/>
      <c r="K38" s="258"/>
      <c r="L38" s="660"/>
      <c r="M38" s="471" t="s">
        <v>349</v>
      </c>
      <c r="N38" s="492">
        <v>12</v>
      </c>
      <c r="O38" s="936">
        <v>12</v>
      </c>
      <c r="P38" s="938">
        <v>12</v>
      </c>
      <c r="Q38" s="280"/>
      <c r="R38" s="280"/>
      <c r="T38" s="14"/>
    </row>
    <row r="39" spans="1:23" s="1" customFormat="1" ht="28.5" customHeight="1" x14ac:dyDescent="0.2">
      <c r="A39" s="129"/>
      <c r="B39" s="1362"/>
      <c r="C39" s="12"/>
      <c r="D39" s="150"/>
      <c r="E39" s="1519"/>
      <c r="F39" s="967"/>
      <c r="G39" s="199"/>
      <c r="H39" s="1375"/>
      <c r="I39" s="270"/>
      <c r="J39" s="665"/>
      <c r="K39" s="666"/>
      <c r="L39" s="893"/>
      <c r="M39" s="471" t="s">
        <v>350</v>
      </c>
      <c r="N39" s="492">
        <v>2</v>
      </c>
      <c r="O39" s="936">
        <v>3</v>
      </c>
      <c r="P39" s="938">
        <v>2</v>
      </c>
      <c r="Q39" s="11"/>
      <c r="T39" s="14"/>
    </row>
    <row r="40" spans="1:23" s="1" customFormat="1" ht="18" customHeight="1" x14ac:dyDescent="0.2">
      <c r="A40" s="129"/>
      <c r="B40" s="1362"/>
      <c r="C40" s="12"/>
      <c r="D40" s="150"/>
      <c r="E40" s="1354"/>
      <c r="F40" s="967"/>
      <c r="G40" s="199"/>
      <c r="H40" s="1375"/>
      <c r="I40" s="270"/>
      <c r="J40" s="665"/>
      <c r="K40" s="666"/>
      <c r="L40" s="893"/>
      <c r="M40" s="471" t="s">
        <v>351</v>
      </c>
      <c r="N40" s="492">
        <v>2</v>
      </c>
      <c r="O40" s="936">
        <v>2</v>
      </c>
      <c r="P40" s="938">
        <v>2</v>
      </c>
      <c r="Q40" s="11"/>
      <c r="T40" s="14"/>
      <c r="U40" s="14"/>
    </row>
    <row r="41" spans="1:23" s="1" customFormat="1" ht="18" customHeight="1" x14ac:dyDescent="0.2">
      <c r="A41" s="129"/>
      <c r="B41" s="1362"/>
      <c r="C41" s="12"/>
      <c r="D41" s="150"/>
      <c r="E41" s="1354"/>
      <c r="F41" s="967"/>
      <c r="G41" s="199"/>
      <c r="H41" s="1375"/>
      <c r="I41" s="270"/>
      <c r="J41" s="665"/>
      <c r="K41" s="666"/>
      <c r="L41" s="893"/>
      <c r="M41" s="471" t="s">
        <v>352</v>
      </c>
      <c r="N41" s="492">
        <v>1</v>
      </c>
      <c r="O41" s="936"/>
      <c r="P41" s="938">
        <v>1</v>
      </c>
      <c r="Q41" s="11"/>
      <c r="T41" s="14"/>
      <c r="U41" s="14"/>
      <c r="W41" s="14"/>
    </row>
    <row r="42" spans="1:23" s="1" customFormat="1" ht="17.25" customHeight="1" x14ac:dyDescent="0.2">
      <c r="A42" s="129"/>
      <c r="B42" s="1362"/>
      <c r="C42" s="12"/>
      <c r="D42" s="150"/>
      <c r="E42" s="1354"/>
      <c r="F42" s="967"/>
      <c r="G42" s="199"/>
      <c r="H42" s="1375"/>
      <c r="I42" s="270"/>
      <c r="J42" s="665"/>
      <c r="K42" s="666"/>
      <c r="L42" s="893"/>
      <c r="M42" s="471" t="s">
        <v>353</v>
      </c>
      <c r="N42" s="939"/>
      <c r="O42" s="936">
        <v>1</v>
      </c>
      <c r="P42" s="938"/>
      <c r="Q42" s="11"/>
      <c r="T42" s="14"/>
    </row>
    <row r="43" spans="1:23" s="1" customFormat="1" ht="27.75" customHeight="1" x14ac:dyDescent="0.2">
      <c r="A43" s="129"/>
      <c r="B43" s="1433"/>
      <c r="C43" s="12"/>
      <c r="D43" s="150"/>
      <c r="E43" s="1434"/>
      <c r="F43" s="967"/>
      <c r="G43" s="199"/>
      <c r="H43" s="1435"/>
      <c r="I43" s="270"/>
      <c r="J43" s="665"/>
      <c r="K43" s="666"/>
      <c r="L43" s="893"/>
      <c r="M43" s="471" t="s">
        <v>354</v>
      </c>
      <c r="N43" s="492"/>
      <c r="O43" s="936">
        <v>1</v>
      </c>
      <c r="P43" s="938"/>
      <c r="Q43" s="11"/>
      <c r="T43" s="14"/>
      <c r="U43" s="14"/>
    </row>
    <row r="44" spans="1:23" s="1" customFormat="1" ht="28.5" customHeight="1" x14ac:dyDescent="0.2">
      <c r="A44" s="1094"/>
      <c r="B44" s="1437"/>
      <c r="C44" s="1095"/>
      <c r="D44" s="607"/>
      <c r="E44" s="1436"/>
      <c r="F44" s="1096"/>
      <c r="G44" s="1097"/>
      <c r="H44" s="1098"/>
      <c r="I44" s="184"/>
      <c r="J44" s="564"/>
      <c r="K44" s="565"/>
      <c r="L44" s="566"/>
      <c r="M44" s="471" t="s">
        <v>355</v>
      </c>
      <c r="N44" s="492"/>
      <c r="O44" s="939"/>
      <c r="P44" s="934">
        <v>1</v>
      </c>
      <c r="Q44" s="11"/>
      <c r="T44" s="14"/>
    </row>
    <row r="45" spans="1:23" s="1" customFormat="1" ht="16.5" customHeight="1" x14ac:dyDescent="0.2">
      <c r="A45" s="129"/>
      <c r="B45" s="1362"/>
      <c r="C45" s="12"/>
      <c r="D45" s="150" t="s">
        <v>19</v>
      </c>
      <c r="E45" s="1519" t="s">
        <v>28</v>
      </c>
      <c r="F45" s="967"/>
      <c r="G45" s="199">
        <v>11030301</v>
      </c>
      <c r="H45" s="1375"/>
      <c r="I45" s="270"/>
      <c r="J45" s="483"/>
      <c r="K45" s="258"/>
      <c r="L45" s="660"/>
      <c r="M45" s="540" t="s">
        <v>356</v>
      </c>
      <c r="N45" s="496">
        <v>4</v>
      </c>
      <c r="O45" s="496"/>
      <c r="P45" s="945"/>
      <c r="Q45" s="11"/>
      <c r="S45" s="14"/>
    </row>
    <row r="46" spans="1:23" s="1" customFormat="1" ht="15" customHeight="1" x14ac:dyDescent="0.2">
      <c r="A46" s="129"/>
      <c r="B46" s="1362"/>
      <c r="C46" s="1389"/>
      <c r="D46" s="150"/>
      <c r="E46" s="1519"/>
      <c r="F46" s="967"/>
      <c r="G46" s="199"/>
      <c r="H46" s="1375"/>
      <c r="I46" s="270"/>
      <c r="J46" s="257"/>
      <c r="K46" s="258"/>
      <c r="L46" s="473"/>
      <c r="M46" s="540" t="s">
        <v>357</v>
      </c>
      <c r="N46" s="492"/>
      <c r="O46" s="492">
        <v>2</v>
      </c>
      <c r="P46" s="935"/>
      <c r="Q46" s="11"/>
      <c r="S46" s="14"/>
    </row>
    <row r="47" spans="1:23" s="1" customFormat="1" ht="30" customHeight="1" x14ac:dyDescent="0.2">
      <c r="A47" s="129"/>
      <c r="B47" s="1362"/>
      <c r="C47" s="12"/>
      <c r="D47" s="150"/>
      <c r="E47" s="1354"/>
      <c r="F47" s="967"/>
      <c r="G47" s="199"/>
      <c r="H47" s="1375"/>
      <c r="I47" s="270"/>
      <c r="J47" s="257"/>
      <c r="K47" s="258"/>
      <c r="L47" s="473"/>
      <c r="M47" s="540" t="s">
        <v>334</v>
      </c>
      <c r="N47" s="1091"/>
      <c r="O47" s="1092">
        <v>1</v>
      </c>
      <c r="P47" s="1093"/>
      <c r="Q47" s="11"/>
      <c r="S47" s="14"/>
    </row>
    <row r="48" spans="1:23" s="1" customFormat="1" ht="18" customHeight="1" x14ac:dyDescent="0.2">
      <c r="A48" s="129"/>
      <c r="B48" s="1362"/>
      <c r="C48" s="12"/>
      <c r="D48" s="449" t="s">
        <v>21</v>
      </c>
      <c r="E48" s="1518" t="s">
        <v>29</v>
      </c>
      <c r="F48" s="967"/>
      <c r="G48" s="200">
        <v>11030401</v>
      </c>
      <c r="H48" s="1375"/>
      <c r="I48" s="270"/>
      <c r="J48" s="483"/>
      <c r="K48" s="258"/>
      <c r="L48" s="660"/>
      <c r="M48" s="911" t="s">
        <v>356</v>
      </c>
      <c r="N48" s="942">
        <v>1</v>
      </c>
      <c r="O48" s="492"/>
      <c r="P48" s="934"/>
      <c r="Q48" s="11"/>
      <c r="R48" s="14"/>
      <c r="T48" s="14"/>
      <c r="U48" s="14"/>
    </row>
    <row r="49" spans="1:24" s="1" customFormat="1" ht="16.5" customHeight="1" x14ac:dyDescent="0.2">
      <c r="A49" s="129"/>
      <c r="B49" s="1362"/>
      <c r="C49" s="12"/>
      <c r="D49" s="150"/>
      <c r="E49" s="1530"/>
      <c r="F49" s="967"/>
      <c r="G49" s="200"/>
      <c r="H49" s="1375"/>
      <c r="I49" s="270"/>
      <c r="J49" s="257"/>
      <c r="K49" s="258"/>
      <c r="L49" s="473"/>
      <c r="M49" s="471" t="s">
        <v>358</v>
      </c>
      <c r="N49" s="942">
        <v>1</v>
      </c>
      <c r="O49" s="492">
        <v>1</v>
      </c>
      <c r="P49" s="934"/>
      <c r="Q49" s="11"/>
      <c r="R49" s="14"/>
      <c r="T49" s="14"/>
      <c r="U49" s="14"/>
    </row>
    <row r="50" spans="1:24" s="1" customFormat="1" ht="29.25" customHeight="1" x14ac:dyDescent="0.2">
      <c r="A50" s="129"/>
      <c r="B50" s="1362"/>
      <c r="C50" s="12"/>
      <c r="D50" s="449" t="s">
        <v>34</v>
      </c>
      <c r="E50" s="1353" t="s">
        <v>30</v>
      </c>
      <c r="F50" s="967"/>
      <c r="G50" s="200">
        <v>11030501</v>
      </c>
      <c r="H50" s="1375"/>
      <c r="I50" s="270"/>
      <c r="J50" s="257"/>
      <c r="K50" s="258"/>
      <c r="L50" s="473"/>
      <c r="M50" s="471"/>
      <c r="N50" s="941"/>
      <c r="O50" s="941"/>
      <c r="P50" s="943"/>
      <c r="Q50" s="11"/>
      <c r="V50" s="14"/>
      <c r="X50" s="14"/>
    </row>
    <row r="51" spans="1:24" s="1" customFormat="1" ht="16.5" customHeight="1" x14ac:dyDescent="0.2">
      <c r="A51" s="129"/>
      <c r="B51" s="1362"/>
      <c r="C51" s="12"/>
      <c r="D51" s="449" t="s">
        <v>63</v>
      </c>
      <c r="E51" s="1518" t="s">
        <v>77</v>
      </c>
      <c r="F51" s="968"/>
      <c r="G51" s="200">
        <v>11030801</v>
      </c>
      <c r="H51" s="1375"/>
      <c r="I51" s="270"/>
      <c r="J51" s="483"/>
      <c r="K51" s="258"/>
      <c r="L51" s="660"/>
      <c r="M51" s="471" t="s">
        <v>357</v>
      </c>
      <c r="N51" s="942">
        <v>4</v>
      </c>
      <c r="O51" s="496"/>
      <c r="P51" s="945"/>
      <c r="Q51" s="11"/>
      <c r="R51" s="14"/>
      <c r="T51" s="14"/>
    </row>
    <row r="52" spans="1:24" s="1" customFormat="1" ht="15" customHeight="1" x14ac:dyDescent="0.2">
      <c r="A52" s="129"/>
      <c r="B52" s="1362"/>
      <c r="C52" s="12"/>
      <c r="D52" s="150"/>
      <c r="E52" s="1519"/>
      <c r="F52" s="967"/>
      <c r="G52" s="445"/>
      <c r="H52" s="1375"/>
      <c r="I52" s="270"/>
      <c r="J52" s="257"/>
      <c r="K52" s="258"/>
      <c r="L52" s="473"/>
      <c r="M52" s="911" t="s">
        <v>359</v>
      </c>
      <c r="N52" s="942">
        <v>2</v>
      </c>
      <c r="O52" s="944"/>
      <c r="P52" s="934"/>
      <c r="Q52" s="11"/>
      <c r="R52" s="14"/>
    </row>
    <row r="53" spans="1:24" s="1" customFormat="1" ht="29.25" customHeight="1" x14ac:dyDescent="0.2">
      <c r="A53" s="129"/>
      <c r="B53" s="1362"/>
      <c r="C53" s="12"/>
      <c r="D53" s="150"/>
      <c r="E53" s="1354"/>
      <c r="F53" s="967"/>
      <c r="G53" s="445"/>
      <c r="H53" s="1375"/>
      <c r="I53" s="270"/>
      <c r="J53" s="231"/>
      <c r="K53" s="240"/>
      <c r="L53" s="529"/>
      <c r="M53" s="102" t="s">
        <v>360</v>
      </c>
      <c r="N53" s="936">
        <v>1</v>
      </c>
      <c r="O53" s="946"/>
      <c r="P53" s="937"/>
      <c r="Q53" s="11"/>
      <c r="R53" s="14"/>
    </row>
    <row r="54" spans="1:24" s="1" customFormat="1" ht="15.75" customHeight="1" x14ac:dyDescent="0.2">
      <c r="A54" s="129"/>
      <c r="B54" s="1362"/>
      <c r="C54" s="12"/>
      <c r="D54" s="449" t="s">
        <v>156</v>
      </c>
      <c r="E54" s="1558" t="s">
        <v>70</v>
      </c>
      <c r="F54" s="1522" t="s">
        <v>344</v>
      </c>
      <c r="G54" s="1338">
        <v>11020101</v>
      </c>
      <c r="H54" s="1375"/>
      <c r="I54" s="270"/>
      <c r="J54" s="483"/>
      <c r="K54" s="258"/>
      <c r="L54" s="660"/>
      <c r="M54" s="911" t="s">
        <v>336</v>
      </c>
      <c r="N54" s="492">
        <v>13</v>
      </c>
      <c r="O54" s="492">
        <v>15</v>
      </c>
      <c r="P54" s="935">
        <v>16</v>
      </c>
      <c r="R54" s="14"/>
      <c r="S54" s="14"/>
      <c r="T54" s="14"/>
    </row>
    <row r="55" spans="1:24" s="1" customFormat="1" ht="15.75" customHeight="1" x14ac:dyDescent="0.2">
      <c r="A55" s="129"/>
      <c r="B55" s="1362"/>
      <c r="C55" s="12"/>
      <c r="D55" s="150"/>
      <c r="E55" s="1526"/>
      <c r="F55" s="1522"/>
      <c r="G55" s="1377"/>
      <c r="H55" s="1375"/>
      <c r="I55" s="270"/>
      <c r="J55" s="231"/>
      <c r="K55" s="240"/>
      <c r="L55" s="529"/>
      <c r="M55" s="913" t="s">
        <v>357</v>
      </c>
      <c r="N55" s="492">
        <v>2</v>
      </c>
      <c r="O55" s="492"/>
      <c r="P55" s="947"/>
      <c r="R55" s="14"/>
      <c r="S55" s="14"/>
    </row>
    <row r="56" spans="1:24" s="1" customFormat="1" ht="17.25" customHeight="1" x14ac:dyDescent="0.2">
      <c r="A56" s="129"/>
      <c r="B56" s="1362"/>
      <c r="C56" s="12"/>
      <c r="D56" s="150"/>
      <c r="E56" s="1329"/>
      <c r="F56" s="1522"/>
      <c r="G56" s="1377"/>
      <c r="H56" s="1375"/>
      <c r="I56" s="270"/>
      <c r="J56" s="231"/>
      <c r="K56" s="240"/>
      <c r="L56" s="529"/>
      <c r="M56" s="912" t="s">
        <v>338</v>
      </c>
      <c r="N56" s="492">
        <v>2</v>
      </c>
      <c r="O56" s="492"/>
      <c r="P56" s="947"/>
      <c r="R56" s="14"/>
      <c r="S56" s="14"/>
      <c r="U56" s="14"/>
      <c r="W56" s="14"/>
    </row>
    <row r="57" spans="1:24" s="1" customFormat="1" ht="31.5" customHeight="1" x14ac:dyDescent="0.2">
      <c r="A57" s="129"/>
      <c r="B57" s="1362"/>
      <c r="C57" s="12"/>
      <c r="D57" s="150"/>
      <c r="E57" s="1329"/>
      <c r="F57" s="1522"/>
      <c r="G57" s="1377"/>
      <c r="H57" s="1375"/>
      <c r="I57" s="270"/>
      <c r="J57" s="231"/>
      <c r="K57" s="240"/>
      <c r="L57" s="529"/>
      <c r="M57" s="912" t="s">
        <v>361</v>
      </c>
      <c r="N57" s="492"/>
      <c r="O57" s="492">
        <v>1</v>
      </c>
      <c r="P57" s="947"/>
      <c r="R57" s="14"/>
      <c r="S57" s="14"/>
      <c r="V57" s="14"/>
    </row>
    <row r="58" spans="1:24" s="1" customFormat="1" ht="29.25" customHeight="1" x14ac:dyDescent="0.2">
      <c r="A58" s="129"/>
      <c r="B58" s="1362"/>
      <c r="C58" s="12"/>
      <c r="D58" s="446" t="s">
        <v>157</v>
      </c>
      <c r="E58" s="106" t="s">
        <v>123</v>
      </c>
      <c r="F58" s="967"/>
      <c r="G58" s="199">
        <v>11020102</v>
      </c>
      <c r="H58" s="1375"/>
      <c r="I58" s="13"/>
      <c r="J58" s="257"/>
      <c r="K58" s="258"/>
      <c r="L58" s="473"/>
      <c r="M58" s="910" t="s">
        <v>340</v>
      </c>
      <c r="N58" s="496">
        <v>4</v>
      </c>
      <c r="O58" s="492">
        <v>4</v>
      </c>
      <c r="P58" s="948">
        <v>4</v>
      </c>
      <c r="R58" s="14"/>
      <c r="S58" s="14"/>
    </row>
    <row r="59" spans="1:24" s="1" customFormat="1" ht="29.25" customHeight="1" x14ac:dyDescent="0.2">
      <c r="A59" s="129"/>
      <c r="B59" s="1362"/>
      <c r="C59" s="12"/>
      <c r="D59" s="150" t="s">
        <v>158</v>
      </c>
      <c r="E59" s="1558" t="s">
        <v>74</v>
      </c>
      <c r="F59" s="967"/>
      <c r="G59" s="1560">
        <v>11031001</v>
      </c>
      <c r="H59" s="437"/>
      <c r="I59" s="66"/>
      <c r="J59" s="257"/>
      <c r="K59" s="258"/>
      <c r="L59" s="473"/>
      <c r="M59" s="914" t="s">
        <v>121</v>
      </c>
      <c r="N59" s="949">
        <v>6</v>
      </c>
      <c r="O59" s="950">
        <v>6</v>
      </c>
      <c r="P59" s="933">
        <v>6</v>
      </c>
      <c r="R59" s="14"/>
      <c r="S59" s="14"/>
      <c r="T59" s="14"/>
      <c r="U59" s="14"/>
    </row>
    <row r="60" spans="1:24" s="1" customFormat="1" ht="15.75" customHeight="1" thickBot="1" x14ac:dyDescent="0.25">
      <c r="A60" s="130"/>
      <c r="B60" s="1333"/>
      <c r="C60" s="15"/>
      <c r="D60" s="448"/>
      <c r="E60" s="1559"/>
      <c r="F60" s="969"/>
      <c r="G60" s="1561"/>
      <c r="H60" s="438"/>
      <c r="I60" s="16" t="s">
        <v>18</v>
      </c>
      <c r="J60" s="232">
        <f>SUM(J31:J59)</f>
        <v>5338.3</v>
      </c>
      <c r="K60" s="241">
        <f>SUM(K31:K59)</f>
        <v>5182.5</v>
      </c>
      <c r="L60" s="498">
        <f>SUM(L31:L59)</f>
        <v>5144.6000000000004</v>
      </c>
      <c r="M60" s="915"/>
      <c r="N60" s="554"/>
      <c r="O60" s="295"/>
      <c r="P60" s="296"/>
      <c r="Q60" s="11"/>
    </row>
    <row r="61" spans="1:24" s="1" customFormat="1" ht="17.25" customHeight="1" x14ac:dyDescent="0.2">
      <c r="A61" s="131" t="s">
        <v>13</v>
      </c>
      <c r="B61" s="1332" t="s">
        <v>19</v>
      </c>
      <c r="C61" s="10" t="s">
        <v>19</v>
      </c>
      <c r="D61" s="447"/>
      <c r="E61" s="1562" t="s">
        <v>324</v>
      </c>
      <c r="F61" s="177"/>
      <c r="G61" s="192"/>
      <c r="H61" s="439" t="s">
        <v>16</v>
      </c>
      <c r="I61" s="17" t="s">
        <v>17</v>
      </c>
      <c r="J61" s="233">
        <v>670.4</v>
      </c>
      <c r="K61" s="242">
        <f>712.8-42.4</f>
        <v>670.4</v>
      </c>
      <c r="L61" s="499">
        <f>727.8-57.4</f>
        <v>670.4</v>
      </c>
      <c r="M61" s="1350" t="s">
        <v>325</v>
      </c>
      <c r="N61" s="298">
        <v>100</v>
      </c>
      <c r="O61" s="298">
        <v>110</v>
      </c>
      <c r="P61" s="299">
        <v>115</v>
      </c>
      <c r="R61" s="14"/>
      <c r="S61" s="14"/>
    </row>
    <row r="62" spans="1:24" s="1" customFormat="1" ht="17.25" customHeight="1" x14ac:dyDescent="0.2">
      <c r="A62" s="132"/>
      <c r="B62" s="1362"/>
      <c r="C62" s="12"/>
      <c r="D62" s="150"/>
      <c r="E62" s="1563"/>
      <c r="F62" s="178"/>
      <c r="G62" s="193"/>
      <c r="H62" s="440"/>
      <c r="I62" s="43" t="s">
        <v>43</v>
      </c>
      <c r="J62" s="213">
        <v>18.600000000000001</v>
      </c>
      <c r="K62" s="223">
        <v>18.600000000000001</v>
      </c>
      <c r="L62" s="218">
        <v>18.600000000000001</v>
      </c>
      <c r="M62" s="916"/>
      <c r="N62" s="381"/>
      <c r="O62" s="322"/>
      <c r="P62" s="323"/>
      <c r="R62" s="14"/>
    </row>
    <row r="63" spans="1:24" s="1" customFormat="1" ht="30.75" customHeight="1" x14ac:dyDescent="0.2">
      <c r="A63" s="133"/>
      <c r="B63" s="84"/>
      <c r="C63" s="18"/>
      <c r="D63" s="449" t="s">
        <v>13</v>
      </c>
      <c r="E63" s="493" t="s">
        <v>32</v>
      </c>
      <c r="F63" s="178"/>
      <c r="G63" s="1372">
        <v>11030608</v>
      </c>
      <c r="H63" s="441"/>
      <c r="I63" s="13"/>
      <c r="J63" s="257"/>
      <c r="K63" s="258"/>
      <c r="L63" s="473"/>
      <c r="M63" s="910" t="s">
        <v>113</v>
      </c>
      <c r="N63" s="592">
        <v>210</v>
      </c>
      <c r="O63" s="292">
        <v>210</v>
      </c>
      <c r="P63" s="293">
        <v>210</v>
      </c>
      <c r="T63" s="14"/>
      <c r="V63" s="14"/>
    </row>
    <row r="64" spans="1:24" s="1" customFormat="1" ht="30" customHeight="1" x14ac:dyDescent="0.2">
      <c r="A64" s="132"/>
      <c r="B64" s="1362"/>
      <c r="C64" s="12"/>
      <c r="D64" s="449" t="s">
        <v>19</v>
      </c>
      <c r="E64" s="19" t="s">
        <v>195</v>
      </c>
      <c r="F64" s="178"/>
      <c r="G64" s="206">
        <v>1102020101</v>
      </c>
      <c r="H64" s="440"/>
      <c r="I64" s="13"/>
      <c r="J64" s="231"/>
      <c r="K64" s="240"/>
      <c r="L64" s="529"/>
      <c r="M64" s="917" t="s">
        <v>112</v>
      </c>
      <c r="N64" s="430">
        <v>40</v>
      </c>
      <c r="O64" s="317">
        <v>40</v>
      </c>
      <c r="P64" s="894">
        <v>40</v>
      </c>
      <c r="R64" s="14"/>
      <c r="S64" s="14" t="s">
        <v>67</v>
      </c>
      <c r="T64" s="14"/>
    </row>
    <row r="65" spans="1:22" s="1" customFormat="1" ht="30" customHeight="1" x14ac:dyDescent="0.2">
      <c r="A65" s="132"/>
      <c r="B65" s="1362"/>
      <c r="C65" s="12"/>
      <c r="D65" s="446" t="s">
        <v>21</v>
      </c>
      <c r="E65" s="493" t="s">
        <v>196</v>
      </c>
      <c r="F65" s="178"/>
      <c r="G65" s="613"/>
      <c r="H65" s="440"/>
      <c r="I65" s="13"/>
      <c r="J65" s="231"/>
      <c r="K65" s="240"/>
      <c r="L65" s="529"/>
      <c r="M65" s="917" t="s">
        <v>112</v>
      </c>
      <c r="N65" s="431">
        <v>30</v>
      </c>
      <c r="O65" s="292">
        <v>30</v>
      </c>
      <c r="P65" s="290">
        <v>30</v>
      </c>
      <c r="R65" s="14"/>
      <c r="S65" s="14"/>
      <c r="T65" s="14"/>
      <c r="U65" s="14"/>
    </row>
    <row r="66" spans="1:22" s="1" customFormat="1" ht="30" customHeight="1" x14ac:dyDescent="0.2">
      <c r="A66" s="132"/>
      <c r="B66" s="1362"/>
      <c r="C66" s="12"/>
      <c r="D66" s="449" t="s">
        <v>34</v>
      </c>
      <c r="E66" s="493" t="s">
        <v>197</v>
      </c>
      <c r="F66" s="179"/>
      <c r="G66" s="1372">
        <v>11020204</v>
      </c>
      <c r="H66" s="440"/>
      <c r="I66" s="13"/>
      <c r="J66" s="505"/>
      <c r="K66" s="258"/>
      <c r="L66" s="473"/>
      <c r="M66" s="1348" t="s">
        <v>341</v>
      </c>
      <c r="N66" s="431">
        <v>11</v>
      </c>
      <c r="O66" s="292">
        <v>12</v>
      </c>
      <c r="P66" s="293">
        <v>13</v>
      </c>
      <c r="S66" s="14"/>
      <c r="U66" s="14"/>
    </row>
    <row r="67" spans="1:22" s="1" customFormat="1" ht="15.75" customHeight="1" x14ac:dyDescent="0.2">
      <c r="A67" s="132"/>
      <c r="B67" s="1362"/>
      <c r="C67" s="12"/>
      <c r="D67" s="449" t="s">
        <v>63</v>
      </c>
      <c r="E67" s="1595" t="s">
        <v>33</v>
      </c>
      <c r="F67" s="179"/>
      <c r="G67" s="1369">
        <v>11020202</v>
      </c>
      <c r="H67" s="440"/>
      <c r="I67" s="58"/>
      <c r="J67" s="231"/>
      <c r="K67" s="258"/>
      <c r="L67" s="473"/>
      <c r="M67" s="1523" t="s">
        <v>342</v>
      </c>
      <c r="N67" s="431">
        <v>313</v>
      </c>
      <c r="O67" s="292">
        <v>320</v>
      </c>
      <c r="P67" s="293">
        <v>320</v>
      </c>
      <c r="S67" s="14"/>
    </row>
    <row r="68" spans="1:22" s="1" customFormat="1" ht="15.75" customHeight="1" thickBot="1" x14ac:dyDescent="0.25">
      <c r="A68" s="134"/>
      <c r="B68" s="1333"/>
      <c r="C68" s="15"/>
      <c r="D68" s="448"/>
      <c r="E68" s="1553"/>
      <c r="F68" s="970"/>
      <c r="G68" s="1352"/>
      <c r="H68" s="442"/>
      <c r="I68" s="1330" t="s">
        <v>18</v>
      </c>
      <c r="J68" s="508">
        <f>SUM(J61:J67)</f>
        <v>689</v>
      </c>
      <c r="K68" s="509">
        <f>SUM(K61:K67)</f>
        <v>689</v>
      </c>
      <c r="L68" s="370">
        <f>SUM(L61:L67)</f>
        <v>689</v>
      </c>
      <c r="M68" s="1460"/>
      <c r="N68" s="554"/>
      <c r="O68" s="295"/>
      <c r="P68" s="296"/>
      <c r="S68" s="14"/>
      <c r="T68" s="14"/>
    </row>
    <row r="69" spans="1:22" s="1" customFormat="1" ht="27" customHeight="1" x14ac:dyDescent="0.2">
      <c r="A69" s="135" t="s">
        <v>13</v>
      </c>
      <c r="B69" s="1332" t="s">
        <v>19</v>
      </c>
      <c r="C69" s="1357" t="s">
        <v>21</v>
      </c>
      <c r="D69" s="447"/>
      <c r="E69" s="1549" t="s">
        <v>198</v>
      </c>
      <c r="F69" s="971"/>
      <c r="G69" s="1556">
        <v>11020205</v>
      </c>
      <c r="H69" s="439" t="s">
        <v>16</v>
      </c>
      <c r="I69" s="6" t="s">
        <v>17</v>
      </c>
      <c r="J69" s="245">
        <f>583.8-2.7</f>
        <v>581.09999999999991</v>
      </c>
      <c r="K69" s="245">
        <v>600</v>
      </c>
      <c r="L69" s="369">
        <v>604</v>
      </c>
      <c r="M69" s="1540" t="s">
        <v>223</v>
      </c>
      <c r="N69" s="843">
        <v>2.9</v>
      </c>
      <c r="O69" s="844">
        <v>3</v>
      </c>
      <c r="P69" s="845">
        <v>3</v>
      </c>
    </row>
    <row r="70" spans="1:22" s="1" customFormat="1" ht="15.75" customHeight="1" thickBot="1" x14ac:dyDescent="0.25">
      <c r="A70" s="137"/>
      <c r="B70" s="1333"/>
      <c r="C70" s="1087"/>
      <c r="D70" s="448"/>
      <c r="E70" s="1553"/>
      <c r="F70" s="972"/>
      <c r="G70" s="1557"/>
      <c r="H70" s="442"/>
      <c r="I70" s="1380" t="s">
        <v>18</v>
      </c>
      <c r="J70" s="235">
        <f t="shared" ref="J70:L70" si="2">+J69</f>
        <v>581.09999999999991</v>
      </c>
      <c r="K70" s="224">
        <f t="shared" si="2"/>
        <v>600</v>
      </c>
      <c r="L70" s="216">
        <f t="shared" si="2"/>
        <v>604</v>
      </c>
      <c r="M70" s="1524"/>
      <c r="N70" s="554"/>
      <c r="O70" s="295"/>
      <c r="P70" s="296"/>
    </row>
    <row r="71" spans="1:22" s="617" customFormat="1" ht="17.25" customHeight="1" x14ac:dyDescent="0.2">
      <c r="A71" s="136" t="s">
        <v>13</v>
      </c>
      <c r="B71" s="1362" t="s">
        <v>19</v>
      </c>
      <c r="C71" s="1358" t="s">
        <v>34</v>
      </c>
      <c r="D71" s="150"/>
      <c r="E71" s="1549" t="s">
        <v>199</v>
      </c>
      <c r="F71" s="973"/>
      <c r="G71" s="1551">
        <v>11020406</v>
      </c>
      <c r="H71" s="1334">
        <v>2</v>
      </c>
      <c r="I71" s="621" t="s">
        <v>17</v>
      </c>
      <c r="J71" s="236">
        <f>156.5-63.5</f>
        <v>93</v>
      </c>
      <c r="K71" s="245">
        <v>156.5</v>
      </c>
      <c r="L71" s="422">
        <v>156.5</v>
      </c>
      <c r="M71" s="1540" t="s">
        <v>200</v>
      </c>
      <c r="N71" s="514">
        <v>2019</v>
      </c>
      <c r="O71" s="309">
        <v>2058</v>
      </c>
      <c r="P71" s="310">
        <v>2060</v>
      </c>
      <c r="Q71" s="616"/>
      <c r="U71" s="618"/>
      <c r="V71" s="616"/>
    </row>
    <row r="72" spans="1:22" s="617" customFormat="1" ht="15.75" customHeight="1" thickBot="1" x14ac:dyDescent="0.25">
      <c r="A72" s="136"/>
      <c r="B72" s="1362"/>
      <c r="C72" s="1358"/>
      <c r="D72" s="150"/>
      <c r="E72" s="1550"/>
      <c r="F72" s="974"/>
      <c r="G72" s="1552"/>
      <c r="H72" s="1335"/>
      <c r="I72" s="1341" t="s">
        <v>18</v>
      </c>
      <c r="J72" s="486">
        <f>+J71</f>
        <v>93</v>
      </c>
      <c r="K72" s="485">
        <f>+K71</f>
        <v>156.5</v>
      </c>
      <c r="L72" s="487">
        <f>+L71</f>
        <v>156.5</v>
      </c>
      <c r="M72" s="1524"/>
      <c r="N72" s="514"/>
      <c r="O72" s="309"/>
      <c r="P72" s="310"/>
      <c r="U72" s="618"/>
      <c r="V72" s="616"/>
    </row>
    <row r="73" spans="1:22" s="617" customFormat="1" ht="21" customHeight="1" x14ac:dyDescent="0.2">
      <c r="A73" s="135" t="s">
        <v>13</v>
      </c>
      <c r="B73" s="1332" t="s">
        <v>19</v>
      </c>
      <c r="C73" s="1357" t="s">
        <v>63</v>
      </c>
      <c r="D73" s="447"/>
      <c r="E73" s="1549" t="s">
        <v>201</v>
      </c>
      <c r="F73" s="975"/>
      <c r="G73" s="1554">
        <v>11020205</v>
      </c>
      <c r="H73" s="1334" t="s">
        <v>16</v>
      </c>
      <c r="I73" s="621" t="s">
        <v>17</v>
      </c>
      <c r="J73" s="236">
        <v>5.4</v>
      </c>
      <c r="K73" s="245">
        <v>5.4</v>
      </c>
      <c r="L73" s="369">
        <v>5.4</v>
      </c>
      <c r="M73" s="918" t="s">
        <v>202</v>
      </c>
      <c r="N73" s="349">
        <v>18</v>
      </c>
      <c r="O73" s="307">
        <v>18</v>
      </c>
      <c r="P73" s="173">
        <v>18</v>
      </c>
      <c r="Q73" s="616"/>
      <c r="S73" s="842"/>
      <c r="V73" s="616"/>
    </row>
    <row r="74" spans="1:22" s="617" customFormat="1" ht="18" customHeight="1" thickBot="1" x14ac:dyDescent="0.25">
      <c r="A74" s="137"/>
      <c r="B74" s="1333"/>
      <c r="C74" s="1087"/>
      <c r="D74" s="448"/>
      <c r="E74" s="1553"/>
      <c r="F74" s="976"/>
      <c r="G74" s="1555"/>
      <c r="H74" s="1335"/>
      <c r="I74" s="624" t="s">
        <v>18</v>
      </c>
      <c r="J74" s="214">
        <f>+J73</f>
        <v>5.4</v>
      </c>
      <c r="K74" s="224">
        <f>+K73</f>
        <v>5.4</v>
      </c>
      <c r="L74" s="376">
        <f>+L73</f>
        <v>5.4</v>
      </c>
      <c r="M74" s="919" t="s">
        <v>203</v>
      </c>
      <c r="N74" s="921">
        <v>120</v>
      </c>
      <c r="O74" s="628">
        <v>130</v>
      </c>
      <c r="P74" s="629">
        <v>140</v>
      </c>
      <c r="V74" s="616"/>
    </row>
    <row r="75" spans="1:22" s="617" customFormat="1" ht="27" customHeight="1" x14ac:dyDescent="0.2">
      <c r="A75" s="135" t="s">
        <v>13</v>
      </c>
      <c r="B75" s="1332" t="s">
        <v>19</v>
      </c>
      <c r="C75" s="1357" t="s">
        <v>156</v>
      </c>
      <c r="D75" s="447"/>
      <c r="E75" s="1549" t="s">
        <v>165</v>
      </c>
      <c r="F75" s="975"/>
      <c r="G75" s="1554">
        <v>11020205</v>
      </c>
      <c r="H75" s="1334">
        <v>1</v>
      </c>
      <c r="I75" s="621" t="s">
        <v>17</v>
      </c>
      <c r="J75" s="279">
        <v>12.6</v>
      </c>
      <c r="K75" s="373">
        <v>30</v>
      </c>
      <c r="L75" s="369">
        <v>30</v>
      </c>
      <c r="M75" s="920" t="s">
        <v>318</v>
      </c>
      <c r="N75" s="909">
        <v>100</v>
      </c>
      <c r="O75" s="298">
        <v>100</v>
      </c>
      <c r="P75" s="1359">
        <v>100</v>
      </c>
      <c r="Q75" s="616"/>
      <c r="V75" s="616"/>
    </row>
    <row r="76" spans="1:22" s="617" customFormat="1" ht="18" customHeight="1" thickBot="1" x14ac:dyDescent="0.25">
      <c r="A76" s="137"/>
      <c r="B76" s="1333"/>
      <c r="C76" s="1087"/>
      <c r="D76" s="448"/>
      <c r="E76" s="1553"/>
      <c r="F76" s="976"/>
      <c r="G76" s="1555"/>
      <c r="H76" s="1335"/>
      <c r="I76" s="624" t="s">
        <v>18</v>
      </c>
      <c r="J76" s="209">
        <f>+J75</f>
        <v>12.6</v>
      </c>
      <c r="K76" s="220">
        <f>+K75</f>
        <v>30</v>
      </c>
      <c r="L76" s="376">
        <f>+L75</f>
        <v>30</v>
      </c>
      <c r="M76" s="915"/>
      <c r="N76" s="315"/>
      <c r="O76" s="295"/>
      <c r="P76" s="1360"/>
      <c r="V76" s="616"/>
    </row>
    <row r="77" spans="1:22" s="1" customFormat="1" ht="15.75" customHeight="1" x14ac:dyDescent="0.2">
      <c r="A77" s="135" t="s">
        <v>13</v>
      </c>
      <c r="B77" s="1332" t="s">
        <v>19</v>
      </c>
      <c r="C77" s="1357" t="s">
        <v>157</v>
      </c>
      <c r="D77" s="150"/>
      <c r="E77" s="1572" t="s">
        <v>124</v>
      </c>
      <c r="F77" s="977"/>
      <c r="G77" s="1574">
        <v>11020406</v>
      </c>
      <c r="H77" s="444">
        <v>2</v>
      </c>
      <c r="I77" s="43" t="s">
        <v>79</v>
      </c>
      <c r="J77" s="237">
        <v>17.7</v>
      </c>
      <c r="K77" s="246"/>
      <c r="L77" s="229"/>
      <c r="M77" s="1523" t="s">
        <v>122</v>
      </c>
      <c r="N77" s="431">
        <v>2</v>
      </c>
      <c r="O77" s="292"/>
      <c r="P77" s="293"/>
    </row>
    <row r="78" spans="1:22" s="1" customFormat="1" ht="15.75" customHeight="1" thickBot="1" x14ac:dyDescent="0.25">
      <c r="A78" s="137"/>
      <c r="B78" s="1333"/>
      <c r="C78" s="1087"/>
      <c r="D78" s="448"/>
      <c r="E78" s="1573"/>
      <c r="F78" s="972"/>
      <c r="G78" s="1575"/>
      <c r="H78" s="442"/>
      <c r="I78" s="1330" t="s">
        <v>18</v>
      </c>
      <c r="J78" s="235">
        <f>SUM(J77:J77)</f>
        <v>17.7</v>
      </c>
      <c r="K78" s="244"/>
      <c r="L78" s="512"/>
      <c r="M78" s="1524"/>
      <c r="N78" s="554"/>
      <c r="O78" s="295"/>
      <c r="P78" s="296"/>
    </row>
    <row r="79" spans="1:22" s="1" customFormat="1" ht="13.5" thickBot="1" x14ac:dyDescent="0.25">
      <c r="A79" s="1356" t="s">
        <v>13</v>
      </c>
      <c r="B79" s="1333" t="s">
        <v>19</v>
      </c>
      <c r="C79" s="1568" t="s">
        <v>22</v>
      </c>
      <c r="D79" s="1568"/>
      <c r="E79" s="1568"/>
      <c r="F79" s="1568"/>
      <c r="G79" s="1568"/>
      <c r="H79" s="1568"/>
      <c r="I79" s="1568"/>
      <c r="J79" s="238">
        <f>+J78+J70+J68+J60+J72+J74+J76</f>
        <v>6737.1</v>
      </c>
      <c r="K79" s="225">
        <f>+K78+K70+K68+K60+K72+K74+K76</f>
        <v>6663.4</v>
      </c>
      <c r="L79" s="490">
        <f>+L78+L70+L68+L60+L72+L74+L76</f>
        <v>6629.5</v>
      </c>
      <c r="M79" s="1569"/>
      <c r="N79" s="1570"/>
      <c r="O79" s="1570"/>
      <c r="P79" s="1571"/>
      <c r="T79" s="14"/>
    </row>
    <row r="80" spans="1:22" s="1" customFormat="1" ht="15.75" customHeight="1" thickBot="1" x14ac:dyDescent="0.25">
      <c r="A80" s="138" t="s">
        <v>13</v>
      </c>
      <c r="B80" s="23" t="s">
        <v>21</v>
      </c>
      <c r="C80" s="1528" t="s">
        <v>35</v>
      </c>
      <c r="D80" s="1528"/>
      <c r="E80" s="1528"/>
      <c r="F80" s="1528"/>
      <c r="G80" s="1564"/>
      <c r="H80" s="1564"/>
      <c r="I80" s="1564"/>
      <c r="J80" s="1564"/>
      <c r="K80" s="1564"/>
      <c r="L80" s="1564"/>
      <c r="M80" s="1528"/>
      <c r="N80" s="1528"/>
      <c r="O80" s="1528"/>
      <c r="P80" s="1529"/>
      <c r="T80" s="14"/>
    </row>
    <row r="81" spans="1:24" s="617" customFormat="1" ht="27" customHeight="1" x14ac:dyDescent="0.2">
      <c r="A81" s="131" t="s">
        <v>13</v>
      </c>
      <c r="B81" s="1487" t="s">
        <v>21</v>
      </c>
      <c r="C81" s="1565" t="s">
        <v>13</v>
      </c>
      <c r="D81" s="1366"/>
      <c r="E81" s="1549" t="s">
        <v>204</v>
      </c>
      <c r="F81" s="668"/>
      <c r="G81" s="669"/>
      <c r="H81" s="630">
        <v>2</v>
      </c>
      <c r="I81" s="897" t="s">
        <v>17</v>
      </c>
      <c r="J81" s="369">
        <v>18</v>
      </c>
      <c r="K81" s="632"/>
      <c r="L81" s="633"/>
      <c r="M81" s="634" t="s">
        <v>362</v>
      </c>
      <c r="N81" s="909">
        <v>1</v>
      </c>
      <c r="O81" s="339"/>
      <c r="P81" s="340"/>
      <c r="Q81" s="616"/>
    </row>
    <row r="82" spans="1:24" s="617" customFormat="1" ht="16.5" customHeight="1" thickBot="1" x14ac:dyDescent="0.25">
      <c r="A82" s="134"/>
      <c r="B82" s="1489"/>
      <c r="C82" s="1566"/>
      <c r="D82" s="1366"/>
      <c r="E82" s="1553"/>
      <c r="F82" s="672"/>
      <c r="G82" s="673"/>
      <c r="H82" s="674"/>
      <c r="I82" s="898" t="s">
        <v>18</v>
      </c>
      <c r="J82" s="635">
        <f>+J81</f>
        <v>18</v>
      </c>
      <c r="K82" s="241"/>
      <c r="L82" s="497"/>
      <c r="M82" s="675"/>
      <c r="N82" s="433"/>
      <c r="O82" s="315"/>
      <c r="P82" s="316"/>
      <c r="Q82" s="616"/>
    </row>
    <row r="83" spans="1:24" s="1" customFormat="1" ht="15.75" customHeight="1" x14ac:dyDescent="0.2">
      <c r="A83" s="139" t="s">
        <v>13</v>
      </c>
      <c r="B83" s="86" t="s">
        <v>21</v>
      </c>
      <c r="C83" s="24" t="s">
        <v>19</v>
      </c>
      <c r="D83" s="450"/>
      <c r="E83" s="1562" t="s">
        <v>39</v>
      </c>
      <c r="F83" s="978"/>
      <c r="G83" s="202"/>
      <c r="H83" s="56" t="s">
        <v>402</v>
      </c>
      <c r="I83" s="953" t="s">
        <v>17</v>
      </c>
      <c r="J83" s="1180">
        <f>793.9-406.8+100+14.6</f>
        <v>501.7</v>
      </c>
      <c r="K83" s="373">
        <v>24.2</v>
      </c>
      <c r="L83" s="1179">
        <v>2606.8000000000002</v>
      </c>
      <c r="M83" s="260"/>
      <c r="N83" s="925"/>
      <c r="O83" s="327"/>
      <c r="P83" s="328"/>
      <c r="Q83" s="70"/>
      <c r="R83" s="70"/>
      <c r="S83" s="70"/>
      <c r="U83" s="14"/>
      <c r="V83" s="988"/>
      <c r="W83" s="14"/>
    </row>
    <row r="84" spans="1:24" s="1" customFormat="1" ht="15.75" customHeight="1" x14ac:dyDescent="0.2">
      <c r="A84" s="140"/>
      <c r="B84" s="1108"/>
      <c r="C84" s="1376"/>
      <c r="D84" s="1366"/>
      <c r="E84" s="1567"/>
      <c r="F84" s="979"/>
      <c r="G84" s="203"/>
      <c r="H84" s="122"/>
      <c r="I84" s="899" t="s">
        <v>225</v>
      </c>
      <c r="J84" s="246">
        <v>2700</v>
      </c>
      <c r="K84" s="246">
        <v>1913.5</v>
      </c>
      <c r="L84" s="1142"/>
      <c r="M84" s="261"/>
      <c r="N84" s="926"/>
      <c r="O84" s="360"/>
      <c r="P84" s="361"/>
      <c r="Q84" s="70"/>
      <c r="R84" s="70"/>
      <c r="S84" s="70"/>
      <c r="U84" s="14"/>
      <c r="V84" s="988"/>
      <c r="W84" s="14"/>
    </row>
    <row r="85" spans="1:24" s="1" customFormat="1" ht="15.75" customHeight="1" x14ac:dyDescent="0.2">
      <c r="A85" s="140"/>
      <c r="B85" s="1108"/>
      <c r="C85" s="1376"/>
      <c r="D85" s="1366"/>
      <c r="E85" s="1567"/>
      <c r="F85" s="979"/>
      <c r="G85" s="203"/>
      <c r="H85" s="122"/>
      <c r="I85" s="899" t="s">
        <v>79</v>
      </c>
      <c r="J85" s="246">
        <f>2044.8-500+500</f>
        <v>2044.8</v>
      </c>
      <c r="K85" s="246">
        <v>1504.8</v>
      </c>
      <c r="L85" s="1142"/>
      <c r="M85" s="261"/>
      <c r="N85" s="926"/>
      <c r="O85" s="360"/>
      <c r="P85" s="361"/>
      <c r="Q85" s="70"/>
      <c r="R85" s="70"/>
      <c r="S85" s="70"/>
    </row>
    <row r="86" spans="1:24" s="1" customFormat="1" ht="15.75" customHeight="1" x14ac:dyDescent="0.2">
      <c r="A86" s="140"/>
      <c r="B86" s="1108"/>
      <c r="C86" s="1376"/>
      <c r="D86" s="1366"/>
      <c r="E86" s="1347"/>
      <c r="F86" s="979"/>
      <c r="G86" s="203"/>
      <c r="H86" s="122"/>
      <c r="I86" s="1109" t="s">
        <v>37</v>
      </c>
      <c r="J86" s="246">
        <v>51.5</v>
      </c>
      <c r="K86" s="1110">
        <v>54.9</v>
      </c>
      <c r="L86" s="1143"/>
      <c r="M86" s="261"/>
      <c r="N86" s="926"/>
      <c r="O86" s="360"/>
      <c r="P86" s="361"/>
      <c r="Q86" s="70"/>
      <c r="R86" s="70"/>
      <c r="S86" s="70"/>
    </row>
    <row r="87" spans="1:24" s="1" customFormat="1" ht="15.75" customHeight="1" x14ac:dyDescent="0.2">
      <c r="A87" s="140"/>
      <c r="B87" s="1108"/>
      <c r="C87" s="1376"/>
      <c r="D87" s="1366"/>
      <c r="E87" s="1347"/>
      <c r="F87" s="979"/>
      <c r="G87" s="203"/>
      <c r="H87" s="122"/>
      <c r="I87" s="1109" t="s">
        <v>81</v>
      </c>
      <c r="J87" s="246">
        <v>583.20000000000005</v>
      </c>
      <c r="K87" s="1110">
        <v>621.70000000000005</v>
      </c>
      <c r="L87" s="535"/>
      <c r="M87" s="261"/>
      <c r="N87" s="926"/>
      <c r="O87" s="360"/>
      <c r="P87" s="361"/>
      <c r="Q87" s="70"/>
      <c r="R87" s="70"/>
      <c r="S87" s="70"/>
    </row>
    <row r="88" spans="1:24" s="1" customFormat="1" ht="15.75" customHeight="1" x14ac:dyDescent="0.2">
      <c r="A88" s="140"/>
      <c r="B88" s="1108"/>
      <c r="C88" s="1376"/>
      <c r="D88" s="1366"/>
      <c r="E88" s="1347"/>
      <c r="F88" s="979"/>
      <c r="G88" s="203"/>
      <c r="H88" s="122"/>
      <c r="I88" s="1111" t="s">
        <v>43</v>
      </c>
      <c r="J88" s="535">
        <v>0</v>
      </c>
      <c r="K88" s="535">
        <f>1172-54.9</f>
        <v>1117.0999999999999</v>
      </c>
      <c r="L88" s="1143">
        <v>716.5</v>
      </c>
      <c r="M88" s="261"/>
      <c r="N88" s="926"/>
      <c r="O88" s="360"/>
      <c r="P88" s="361"/>
      <c r="Q88" s="70"/>
      <c r="R88" s="70"/>
      <c r="S88" s="70"/>
    </row>
    <row r="89" spans="1:24" s="1" customFormat="1" ht="29.25" customHeight="1" x14ac:dyDescent="0.2">
      <c r="A89" s="136"/>
      <c r="B89" s="1362"/>
      <c r="C89" s="1376"/>
      <c r="D89" s="1344" t="s">
        <v>13</v>
      </c>
      <c r="E89" s="1346" t="s">
        <v>88</v>
      </c>
      <c r="F89" s="123" t="s">
        <v>36</v>
      </c>
      <c r="G89" s="1574">
        <v>1101012101</v>
      </c>
      <c r="H89" s="26"/>
      <c r="I89" s="900"/>
      <c r="J89" s="896"/>
      <c r="K89" s="520"/>
      <c r="L89" s="521"/>
      <c r="M89" s="954"/>
      <c r="N89" s="530"/>
      <c r="O89" s="531"/>
      <c r="P89" s="532"/>
      <c r="Q89" s="110"/>
      <c r="R89" s="93"/>
      <c r="S89" s="111"/>
      <c r="T89" s="157"/>
      <c r="U89" s="158"/>
      <c r="V89" s="111"/>
      <c r="W89" s="111"/>
    </row>
    <row r="90" spans="1:24" s="1" customFormat="1" ht="17.25" customHeight="1" x14ac:dyDescent="0.2">
      <c r="A90" s="136"/>
      <c r="B90" s="1362"/>
      <c r="C90" s="1376"/>
      <c r="D90" s="1366"/>
      <c r="E90" s="104" t="s">
        <v>86</v>
      </c>
      <c r="F90" s="1587" t="s">
        <v>42</v>
      </c>
      <c r="G90" s="1586"/>
      <c r="H90" s="26"/>
      <c r="I90" s="900"/>
      <c r="J90" s="896"/>
      <c r="K90" s="955"/>
      <c r="L90" s="521"/>
      <c r="M90" s="263" t="s">
        <v>40</v>
      </c>
      <c r="N90" s="332">
        <v>50</v>
      </c>
      <c r="O90" s="331">
        <v>100</v>
      </c>
      <c r="P90" s="276"/>
      <c r="R90" s="112"/>
      <c r="S90" s="311"/>
      <c r="T90" s="515"/>
      <c r="U90" s="835"/>
      <c r="V90" s="111"/>
      <c r="W90" s="111"/>
    </row>
    <row r="91" spans="1:24" s="1" customFormat="1" ht="17.25" customHeight="1" x14ac:dyDescent="0.2">
      <c r="A91" s="1101"/>
      <c r="B91" s="1368"/>
      <c r="C91" s="1102"/>
      <c r="D91" s="1345"/>
      <c r="E91" s="1390" t="s">
        <v>108</v>
      </c>
      <c r="F91" s="1588"/>
      <c r="G91" s="1391"/>
      <c r="H91" s="149"/>
      <c r="I91" s="1103"/>
      <c r="J91" s="1392"/>
      <c r="K91" s="1393"/>
      <c r="L91" s="1394"/>
      <c r="M91" s="1395" t="s">
        <v>40</v>
      </c>
      <c r="N91" s="329">
        <v>40</v>
      </c>
      <c r="O91" s="1396">
        <v>100</v>
      </c>
      <c r="P91" s="172"/>
      <c r="Q91" s="110"/>
      <c r="R91" s="111"/>
      <c r="S91" s="111"/>
      <c r="T91" s="112"/>
      <c r="U91" s="112"/>
      <c r="V91" s="111"/>
      <c r="W91" s="111"/>
    </row>
    <row r="92" spans="1:24" s="1" customFormat="1" ht="15.75" customHeight="1" x14ac:dyDescent="0.2">
      <c r="A92" s="136"/>
      <c r="B92" s="1362"/>
      <c r="C92" s="1376"/>
      <c r="D92" s="1589" t="s">
        <v>19</v>
      </c>
      <c r="E92" s="1591" t="s">
        <v>222</v>
      </c>
      <c r="F92" s="1593" t="s">
        <v>36</v>
      </c>
      <c r="G92" s="1178">
        <v>11010116</v>
      </c>
      <c r="H92" s="1594"/>
      <c r="I92" s="900"/>
      <c r="J92" s="895"/>
      <c r="K92" s="520"/>
      <c r="L92" s="521"/>
      <c r="M92" s="1584" t="s">
        <v>44</v>
      </c>
      <c r="N92" s="514">
        <v>60</v>
      </c>
      <c r="O92" s="312">
        <v>100</v>
      </c>
      <c r="P92" s="313"/>
      <c r="Q92" s="110"/>
      <c r="R92" s="93"/>
      <c r="S92" s="111"/>
      <c r="T92" s="93"/>
      <c r="U92" s="111"/>
      <c r="V92" s="93"/>
      <c r="W92" s="111"/>
    </row>
    <row r="93" spans="1:24" s="1" customFormat="1" ht="15.75" customHeight="1" x14ac:dyDescent="0.2">
      <c r="A93" s="136"/>
      <c r="B93" s="1362"/>
      <c r="C93" s="763"/>
      <c r="D93" s="1590"/>
      <c r="E93" s="1592"/>
      <c r="F93" s="1593"/>
      <c r="G93" s="862"/>
      <c r="H93" s="1594"/>
      <c r="I93" s="900"/>
      <c r="J93" s="895"/>
      <c r="K93" s="520"/>
      <c r="L93" s="521"/>
      <c r="M93" s="1585"/>
      <c r="N93" s="538"/>
      <c r="O93" s="336"/>
      <c r="P93" s="337"/>
      <c r="Q93" s="110"/>
      <c r="R93" s="93"/>
      <c r="S93" s="111"/>
      <c r="T93" s="93"/>
      <c r="U93" s="111"/>
      <c r="V93" s="93"/>
      <c r="W93" s="93"/>
      <c r="X93" s="14"/>
    </row>
    <row r="94" spans="1:24" s="1" customFormat="1" ht="28.5" customHeight="1" x14ac:dyDescent="0.2">
      <c r="A94" s="136"/>
      <c r="B94" s="1362"/>
      <c r="C94" s="1376"/>
      <c r="D94" s="1366" t="s">
        <v>21</v>
      </c>
      <c r="E94" s="1595" t="s">
        <v>385</v>
      </c>
      <c r="F94" s="1367"/>
      <c r="G94" s="1388"/>
      <c r="H94" s="1419">
        <v>2</v>
      </c>
      <c r="I94" s="1420"/>
      <c r="J94" s="1421"/>
      <c r="K94" s="1422"/>
      <c r="L94" s="768"/>
      <c r="M94" s="1342" t="s">
        <v>387</v>
      </c>
      <c r="N94" s="525">
        <v>2</v>
      </c>
      <c r="O94" s="334"/>
      <c r="P94" s="313"/>
      <c r="Q94" s="110"/>
      <c r="R94" s="93"/>
      <c r="S94" s="111"/>
      <c r="T94" s="93"/>
      <c r="U94" s="111"/>
      <c r="V94" s="93"/>
      <c r="W94" s="93"/>
      <c r="X94" s="14"/>
    </row>
    <row r="95" spans="1:24" s="1" customFormat="1" ht="40.5" customHeight="1" x14ac:dyDescent="0.2">
      <c r="A95" s="136"/>
      <c r="B95" s="1362"/>
      <c r="C95" s="1376"/>
      <c r="D95" s="1345"/>
      <c r="E95" s="1596"/>
      <c r="F95" s="1367"/>
      <c r="G95" s="1388"/>
      <c r="H95" s="551"/>
      <c r="I95" s="1103"/>
      <c r="J95" s="1423"/>
      <c r="K95" s="1424"/>
      <c r="L95" s="770"/>
      <c r="M95" s="471" t="s">
        <v>386</v>
      </c>
      <c r="N95" s="592"/>
      <c r="O95" s="320">
        <v>2</v>
      </c>
      <c r="P95" s="116"/>
      <c r="Q95" s="110"/>
      <c r="R95" s="93"/>
      <c r="S95" s="111"/>
      <c r="T95" s="93"/>
      <c r="U95" s="111"/>
      <c r="V95" s="93"/>
      <c r="W95" s="93"/>
      <c r="X95" s="14"/>
    </row>
    <row r="96" spans="1:24" s="1" customFormat="1" ht="30" customHeight="1" x14ac:dyDescent="0.2">
      <c r="A96" s="136"/>
      <c r="B96" s="1362"/>
      <c r="C96" s="1376"/>
      <c r="D96" s="1366" t="s">
        <v>21</v>
      </c>
      <c r="E96" s="1351" t="s">
        <v>148</v>
      </c>
      <c r="F96" s="123"/>
      <c r="G96" s="1099"/>
      <c r="H96" s="1100">
        <v>5</v>
      </c>
      <c r="I96" s="900"/>
      <c r="J96" s="280"/>
      <c r="K96" s="956"/>
      <c r="L96" s="678"/>
      <c r="M96" s="81" t="s">
        <v>150</v>
      </c>
      <c r="N96" s="332"/>
      <c r="O96" s="332">
        <v>50</v>
      </c>
      <c r="P96" s="171">
        <v>100</v>
      </c>
      <c r="U96" s="14"/>
    </row>
    <row r="97" spans="1:22" s="1" customFormat="1" ht="15.75" customHeight="1" thickBot="1" x14ac:dyDescent="0.25">
      <c r="A97" s="136"/>
      <c r="B97" s="1362"/>
      <c r="C97" s="1376"/>
      <c r="D97" s="1344" t="s">
        <v>34</v>
      </c>
      <c r="E97" s="1346" t="s">
        <v>114</v>
      </c>
      <c r="F97" s="1378" t="s">
        <v>36</v>
      </c>
      <c r="G97" s="986">
        <v>11010135</v>
      </c>
      <c r="H97" s="1379">
        <v>5</v>
      </c>
      <c r="I97" s="898" t="s">
        <v>18</v>
      </c>
      <c r="J97" s="498">
        <f>SUM(J83:J96)</f>
        <v>5881.2</v>
      </c>
      <c r="K97" s="241">
        <f>SUM(K83:K96)</f>
        <v>5236.2000000000007</v>
      </c>
      <c r="L97" s="498">
        <f>SUM(L83:L96)</f>
        <v>3323.3</v>
      </c>
      <c r="M97" s="987" t="s">
        <v>166</v>
      </c>
      <c r="N97" s="526"/>
      <c r="O97" s="527"/>
      <c r="P97" s="528">
        <v>10</v>
      </c>
      <c r="Q97" s="70"/>
      <c r="S97" s="14"/>
      <c r="T97" s="14"/>
      <c r="U97" s="14"/>
      <c r="V97" s="14"/>
    </row>
    <row r="98" spans="1:22" s="1" customFormat="1" ht="43.5" customHeight="1" x14ac:dyDescent="0.2">
      <c r="A98" s="139" t="s">
        <v>13</v>
      </c>
      <c r="B98" s="86" t="s">
        <v>21</v>
      </c>
      <c r="C98" s="24" t="s">
        <v>21</v>
      </c>
      <c r="D98" s="450"/>
      <c r="E98" s="95" t="s">
        <v>46</v>
      </c>
      <c r="F98" s="182"/>
      <c r="G98" s="195"/>
      <c r="H98" s="905"/>
      <c r="I98" s="17"/>
      <c r="J98" s="901"/>
      <c r="K98" s="646"/>
      <c r="L98" s="647"/>
      <c r="M98" s="1350"/>
      <c r="N98" s="379"/>
      <c r="O98" s="298"/>
      <c r="P98" s="299"/>
      <c r="T98" s="14"/>
      <c r="U98" s="14"/>
      <c r="V98" s="14"/>
    </row>
    <row r="99" spans="1:22" s="1" customFormat="1" ht="16.5" customHeight="1" x14ac:dyDescent="0.2">
      <c r="A99" s="140"/>
      <c r="B99" s="1108"/>
      <c r="C99" s="1376"/>
      <c r="D99" s="1344" t="s">
        <v>13</v>
      </c>
      <c r="E99" s="1576" t="s">
        <v>71</v>
      </c>
      <c r="F99" s="101"/>
      <c r="G99" s="1371">
        <v>11010130</v>
      </c>
      <c r="H99" s="906">
        <v>2</v>
      </c>
      <c r="I99" s="99" t="s">
        <v>17</v>
      </c>
      <c r="J99" s="249">
        <f>96</f>
        <v>96</v>
      </c>
      <c r="K99" s="836">
        <f>245.2+65</f>
        <v>310.2</v>
      </c>
      <c r="L99" s="482">
        <v>232</v>
      </c>
      <c r="M99" s="1459" t="s">
        <v>329</v>
      </c>
      <c r="N99" s="431">
        <v>5</v>
      </c>
      <c r="O99" s="292">
        <v>7</v>
      </c>
      <c r="P99" s="293">
        <v>1</v>
      </c>
      <c r="Q99" s="257"/>
      <c r="S99" s="49"/>
    </row>
    <row r="100" spans="1:22" s="1" customFormat="1" ht="16.5" customHeight="1" x14ac:dyDescent="0.2">
      <c r="A100" s="140"/>
      <c r="B100" s="1108"/>
      <c r="C100" s="1406"/>
      <c r="D100" s="1404"/>
      <c r="E100" s="1577"/>
      <c r="F100" s="101"/>
      <c r="G100" s="1405"/>
      <c r="H100" s="1418"/>
      <c r="I100" s="99" t="s">
        <v>79</v>
      </c>
      <c r="J100" s="249">
        <v>35</v>
      </c>
      <c r="K100" s="836"/>
      <c r="L100" s="482"/>
      <c r="M100" s="1581"/>
      <c r="N100" s="380"/>
      <c r="O100" s="309"/>
      <c r="P100" s="310"/>
      <c r="Q100" s="280"/>
      <c r="S100" s="49"/>
    </row>
    <row r="101" spans="1:22" s="1" customFormat="1" ht="16.5" customHeight="1" x14ac:dyDescent="0.2">
      <c r="A101" s="140"/>
      <c r="B101" s="1108"/>
      <c r="C101" s="1376"/>
      <c r="D101" s="1366"/>
      <c r="E101" s="1577"/>
      <c r="F101" s="101"/>
      <c r="G101" s="1363"/>
      <c r="H101" s="393">
        <v>6</v>
      </c>
      <c r="I101" s="99" t="s">
        <v>17</v>
      </c>
      <c r="J101" s="481">
        <v>60.6</v>
      </c>
      <c r="K101" s="836"/>
      <c r="L101" s="482"/>
      <c r="M101" s="1581"/>
      <c r="N101" s="380"/>
      <c r="O101" s="309"/>
      <c r="P101" s="310"/>
      <c r="Q101" s="280"/>
      <c r="S101" s="49"/>
    </row>
    <row r="102" spans="1:22" s="1" customFormat="1" ht="14.25" customHeight="1" x14ac:dyDescent="0.2">
      <c r="A102" s="132"/>
      <c r="B102" s="1362"/>
      <c r="C102" s="1374"/>
      <c r="D102" s="454"/>
      <c r="E102" s="1578"/>
      <c r="F102" s="980"/>
      <c r="G102" s="204"/>
      <c r="H102" s="1374"/>
      <c r="I102" s="186" t="s">
        <v>18</v>
      </c>
      <c r="J102" s="250">
        <f>SUM(J99:J101)</f>
        <v>191.6</v>
      </c>
      <c r="K102" s="256">
        <f>SUM(K99:K101)</f>
        <v>310.2</v>
      </c>
      <c r="L102" s="252">
        <f>SUM(L99:L99)</f>
        <v>232</v>
      </c>
      <c r="M102" s="922"/>
      <c r="N102" s="400"/>
      <c r="O102" s="344"/>
      <c r="P102" s="345"/>
      <c r="Q102" s="30"/>
      <c r="R102" s="51"/>
      <c r="S102" s="14"/>
      <c r="T102" s="14"/>
    </row>
    <row r="103" spans="1:22" s="1" customFormat="1" ht="29.25" customHeight="1" x14ac:dyDescent="0.2">
      <c r="A103" s="132"/>
      <c r="B103" s="1362"/>
      <c r="C103" s="1374"/>
      <c r="D103" s="453" t="s">
        <v>19</v>
      </c>
      <c r="E103" s="1576" t="s">
        <v>104</v>
      </c>
      <c r="F103" s="981"/>
      <c r="G103" s="1579" t="s">
        <v>133</v>
      </c>
      <c r="H103" s="711" t="s">
        <v>16</v>
      </c>
      <c r="I103" s="99" t="s">
        <v>17</v>
      </c>
      <c r="J103" s="481">
        <v>9.4</v>
      </c>
      <c r="K103" s="836">
        <v>64.3</v>
      </c>
      <c r="L103" s="482"/>
      <c r="M103" s="923" t="s">
        <v>363</v>
      </c>
      <c r="N103" s="592">
        <v>100</v>
      </c>
      <c r="O103" s="641"/>
      <c r="P103" s="335"/>
      <c r="Q103" s="903"/>
      <c r="R103" s="903"/>
      <c r="S103" s="14"/>
      <c r="T103" s="14"/>
      <c r="U103" s="14"/>
    </row>
    <row r="104" spans="1:22" s="1" customFormat="1" ht="29.25" customHeight="1" x14ac:dyDescent="0.2">
      <c r="A104" s="132"/>
      <c r="B104" s="1362"/>
      <c r="C104" s="1374"/>
      <c r="D104" s="453"/>
      <c r="E104" s="1577"/>
      <c r="F104" s="980"/>
      <c r="G104" s="1580"/>
      <c r="H104" s="1374"/>
      <c r="I104" s="539"/>
      <c r="J104" s="483"/>
      <c r="K104" s="258"/>
      <c r="L104" s="473"/>
      <c r="M104" s="1331" t="s">
        <v>364</v>
      </c>
      <c r="N104" s="525">
        <v>100</v>
      </c>
      <c r="O104" s="641"/>
      <c r="P104" s="335"/>
      <c r="Q104" s="30"/>
      <c r="R104" s="51"/>
      <c r="S104" s="14"/>
      <c r="T104" s="14"/>
      <c r="U104" s="14"/>
      <c r="V104" s="14"/>
    </row>
    <row r="105" spans="1:22" s="1" customFormat="1" ht="42" customHeight="1" x14ac:dyDescent="0.2">
      <c r="A105" s="132"/>
      <c r="B105" s="1362"/>
      <c r="C105" s="1374"/>
      <c r="D105" s="453"/>
      <c r="E105" s="96"/>
      <c r="F105" s="980"/>
      <c r="G105" s="204"/>
      <c r="H105" s="494"/>
      <c r="I105" s="539"/>
      <c r="J105" s="904"/>
      <c r="K105" s="258"/>
      <c r="L105" s="473"/>
      <c r="M105" s="923" t="s">
        <v>365</v>
      </c>
      <c r="N105" s="525"/>
      <c r="O105" s="650">
        <v>100</v>
      </c>
      <c r="P105" s="335"/>
      <c r="Q105" s="30"/>
      <c r="S105" s="14"/>
      <c r="T105" s="14"/>
    </row>
    <row r="106" spans="1:22" s="1" customFormat="1" ht="30.75" customHeight="1" x14ac:dyDescent="0.2">
      <c r="A106" s="132"/>
      <c r="B106" s="1362"/>
      <c r="C106" s="1374"/>
      <c r="D106" s="453"/>
      <c r="E106" s="96"/>
      <c r="F106" s="980"/>
      <c r="G106" s="204"/>
      <c r="H106" s="494"/>
      <c r="I106" s="539"/>
      <c r="J106" s="904"/>
      <c r="K106" s="258"/>
      <c r="L106" s="473"/>
      <c r="M106" s="1331" t="s">
        <v>366</v>
      </c>
      <c r="N106" s="525"/>
      <c r="O106" s="640">
        <v>100</v>
      </c>
      <c r="P106" s="116"/>
      <c r="Q106" s="30"/>
      <c r="T106" s="14"/>
    </row>
    <row r="107" spans="1:22" s="1" customFormat="1" ht="41.25" customHeight="1" x14ac:dyDescent="0.2">
      <c r="A107" s="132"/>
      <c r="B107" s="1362"/>
      <c r="C107" s="1374"/>
      <c r="D107" s="453"/>
      <c r="E107" s="96"/>
      <c r="F107" s="980"/>
      <c r="G107" s="204"/>
      <c r="H107" s="494"/>
      <c r="I107" s="539"/>
      <c r="J107" s="904"/>
      <c r="K107" s="258"/>
      <c r="L107" s="473"/>
      <c r="M107" s="1331" t="s">
        <v>367</v>
      </c>
      <c r="N107" s="525"/>
      <c r="O107" s="640">
        <v>100</v>
      </c>
      <c r="P107" s="313"/>
      <c r="Q107" s="30"/>
      <c r="R107" s="14"/>
      <c r="T107" s="14"/>
    </row>
    <row r="108" spans="1:22" s="1" customFormat="1" ht="17.25" customHeight="1" x14ac:dyDescent="0.2">
      <c r="A108" s="132"/>
      <c r="B108" s="1362"/>
      <c r="C108" s="1374"/>
      <c r="D108" s="453"/>
      <c r="E108" s="96"/>
      <c r="F108" s="980"/>
      <c r="G108" s="204"/>
      <c r="H108" s="494"/>
      <c r="I108" s="534"/>
      <c r="J108" s="479"/>
      <c r="K108" s="837"/>
      <c r="L108" s="478"/>
      <c r="M108" s="1622" t="s">
        <v>368</v>
      </c>
      <c r="N108" s="525"/>
      <c r="O108" s="517">
        <v>100</v>
      </c>
      <c r="P108" s="166"/>
      <c r="Q108" s="30"/>
      <c r="T108" s="14"/>
    </row>
    <row r="109" spans="1:22" s="1" customFormat="1" ht="14.25" customHeight="1" x14ac:dyDescent="0.2">
      <c r="A109" s="132"/>
      <c r="B109" s="1362"/>
      <c r="C109" s="1374"/>
      <c r="D109" s="453"/>
      <c r="E109" s="96"/>
      <c r="F109" s="980"/>
      <c r="G109" s="204"/>
      <c r="H109" s="494"/>
      <c r="I109" s="186" t="s">
        <v>18</v>
      </c>
      <c r="J109" s="250">
        <f>SUM(J103:J108)</f>
        <v>9.4</v>
      </c>
      <c r="K109" s="256">
        <f>SUM(K103:K108)</f>
        <v>64.3</v>
      </c>
      <c r="L109" s="252">
        <f>SUM(L103:L108)</f>
        <v>0</v>
      </c>
      <c r="M109" s="1623"/>
      <c r="N109" s="538"/>
      <c r="O109" s="336"/>
      <c r="P109" s="337"/>
      <c r="Q109" s="54"/>
      <c r="R109" s="14"/>
      <c r="S109" s="14"/>
      <c r="U109" s="14"/>
      <c r="V109" s="14"/>
    </row>
    <row r="110" spans="1:22" s="1" customFormat="1" ht="30" customHeight="1" x14ac:dyDescent="0.2">
      <c r="A110" s="136"/>
      <c r="B110" s="1362"/>
      <c r="C110" s="1374"/>
      <c r="D110" s="455" t="s">
        <v>21</v>
      </c>
      <c r="E110" s="1576" t="s">
        <v>154</v>
      </c>
      <c r="F110" s="981"/>
      <c r="G110" s="414"/>
      <c r="H110" s="710" t="s">
        <v>16</v>
      </c>
      <c r="I110" s="534" t="s">
        <v>17</v>
      </c>
      <c r="J110" s="208">
        <v>100</v>
      </c>
      <c r="K110" s="219">
        <v>100</v>
      </c>
      <c r="L110" s="902"/>
      <c r="M110" s="1600" t="s">
        <v>155</v>
      </c>
      <c r="N110" s="517">
        <v>50</v>
      </c>
      <c r="O110" s="312">
        <v>100</v>
      </c>
      <c r="P110" s="313"/>
      <c r="Q110" s="54"/>
      <c r="R110" s="14"/>
      <c r="S110" s="14"/>
      <c r="U110" s="14"/>
      <c r="V110" s="14"/>
    </row>
    <row r="111" spans="1:22" s="1" customFormat="1" ht="14.25" customHeight="1" x14ac:dyDescent="0.2">
      <c r="A111" s="136"/>
      <c r="B111" s="1362"/>
      <c r="C111" s="1374"/>
      <c r="D111" s="454"/>
      <c r="E111" s="1578"/>
      <c r="F111" s="982"/>
      <c r="G111" s="416"/>
      <c r="H111" s="712"/>
      <c r="I111" s="118" t="s">
        <v>18</v>
      </c>
      <c r="J111" s="250">
        <f>SUM(J110)</f>
        <v>100</v>
      </c>
      <c r="K111" s="256">
        <f>K110</f>
        <v>100</v>
      </c>
      <c r="L111" s="252"/>
      <c r="M111" s="1601"/>
      <c r="N111" s="357"/>
      <c r="O111" s="312"/>
      <c r="P111" s="313"/>
      <c r="Q111" s="54"/>
      <c r="R111" s="14"/>
      <c r="S111" s="14"/>
      <c r="U111" s="14"/>
      <c r="V111" s="14"/>
    </row>
    <row r="112" spans="1:22" s="1" customFormat="1" ht="15.75" customHeight="1" x14ac:dyDescent="0.2">
      <c r="A112" s="136"/>
      <c r="B112" s="1362"/>
      <c r="C112" s="1376"/>
      <c r="D112" s="1366" t="s">
        <v>34</v>
      </c>
      <c r="E112" s="102" t="s">
        <v>72</v>
      </c>
      <c r="F112" s="188"/>
      <c r="G112" s="1560">
        <v>11010100</v>
      </c>
      <c r="H112" s="550">
        <v>6</v>
      </c>
      <c r="I112" s="120" t="s">
        <v>17</v>
      </c>
      <c r="J112" s="907">
        <f>181.8-28.7</f>
        <v>153.10000000000002</v>
      </c>
      <c r="K112" s="908">
        <v>181.8</v>
      </c>
      <c r="L112" s="536">
        <v>181.8</v>
      </c>
      <c r="M112" s="78" t="s">
        <v>73</v>
      </c>
      <c r="N112" s="404">
        <v>6</v>
      </c>
      <c r="O112" s="419">
        <v>6</v>
      </c>
      <c r="P112" s="420">
        <v>6</v>
      </c>
      <c r="Q112" s="54"/>
      <c r="R112" s="14"/>
      <c r="V112" s="14"/>
    </row>
    <row r="113" spans="1:22" s="1" customFormat="1" ht="15.75" customHeight="1" x14ac:dyDescent="0.2">
      <c r="A113" s="136"/>
      <c r="B113" s="1410"/>
      <c r="C113" s="1413"/>
      <c r="D113" s="1412"/>
      <c r="E113" s="81"/>
      <c r="F113" s="64"/>
      <c r="G113" s="1602"/>
      <c r="H113" s="1086"/>
      <c r="I113" s="120" t="s">
        <v>79</v>
      </c>
      <c r="J113" s="907">
        <v>28.7</v>
      </c>
      <c r="K113" s="908"/>
      <c r="L113" s="536"/>
      <c r="M113" s="78"/>
      <c r="N113" s="407"/>
      <c r="O113" s="288"/>
      <c r="P113" s="289"/>
      <c r="Q113" s="54"/>
      <c r="R113" s="14"/>
      <c r="V113" s="14"/>
    </row>
    <row r="114" spans="1:22" s="1" customFormat="1" ht="15.75" customHeight="1" x14ac:dyDescent="0.2">
      <c r="A114" s="136"/>
      <c r="B114" s="1362"/>
      <c r="C114" s="1376"/>
      <c r="D114" s="1366"/>
      <c r="E114" s="81"/>
      <c r="F114" s="79"/>
      <c r="G114" s="1603"/>
      <c r="H114" s="551"/>
      <c r="I114" s="118" t="s">
        <v>18</v>
      </c>
      <c r="J114" s="426">
        <f>SUM(J112:J113)</f>
        <v>181.8</v>
      </c>
      <c r="K114" s="365">
        <f>SUM(K112:K112)</f>
        <v>181.8</v>
      </c>
      <c r="L114" s="427">
        <f>SUM(L112:L112)</f>
        <v>181.8</v>
      </c>
      <c r="M114" s="78"/>
      <c r="N114" s="407"/>
      <c r="O114" s="288"/>
      <c r="P114" s="289"/>
      <c r="Q114" s="30"/>
    </row>
    <row r="115" spans="1:22" s="1" customFormat="1" ht="13.5" customHeight="1" thickBot="1" x14ac:dyDescent="0.25">
      <c r="A115" s="132"/>
      <c r="B115" s="1362"/>
      <c r="C115" s="1374"/>
      <c r="D115" s="453"/>
      <c r="E115" s="1351"/>
      <c r="F115" s="1582" t="s">
        <v>45</v>
      </c>
      <c r="G115" s="1583"/>
      <c r="H115" s="1583"/>
      <c r="I115" s="1583"/>
      <c r="J115" s="209">
        <f>+J114+J109+J102+J111</f>
        <v>482.8</v>
      </c>
      <c r="K115" s="220">
        <f>+K114+K109+K102+K111</f>
        <v>656.3</v>
      </c>
      <c r="L115" s="216">
        <f>+L114+L109+L102+L111</f>
        <v>413.8</v>
      </c>
      <c r="M115" s="924"/>
      <c r="N115" s="927"/>
      <c r="O115" s="651"/>
      <c r="P115" s="652"/>
      <c r="Q115" s="32"/>
    </row>
    <row r="116" spans="1:22" s="1" customFormat="1" ht="26.25" customHeight="1" x14ac:dyDescent="0.2">
      <c r="A116" s="131" t="s">
        <v>13</v>
      </c>
      <c r="B116" s="1487" t="s">
        <v>21</v>
      </c>
      <c r="C116" s="1565" t="s">
        <v>34</v>
      </c>
      <c r="D116" s="451"/>
      <c r="E116" s="1604" t="s">
        <v>105</v>
      </c>
      <c r="F116" s="1606"/>
      <c r="G116" s="1453">
        <v>11020404</v>
      </c>
      <c r="H116" s="1613">
        <v>1</v>
      </c>
      <c r="I116" s="541" t="s">
        <v>79</v>
      </c>
      <c r="J116" s="257">
        <f>250.3+11</f>
        <v>261.3</v>
      </c>
      <c r="K116" s="255"/>
      <c r="L116" s="489"/>
      <c r="M116" s="1612" t="s">
        <v>107</v>
      </c>
      <c r="N116" s="909">
        <v>100</v>
      </c>
      <c r="O116" s="339"/>
      <c r="P116" s="340"/>
    </row>
    <row r="117" spans="1:22" s="1" customFormat="1" ht="15.75" customHeight="1" thickBot="1" x14ac:dyDescent="0.25">
      <c r="A117" s="134"/>
      <c r="B117" s="1489"/>
      <c r="C117" s="1566"/>
      <c r="D117" s="452"/>
      <c r="E117" s="1605"/>
      <c r="F117" s="1607"/>
      <c r="G117" s="1455"/>
      <c r="H117" s="1614"/>
      <c r="I117" s="121" t="s">
        <v>18</v>
      </c>
      <c r="J117" s="209">
        <f>SUM(J116:J116)</f>
        <v>261.3</v>
      </c>
      <c r="K117" s="220">
        <f>SUM(K116:K116)</f>
        <v>0</v>
      </c>
      <c r="L117" s="216">
        <f>SUM(L116:L116)</f>
        <v>0</v>
      </c>
      <c r="M117" s="1482"/>
      <c r="N117" s="433"/>
      <c r="O117" s="315"/>
      <c r="P117" s="316"/>
    </row>
    <row r="118" spans="1:22" s="1" customFormat="1" ht="14.25" customHeight="1" thickBot="1" x14ac:dyDescent="0.25">
      <c r="A118" s="127" t="s">
        <v>13</v>
      </c>
      <c r="B118" s="31" t="s">
        <v>21</v>
      </c>
      <c r="C118" s="1534" t="s">
        <v>22</v>
      </c>
      <c r="D118" s="1534"/>
      <c r="E118" s="1534"/>
      <c r="F118" s="1534"/>
      <c r="G118" s="1534"/>
      <c r="H118" s="1534"/>
      <c r="I118" s="1568"/>
      <c r="J118" s="238">
        <f>+J115+J97+J117+J82</f>
        <v>6643.3</v>
      </c>
      <c r="K118" s="247">
        <f>+K115+K97+K117+K82</f>
        <v>5892.5000000000009</v>
      </c>
      <c r="L118" s="428">
        <f>+L115+L97+L117+L82</f>
        <v>3737.1000000000004</v>
      </c>
      <c r="M118" s="1615"/>
      <c r="N118" s="1616"/>
      <c r="O118" s="1616"/>
      <c r="P118" s="1617"/>
      <c r="Q118" s="1597"/>
      <c r="S118" s="14"/>
    </row>
    <row r="119" spans="1:22" s="1" customFormat="1" ht="14.25" customHeight="1" thickBot="1" x14ac:dyDescent="0.25">
      <c r="A119" s="142" t="s">
        <v>13</v>
      </c>
      <c r="B119" s="31" t="s">
        <v>34</v>
      </c>
      <c r="C119" s="1598" t="s">
        <v>47</v>
      </c>
      <c r="D119" s="1599"/>
      <c r="E119" s="1599"/>
      <c r="F119" s="1599"/>
      <c r="G119" s="1599"/>
      <c r="H119" s="1599"/>
      <c r="I119" s="1599"/>
      <c r="J119" s="1599"/>
      <c r="K119" s="1599"/>
      <c r="L119" s="1599"/>
      <c r="M119" s="1599"/>
      <c r="N119" s="346"/>
      <c r="O119" s="346"/>
      <c r="P119" s="347"/>
      <c r="Q119" s="1597"/>
      <c r="S119" s="14"/>
    </row>
    <row r="120" spans="1:22" s="1" customFormat="1" ht="29.25" customHeight="1" x14ac:dyDescent="0.2">
      <c r="A120" s="131" t="s">
        <v>13</v>
      </c>
      <c r="B120" s="1332" t="s">
        <v>34</v>
      </c>
      <c r="C120" s="10" t="s">
        <v>13</v>
      </c>
      <c r="D120" s="447"/>
      <c r="E120" s="1525" t="s">
        <v>217</v>
      </c>
      <c r="F120" s="983"/>
      <c r="G120" s="1373">
        <v>11030607</v>
      </c>
      <c r="H120" s="61" t="s">
        <v>16</v>
      </c>
      <c r="I120" s="119" t="s">
        <v>17</v>
      </c>
      <c r="J120" s="207">
        <f>755.3+250-30</f>
        <v>975.3</v>
      </c>
      <c r="K120" s="470">
        <f>755.3+250.7-250</f>
        <v>756</v>
      </c>
      <c r="L120" s="476">
        <f>755.3+250.7-250</f>
        <v>756</v>
      </c>
      <c r="M120" s="1624" t="s">
        <v>118</v>
      </c>
      <c r="N120" s="909">
        <v>6</v>
      </c>
      <c r="O120" s="339">
        <v>6</v>
      </c>
      <c r="P120" s="340">
        <v>7</v>
      </c>
      <c r="Q120" s="1597"/>
      <c r="T120" s="14"/>
    </row>
    <row r="121" spans="1:22" s="1" customFormat="1" ht="15" customHeight="1" thickBot="1" x14ac:dyDescent="0.25">
      <c r="A121" s="134"/>
      <c r="B121" s="1333"/>
      <c r="C121" s="15"/>
      <c r="D121" s="448"/>
      <c r="E121" s="1559"/>
      <c r="F121" s="984"/>
      <c r="G121" s="1349"/>
      <c r="H121" s="62"/>
      <c r="I121" s="121" t="s">
        <v>18</v>
      </c>
      <c r="J121" s="209">
        <f>SUM(J120:J120)</f>
        <v>975.3</v>
      </c>
      <c r="K121" s="220">
        <f>SUM(K120:K120)</f>
        <v>756</v>
      </c>
      <c r="L121" s="216">
        <f>SUM(L120:L120)</f>
        <v>756</v>
      </c>
      <c r="M121" s="1625"/>
      <c r="N121" s="314"/>
      <c r="O121" s="315"/>
      <c r="P121" s="316"/>
      <c r="Q121" s="1336"/>
      <c r="R121" s="30"/>
    </row>
    <row r="122" spans="1:22" s="1" customFormat="1" ht="32.25" customHeight="1" x14ac:dyDescent="0.2">
      <c r="A122" s="131" t="s">
        <v>13</v>
      </c>
      <c r="B122" s="1487" t="s">
        <v>34</v>
      </c>
      <c r="C122" s="1565" t="s">
        <v>19</v>
      </c>
      <c r="D122" s="451"/>
      <c r="E122" s="1604" t="s">
        <v>218</v>
      </c>
      <c r="F122" s="1608"/>
      <c r="G122" s="1339">
        <v>11030701</v>
      </c>
      <c r="H122" s="1610" t="s">
        <v>16</v>
      </c>
      <c r="I122" s="46" t="s">
        <v>17</v>
      </c>
      <c r="J122" s="207">
        <v>50</v>
      </c>
      <c r="K122" s="255">
        <f>60-10</f>
        <v>50</v>
      </c>
      <c r="L122" s="281">
        <f>70-20</f>
        <v>50</v>
      </c>
      <c r="M122" s="1612" t="s">
        <v>48</v>
      </c>
      <c r="N122" s="339">
        <v>25</v>
      </c>
      <c r="O122" s="339">
        <v>25</v>
      </c>
      <c r="P122" s="961">
        <v>25</v>
      </c>
      <c r="T122" s="14"/>
      <c r="U122" s="14"/>
    </row>
    <row r="123" spans="1:22" s="1" customFormat="1" ht="13.5" thickBot="1" x14ac:dyDescent="0.25">
      <c r="A123" s="134"/>
      <c r="B123" s="1489"/>
      <c r="C123" s="1566"/>
      <c r="D123" s="452"/>
      <c r="E123" s="1605"/>
      <c r="F123" s="1609"/>
      <c r="G123" s="1340"/>
      <c r="H123" s="1611"/>
      <c r="I123" s="45" t="s">
        <v>18</v>
      </c>
      <c r="J123" s="209">
        <f t="shared" ref="J123:L123" si="3">SUM(J122:J122)</f>
        <v>50</v>
      </c>
      <c r="K123" s="220">
        <f t="shared" si="3"/>
        <v>50</v>
      </c>
      <c r="L123" s="216">
        <f t="shared" si="3"/>
        <v>50</v>
      </c>
      <c r="M123" s="1482"/>
      <c r="N123" s="315"/>
      <c r="O123" s="315"/>
      <c r="P123" s="316"/>
    </row>
    <row r="124" spans="1:22" s="1" customFormat="1" ht="13.5" thickBot="1" x14ac:dyDescent="0.25">
      <c r="A124" s="127" t="s">
        <v>13</v>
      </c>
      <c r="B124" s="31" t="s">
        <v>34</v>
      </c>
      <c r="C124" s="1534" t="s">
        <v>22</v>
      </c>
      <c r="D124" s="1534"/>
      <c r="E124" s="1534"/>
      <c r="F124" s="1534"/>
      <c r="G124" s="1534"/>
      <c r="H124" s="1534"/>
      <c r="I124" s="1534"/>
      <c r="J124" s="8">
        <f t="shared" ref="J124:L124" si="4">J123+J121</f>
        <v>1025.3</v>
      </c>
      <c r="K124" s="225">
        <f t="shared" si="4"/>
        <v>806</v>
      </c>
      <c r="L124" s="556">
        <f t="shared" si="4"/>
        <v>806</v>
      </c>
      <c r="M124" s="1635"/>
      <c r="N124" s="1636"/>
      <c r="O124" s="1636"/>
      <c r="P124" s="1637"/>
    </row>
    <row r="125" spans="1:22" s="93" customFormat="1" ht="13.5" thickBot="1" x14ac:dyDescent="0.25">
      <c r="A125" s="127" t="s">
        <v>13</v>
      </c>
      <c r="B125" s="1638" t="s">
        <v>49</v>
      </c>
      <c r="C125" s="1639"/>
      <c r="D125" s="1639"/>
      <c r="E125" s="1639"/>
      <c r="F125" s="1639"/>
      <c r="G125" s="1639"/>
      <c r="H125" s="1639"/>
      <c r="I125" s="1639"/>
      <c r="J125" s="557">
        <f>J118+J79+J29+J124</f>
        <v>14712.7</v>
      </c>
      <c r="K125" s="558">
        <f>K118+K79+K29+K124</f>
        <v>13686.600000000002</v>
      </c>
      <c r="L125" s="705">
        <f>L118+L79+L29+L124</f>
        <v>11427.9</v>
      </c>
      <c r="M125" s="143"/>
      <c r="N125" s="351"/>
      <c r="O125" s="351"/>
      <c r="P125" s="144"/>
    </row>
    <row r="126" spans="1:22" s="93" customFormat="1" ht="13.5" thickBot="1" x14ac:dyDescent="0.25">
      <c r="A126" s="145" t="s">
        <v>50</v>
      </c>
      <c r="B126" s="1640" t="s">
        <v>51</v>
      </c>
      <c r="C126" s="1641"/>
      <c r="D126" s="1641"/>
      <c r="E126" s="1641"/>
      <c r="F126" s="1641"/>
      <c r="G126" s="1641"/>
      <c r="H126" s="1641"/>
      <c r="I126" s="1641"/>
      <c r="J126" s="559">
        <f t="shared" ref="J126:L126" si="5">J125</f>
        <v>14712.7</v>
      </c>
      <c r="K126" s="560">
        <f t="shared" si="5"/>
        <v>13686.600000000002</v>
      </c>
      <c r="L126" s="706">
        <f t="shared" si="5"/>
        <v>11427.9</v>
      </c>
      <c r="M126" s="146"/>
      <c r="N126" s="352"/>
      <c r="O126" s="352"/>
      <c r="P126" s="147"/>
    </row>
    <row r="127" spans="1:22" s="1" customFormat="1" ht="21.75" customHeight="1" thickBot="1" x14ac:dyDescent="0.25">
      <c r="A127" s="35"/>
      <c r="B127" s="1642" t="s">
        <v>52</v>
      </c>
      <c r="C127" s="1642"/>
      <c r="D127" s="1642"/>
      <c r="E127" s="1642"/>
      <c r="F127" s="1642"/>
      <c r="G127" s="1642"/>
      <c r="H127" s="1642"/>
      <c r="I127" s="1642"/>
      <c r="J127" s="1642"/>
      <c r="K127" s="1642"/>
      <c r="L127" s="1642"/>
      <c r="M127" s="37"/>
      <c r="N127" s="1081"/>
      <c r="O127" s="1081"/>
      <c r="P127" s="1081"/>
    </row>
    <row r="128" spans="1:22" s="1" customFormat="1" ht="38.25" customHeight="1" x14ac:dyDescent="0.2">
      <c r="A128" s="36"/>
      <c r="B128" s="1643" t="s">
        <v>53</v>
      </c>
      <c r="C128" s="1644"/>
      <c r="D128" s="1644"/>
      <c r="E128" s="1644"/>
      <c r="F128" s="1644"/>
      <c r="G128" s="1644"/>
      <c r="H128" s="1644"/>
      <c r="I128" s="1644"/>
      <c r="J128" s="725" t="s">
        <v>139</v>
      </c>
      <c r="K128" s="726" t="s">
        <v>140</v>
      </c>
      <c r="L128" s="727" t="s">
        <v>141</v>
      </c>
      <c r="M128" s="38"/>
      <c r="N128" s="155"/>
      <c r="O128" s="155"/>
      <c r="P128" s="155"/>
    </row>
    <row r="129" spans="1:28" s="1" customFormat="1" x14ac:dyDescent="0.2">
      <c r="A129" s="36"/>
      <c r="B129" s="1626" t="s">
        <v>54</v>
      </c>
      <c r="C129" s="1627"/>
      <c r="D129" s="1627"/>
      <c r="E129" s="1627"/>
      <c r="F129" s="1627"/>
      <c r="G129" s="1627"/>
      <c r="H129" s="1627"/>
      <c r="I129" s="1627"/>
      <c r="J129" s="562">
        <f>SUM(J130:J136)</f>
        <v>14694.1</v>
      </c>
      <c r="K129" s="561">
        <f>SUM(K130:K135)</f>
        <v>12550.899999999998</v>
      </c>
      <c r="L129" s="720">
        <f>SUM(L130:L135)</f>
        <v>10692.8</v>
      </c>
      <c r="M129" s="39"/>
      <c r="N129" s="153"/>
      <c r="O129" s="153"/>
      <c r="P129" s="153"/>
      <c r="S129" s="14"/>
    </row>
    <row r="130" spans="1:28" s="1" customFormat="1" ht="12.75" customHeight="1" x14ac:dyDescent="0.2">
      <c r="A130" s="36"/>
      <c r="B130" s="1629" t="s">
        <v>55</v>
      </c>
      <c r="C130" s="1630"/>
      <c r="D130" s="1630"/>
      <c r="E130" s="1630"/>
      <c r="F130" s="1630"/>
      <c r="G130" s="1630"/>
      <c r="H130" s="1630"/>
      <c r="I130" s="1630"/>
      <c r="J130" s="564">
        <f>SUMIF(I13:I122,"sb",J13:J122)</f>
        <v>8550</v>
      </c>
      <c r="K130" s="565">
        <f>SUMIF(I13:I122,"sb",K13:K122)</f>
        <v>8105.6999999999989</v>
      </c>
      <c r="L130" s="566">
        <f>SUMIF(I13:I122,"sb",L13:L122)</f>
        <v>10342.5</v>
      </c>
      <c r="M130" s="191"/>
      <c r="N130" s="353"/>
      <c r="O130" s="353"/>
      <c r="P130" s="353"/>
    </row>
    <row r="131" spans="1:28" s="1" customFormat="1" ht="29.25" customHeight="1" x14ac:dyDescent="0.2">
      <c r="A131" s="36"/>
      <c r="B131" s="1439" t="s">
        <v>370</v>
      </c>
      <c r="C131" s="1440"/>
      <c r="D131" s="1440"/>
      <c r="E131" s="1440"/>
      <c r="F131" s="1440"/>
      <c r="G131" s="1440"/>
      <c r="H131" s="1440"/>
      <c r="I131" s="1441"/>
      <c r="J131" s="564">
        <f>SUMIF(I14:I123,"sb(es)",J14:J123)</f>
        <v>583.20000000000005</v>
      </c>
      <c r="K131" s="575">
        <f>SUMIF(I14:I123,"sb(es)",K14:K123)</f>
        <v>621.70000000000005</v>
      </c>
      <c r="L131" s="566">
        <f>SUMIF(I14:I123,"sb(es)",L14:L123)</f>
        <v>0</v>
      </c>
      <c r="M131" s="191"/>
      <c r="N131" s="353"/>
      <c r="O131" s="353"/>
      <c r="P131" s="353"/>
    </row>
    <row r="132" spans="1:28" s="1" customFormat="1" ht="15.75" customHeight="1" x14ac:dyDescent="0.2">
      <c r="A132" s="36"/>
      <c r="B132" s="1439" t="s">
        <v>371</v>
      </c>
      <c r="C132" s="1440"/>
      <c r="D132" s="1440"/>
      <c r="E132" s="1440"/>
      <c r="F132" s="1440"/>
      <c r="G132" s="1440"/>
      <c r="H132" s="1440"/>
      <c r="I132" s="1441"/>
      <c r="J132" s="564">
        <f>SUMIF(I15:I124,"sb(vb)",J15:J124)</f>
        <v>51.5</v>
      </c>
      <c r="K132" s="575">
        <f>SUMIF(I15:I124,"sb(vb)",K15:K124)</f>
        <v>54.9</v>
      </c>
      <c r="L132" s="566">
        <f>SUMIF(I15:I124,"sb(vb)",L15:L124)</f>
        <v>0</v>
      </c>
      <c r="M132" s="191"/>
      <c r="N132" s="353"/>
      <c r="O132" s="353"/>
      <c r="P132" s="353"/>
    </row>
    <row r="133" spans="1:28" s="1" customFormat="1" ht="12.75" customHeight="1" x14ac:dyDescent="0.2">
      <c r="A133" s="36"/>
      <c r="B133" s="1631" t="s">
        <v>313</v>
      </c>
      <c r="C133" s="1632"/>
      <c r="D133" s="1632"/>
      <c r="E133" s="1632"/>
      <c r="F133" s="1632"/>
      <c r="G133" s="1632"/>
      <c r="H133" s="1632"/>
      <c r="I133" s="1632"/>
      <c r="J133" s="564">
        <f>SUMIF(I13:I123,"sb(p)",J13:J123)</f>
        <v>2700</v>
      </c>
      <c r="K133" s="575">
        <f>SUMIF(I13:I123,"sb(p)",K13:K123)</f>
        <v>1913.5</v>
      </c>
      <c r="L133" s="566"/>
      <c r="M133" s="191"/>
      <c r="N133" s="353"/>
      <c r="O133" s="353"/>
      <c r="P133" s="353"/>
    </row>
    <row r="134" spans="1:28" s="1" customFormat="1" ht="12.75" customHeight="1" x14ac:dyDescent="0.2">
      <c r="A134" s="36"/>
      <c r="B134" s="1633" t="s">
        <v>80</v>
      </c>
      <c r="C134" s="1634"/>
      <c r="D134" s="1634"/>
      <c r="E134" s="1634"/>
      <c r="F134" s="1634"/>
      <c r="G134" s="1634"/>
      <c r="H134" s="1634"/>
      <c r="I134" s="1634"/>
      <c r="J134" s="234">
        <f>SUMIF(I17:I123,"sb(l)",J17:J123)</f>
        <v>2393.5</v>
      </c>
      <c r="K134" s="243">
        <f>SUMIF(I17:I123,"sb(l)",K17:K123)</f>
        <v>1504.8</v>
      </c>
      <c r="L134" s="491">
        <f>SUMIF(I17:I123,"sb(l)",L17:L123)</f>
        <v>0</v>
      </c>
      <c r="M134" s="1082"/>
      <c r="N134" s="154"/>
      <c r="O134" s="154"/>
      <c r="P134" s="154"/>
      <c r="U134" s="14"/>
    </row>
    <row r="135" spans="1:28" s="1" customFormat="1" ht="15" customHeight="1" x14ac:dyDescent="0.2">
      <c r="A135" s="36"/>
      <c r="B135" s="1439" t="s">
        <v>56</v>
      </c>
      <c r="C135" s="1440"/>
      <c r="D135" s="1440"/>
      <c r="E135" s="1440"/>
      <c r="F135" s="1440"/>
      <c r="G135" s="1440"/>
      <c r="H135" s="1440"/>
      <c r="I135" s="1440"/>
      <c r="J135" s="569">
        <f>SUMIF(I13:I122,"sb(sp)",J13:J122)</f>
        <v>350.3</v>
      </c>
      <c r="K135" s="568">
        <f>SUMIF(I13:I122,"sb(sp)",K13:K122)</f>
        <v>350.3</v>
      </c>
      <c r="L135" s="721">
        <f>SUMIF(I13:I122,"sb(sp)",L13:L122)</f>
        <v>350.3</v>
      </c>
      <c r="M135" s="1082"/>
      <c r="N135" s="154"/>
      <c r="O135" s="154"/>
      <c r="P135" s="154"/>
    </row>
    <row r="136" spans="1:28" s="1" customFormat="1" ht="15" customHeight="1" x14ac:dyDescent="0.2">
      <c r="A136" s="36"/>
      <c r="B136" s="1439" t="s">
        <v>78</v>
      </c>
      <c r="C136" s="1440"/>
      <c r="D136" s="1440"/>
      <c r="E136" s="1440"/>
      <c r="F136" s="1440"/>
      <c r="G136" s="1440"/>
      <c r="H136" s="1440"/>
      <c r="I136" s="1441"/>
      <c r="J136" s="569">
        <f>SUMIF(I14:I123,"sb(spl)",J14:J123)</f>
        <v>65.599999999999994</v>
      </c>
      <c r="K136" s="568"/>
      <c r="L136" s="721"/>
      <c r="M136" s="1082"/>
      <c r="N136" s="154"/>
      <c r="O136" s="154"/>
      <c r="P136" s="154"/>
    </row>
    <row r="137" spans="1:28" s="1" customFormat="1" x14ac:dyDescent="0.2">
      <c r="A137" s="36"/>
      <c r="B137" s="1626" t="s">
        <v>58</v>
      </c>
      <c r="C137" s="1627"/>
      <c r="D137" s="1627"/>
      <c r="E137" s="1627"/>
      <c r="F137" s="1627"/>
      <c r="G137" s="1627"/>
      <c r="H137" s="1627"/>
      <c r="I137" s="1628"/>
      <c r="J137" s="573">
        <f>SUM(J138:J138)</f>
        <v>18.600000000000001</v>
      </c>
      <c r="K137" s="572">
        <f>SUM(K138:K138)</f>
        <v>1135.6999999999998</v>
      </c>
      <c r="L137" s="723">
        <f>SUM(L138:L138)</f>
        <v>735.1</v>
      </c>
      <c r="M137" s="39"/>
      <c r="N137" s="153"/>
      <c r="O137" s="153"/>
      <c r="P137" s="153"/>
    </row>
    <row r="138" spans="1:28" s="1" customFormat="1" x14ac:dyDescent="0.2">
      <c r="A138" s="36"/>
      <c r="B138" s="1629" t="s">
        <v>60</v>
      </c>
      <c r="C138" s="1630"/>
      <c r="D138" s="1630"/>
      <c r="E138" s="1630"/>
      <c r="F138" s="1630"/>
      <c r="G138" s="1630"/>
      <c r="H138" s="1630"/>
      <c r="I138" s="1630"/>
      <c r="J138" s="576">
        <f>SUMIF(I13:I122,"lrvb",J13:J122)</f>
        <v>18.600000000000001</v>
      </c>
      <c r="K138" s="575">
        <f>SUMIF(I13:I122,"lrvb",K13:K122)</f>
        <v>1135.6999999999998</v>
      </c>
      <c r="L138" s="577">
        <f>SUMIF(I13:I122,"lrvb",L13:L122)</f>
        <v>735.1</v>
      </c>
      <c r="M138" s="1082"/>
      <c r="N138" s="154"/>
      <c r="O138" s="154"/>
      <c r="P138" s="154"/>
      <c r="V138" s="14"/>
      <c r="AB138" s="14"/>
    </row>
    <row r="139" spans="1:28" ht="13.5" thickBot="1" x14ac:dyDescent="0.25">
      <c r="A139" s="40"/>
      <c r="B139" s="1619" t="s">
        <v>18</v>
      </c>
      <c r="C139" s="1620"/>
      <c r="D139" s="1620"/>
      <c r="E139" s="1620"/>
      <c r="F139" s="1620"/>
      <c r="G139" s="1620"/>
      <c r="H139" s="1620"/>
      <c r="I139" s="1621"/>
      <c r="J139" s="508">
        <f>J137+J129</f>
        <v>14712.7</v>
      </c>
      <c r="K139" s="509">
        <f>K137+K129</f>
        <v>13686.599999999999</v>
      </c>
      <c r="L139" s="370">
        <f>L137+L129</f>
        <v>11427.9</v>
      </c>
      <c r="M139" s="41"/>
      <c r="N139" s="152"/>
      <c r="O139" s="152"/>
      <c r="P139" s="152"/>
    </row>
    <row r="140" spans="1:28" x14ac:dyDescent="0.2">
      <c r="F140" s="1113" t="s">
        <v>137</v>
      </c>
      <c r="G140" s="1113"/>
      <c r="H140" s="1113"/>
      <c r="I140" s="1113"/>
      <c r="J140" s="1370"/>
      <c r="K140" s="1370"/>
      <c r="L140" s="1370"/>
    </row>
    <row r="141" spans="1:28" x14ac:dyDescent="0.2">
      <c r="J141" s="53"/>
      <c r="K141" s="53"/>
      <c r="L141" s="53"/>
    </row>
    <row r="142" spans="1:28" x14ac:dyDescent="0.2">
      <c r="J142" s="53"/>
      <c r="K142" s="53"/>
      <c r="L142" s="53"/>
    </row>
    <row r="143" spans="1:28" x14ac:dyDescent="0.2">
      <c r="J143" s="53"/>
      <c r="K143" s="53"/>
      <c r="L143" s="53"/>
    </row>
    <row r="144" spans="1:28" x14ac:dyDescent="0.2">
      <c r="J144" s="53"/>
      <c r="K144" s="53"/>
      <c r="L144" s="53"/>
    </row>
    <row r="145" spans="10:12" x14ac:dyDescent="0.2">
      <c r="J145" s="53"/>
      <c r="K145" s="53"/>
      <c r="L145" s="53"/>
    </row>
  </sheetData>
  <mergeCells count="151">
    <mergeCell ref="B131:I131"/>
    <mergeCell ref="B132:I132"/>
    <mergeCell ref="L1:P1"/>
    <mergeCell ref="M19:M20"/>
    <mergeCell ref="E54:E55"/>
    <mergeCell ref="B139:I139"/>
    <mergeCell ref="E67:E68"/>
    <mergeCell ref="M108:M109"/>
    <mergeCell ref="E120:E121"/>
    <mergeCell ref="M120:M121"/>
    <mergeCell ref="B137:I137"/>
    <mergeCell ref="B138:I138"/>
    <mergeCell ref="B129:I129"/>
    <mergeCell ref="B130:I130"/>
    <mergeCell ref="B133:I133"/>
    <mergeCell ref="B134:I134"/>
    <mergeCell ref="B135:I135"/>
    <mergeCell ref="C124:I124"/>
    <mergeCell ref="M124:P124"/>
    <mergeCell ref="B125:I125"/>
    <mergeCell ref="B126:I126"/>
    <mergeCell ref="B127:L127"/>
    <mergeCell ref="B128:I128"/>
    <mergeCell ref="B122:B123"/>
    <mergeCell ref="C122:C123"/>
    <mergeCell ref="E122:E123"/>
    <mergeCell ref="F122:F123"/>
    <mergeCell ref="H122:H123"/>
    <mergeCell ref="M122:M123"/>
    <mergeCell ref="H116:H117"/>
    <mergeCell ref="M116:M117"/>
    <mergeCell ref="C118:I118"/>
    <mergeCell ref="M118:P118"/>
    <mergeCell ref="Q118:Q120"/>
    <mergeCell ref="C119:M119"/>
    <mergeCell ref="E110:E111"/>
    <mergeCell ref="M110:M111"/>
    <mergeCell ref="G112:G114"/>
    <mergeCell ref="B116:B117"/>
    <mergeCell ref="C116:C117"/>
    <mergeCell ref="E116:E117"/>
    <mergeCell ref="F116:F117"/>
    <mergeCell ref="G116:G117"/>
    <mergeCell ref="E99:E102"/>
    <mergeCell ref="E103:E104"/>
    <mergeCell ref="G103:G104"/>
    <mergeCell ref="M99:M101"/>
    <mergeCell ref="F115:I115"/>
    <mergeCell ref="M92:M93"/>
    <mergeCell ref="G89:G90"/>
    <mergeCell ref="F90:F91"/>
    <mergeCell ref="D92:D93"/>
    <mergeCell ref="E92:E93"/>
    <mergeCell ref="F92:F93"/>
    <mergeCell ref="H92:H93"/>
    <mergeCell ref="E94:E95"/>
    <mergeCell ref="C80:P80"/>
    <mergeCell ref="B81:B82"/>
    <mergeCell ref="C81:C82"/>
    <mergeCell ref="E81:E82"/>
    <mergeCell ref="E83:E85"/>
    <mergeCell ref="M77:M78"/>
    <mergeCell ref="C79:I79"/>
    <mergeCell ref="M79:P79"/>
    <mergeCell ref="E75:E76"/>
    <mergeCell ref="G75:G76"/>
    <mergeCell ref="E77:E78"/>
    <mergeCell ref="G77:G78"/>
    <mergeCell ref="M69:M70"/>
    <mergeCell ref="E71:E72"/>
    <mergeCell ref="G71:G72"/>
    <mergeCell ref="M71:M72"/>
    <mergeCell ref="E73:E74"/>
    <mergeCell ref="G73:G74"/>
    <mergeCell ref="E69:E70"/>
    <mergeCell ref="G69:G70"/>
    <mergeCell ref="E59:E60"/>
    <mergeCell ref="G59:G60"/>
    <mergeCell ref="E61:E62"/>
    <mergeCell ref="M67:M68"/>
    <mergeCell ref="E51:E52"/>
    <mergeCell ref="E45:E46"/>
    <mergeCell ref="E38:E39"/>
    <mergeCell ref="E31:E32"/>
    <mergeCell ref="F54:F57"/>
    <mergeCell ref="M22:M23"/>
    <mergeCell ref="A27:A28"/>
    <mergeCell ref="B27:B28"/>
    <mergeCell ref="C27:C28"/>
    <mergeCell ref="E27:E28"/>
    <mergeCell ref="F27:F28"/>
    <mergeCell ref="C30:P30"/>
    <mergeCell ref="E48:E49"/>
    <mergeCell ref="P27:P28"/>
    <mergeCell ref="C29:I29"/>
    <mergeCell ref="M29:P29"/>
    <mergeCell ref="H27:H28"/>
    <mergeCell ref="M27:M28"/>
    <mergeCell ref="N27:N28"/>
    <mergeCell ref="O27:O28"/>
    <mergeCell ref="M31:M32"/>
    <mergeCell ref="G27:G28"/>
    <mergeCell ref="A24:A26"/>
    <mergeCell ref="B24:B26"/>
    <mergeCell ref="F21:F23"/>
    <mergeCell ref="G21:G23"/>
    <mergeCell ref="H21:H23"/>
    <mergeCell ref="A18:A20"/>
    <mergeCell ref="B18:B20"/>
    <mergeCell ref="C18:C20"/>
    <mergeCell ref="E18:E20"/>
    <mergeCell ref="F18:F20"/>
    <mergeCell ref="G18:G20"/>
    <mergeCell ref="A2:P2"/>
    <mergeCell ref="A3:P3"/>
    <mergeCell ref="A4:P4"/>
    <mergeCell ref="A6:A8"/>
    <mergeCell ref="B6:B8"/>
    <mergeCell ref="C6:C8"/>
    <mergeCell ref="E6:E8"/>
    <mergeCell ref="F6:F8"/>
    <mergeCell ref="G6:G8"/>
    <mergeCell ref="H6:H8"/>
    <mergeCell ref="I6:I8"/>
    <mergeCell ref="J6:J8"/>
    <mergeCell ref="K6:K8"/>
    <mergeCell ref="O5:P5"/>
    <mergeCell ref="B136:I136"/>
    <mergeCell ref="B11:P11"/>
    <mergeCell ref="C12:P12"/>
    <mergeCell ref="E13:E14"/>
    <mergeCell ref="F13:F17"/>
    <mergeCell ref="G13:G17"/>
    <mergeCell ref="H13:H17"/>
    <mergeCell ref="M16:M17"/>
    <mergeCell ref="L6:L8"/>
    <mergeCell ref="M6:P6"/>
    <mergeCell ref="M7:M8"/>
    <mergeCell ref="N7:P7"/>
    <mergeCell ref="A9:P9"/>
    <mergeCell ref="A10:P10"/>
    <mergeCell ref="C24:C26"/>
    <mergeCell ref="E24:E26"/>
    <mergeCell ref="F24:F26"/>
    <mergeCell ref="G24:G26"/>
    <mergeCell ref="M25:M26"/>
    <mergeCell ref="H18:H20"/>
    <mergeCell ref="A21:A23"/>
    <mergeCell ref="B21:B23"/>
    <mergeCell ref="C21:C23"/>
    <mergeCell ref="E21:E23"/>
  </mergeCells>
  <printOptions horizontalCentered="1"/>
  <pageMargins left="0.70866141732283472" right="0.39370078740157483" top="0.39370078740157483" bottom="0.39370078740157483" header="0.31496062992125984" footer="0.31496062992125984"/>
  <pageSetup paperSize="9" scale="74" orientation="portrait" r:id="rId1"/>
  <rowBreaks count="3" manualBreakCount="3">
    <brk id="44" max="15" man="1"/>
    <brk id="91" max="15" man="1"/>
    <brk id="126" max="15" man="1"/>
  </rowBreaks>
  <colBreaks count="1" manualBreakCount="1">
    <brk id="16"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55"/>
  <sheetViews>
    <sheetView zoomScaleNormal="100" workbookViewId="0"/>
  </sheetViews>
  <sheetFormatPr defaultColWidth="9.140625" defaultRowHeight="12.75" x14ac:dyDescent="0.2"/>
  <cols>
    <col min="1" max="1" width="3.140625" style="52" customWidth="1"/>
    <col min="2" max="4" width="3.140625" style="1245" customWidth="1"/>
    <col min="5" max="5" width="28.28515625" style="52" customWidth="1"/>
    <col min="6" max="6" width="3" style="985" customWidth="1"/>
    <col min="7" max="7" width="3" style="205" hidden="1" customWidth="1"/>
    <col min="8" max="8" width="3" style="1245" customWidth="1"/>
    <col min="9" max="9" width="8.140625" style="52" customWidth="1"/>
    <col min="10" max="18" width="8.7109375" style="52" customWidth="1"/>
    <col min="19" max="19" width="24.7109375" style="52" customWidth="1"/>
    <col min="20" max="20" width="6.42578125" style="1245" customWidth="1"/>
    <col min="21" max="22" width="5.7109375" style="1245" customWidth="1"/>
    <col min="23" max="23" width="28.42578125" style="1245" customWidth="1"/>
    <col min="24" max="25" width="10.28515625" style="52" bestFit="1" customWidth="1"/>
    <col min="26" max="16384" width="9.140625" style="52"/>
  </cols>
  <sheetData>
    <row r="1" spans="1:28" s="77" customFormat="1" ht="27" customHeight="1" x14ac:dyDescent="0.25">
      <c r="A1" s="74"/>
      <c r="B1" s="76"/>
      <c r="C1" s="76"/>
      <c r="D1" s="76"/>
      <c r="E1" s="74"/>
      <c r="F1" s="965"/>
      <c r="G1" s="196"/>
      <c r="H1" s="125"/>
      <c r="I1" s="888"/>
      <c r="J1" s="888"/>
      <c r="K1" s="888"/>
      <c r="L1" s="888"/>
      <c r="M1" s="888"/>
      <c r="N1" s="888"/>
      <c r="O1" s="888"/>
      <c r="P1" s="1648" t="s">
        <v>372</v>
      </c>
      <c r="Q1" s="1648"/>
      <c r="R1" s="1648"/>
      <c r="S1" s="1648"/>
      <c r="T1" s="1648"/>
      <c r="U1" s="1648"/>
      <c r="V1" s="1648"/>
      <c r="W1" s="1648"/>
    </row>
    <row r="2" spans="1:28" s="1" customFormat="1" ht="14.25" customHeight="1" x14ac:dyDescent="0.2">
      <c r="A2" s="1490" t="s">
        <v>346</v>
      </c>
      <c r="B2" s="1490"/>
      <c r="C2" s="1490"/>
      <c r="D2" s="1490"/>
      <c r="E2" s="1490"/>
      <c r="F2" s="1490"/>
      <c r="G2" s="1490"/>
      <c r="H2" s="1490"/>
      <c r="I2" s="1490"/>
      <c r="J2" s="1490"/>
      <c r="K2" s="1490"/>
      <c r="L2" s="1490"/>
      <c r="M2" s="1490"/>
      <c r="N2" s="1490"/>
      <c r="O2" s="1490"/>
      <c r="P2" s="1490"/>
      <c r="Q2" s="1490"/>
      <c r="R2" s="1490"/>
      <c r="S2" s="1490"/>
      <c r="T2" s="1490"/>
      <c r="U2" s="1490"/>
      <c r="V2" s="1490"/>
      <c r="W2" s="1490"/>
      <c r="X2" s="50"/>
      <c r="Y2" s="1" t="s">
        <v>67</v>
      </c>
    </row>
    <row r="3" spans="1:28" s="1" customFormat="1" ht="14.25" customHeight="1" x14ac:dyDescent="0.2">
      <c r="A3" s="1491" t="s">
        <v>0</v>
      </c>
      <c r="B3" s="1491"/>
      <c r="C3" s="1491"/>
      <c r="D3" s="1491"/>
      <c r="E3" s="1491"/>
      <c r="F3" s="1491"/>
      <c r="G3" s="1491"/>
      <c r="H3" s="1491"/>
      <c r="I3" s="1491"/>
      <c r="J3" s="1491"/>
      <c r="K3" s="1491"/>
      <c r="L3" s="1491"/>
      <c r="M3" s="1491"/>
      <c r="N3" s="1491"/>
      <c r="O3" s="1491"/>
      <c r="P3" s="1491"/>
      <c r="Q3" s="1491"/>
      <c r="R3" s="1491"/>
      <c r="S3" s="1491"/>
      <c r="T3" s="1491"/>
      <c r="U3" s="1491"/>
      <c r="V3" s="1491"/>
      <c r="W3" s="1491"/>
      <c r="X3" s="50"/>
    </row>
    <row r="4" spans="1:28" s="1" customFormat="1" ht="14.25" customHeight="1" x14ac:dyDescent="0.2">
      <c r="A4" s="1492" t="s">
        <v>1</v>
      </c>
      <c r="B4" s="1492"/>
      <c r="C4" s="1492"/>
      <c r="D4" s="1492"/>
      <c r="E4" s="1492"/>
      <c r="F4" s="1492"/>
      <c r="G4" s="1492"/>
      <c r="H4" s="1492"/>
      <c r="I4" s="1492"/>
      <c r="J4" s="1492"/>
      <c r="K4" s="1492"/>
      <c r="L4" s="1492"/>
      <c r="M4" s="1492"/>
      <c r="N4" s="1492"/>
      <c r="O4" s="1492"/>
      <c r="P4" s="1492"/>
      <c r="Q4" s="1492"/>
      <c r="R4" s="1492"/>
      <c r="S4" s="1492"/>
      <c r="T4" s="1492"/>
      <c r="U4" s="1492"/>
      <c r="V4" s="1492"/>
      <c r="W4" s="1492"/>
      <c r="X4" s="1083"/>
    </row>
    <row r="5" spans="1:28" s="1" customFormat="1" ht="13.5" thickBot="1" x14ac:dyDescent="0.25">
      <c r="A5" s="2"/>
      <c r="B5" s="2"/>
      <c r="C5" s="2"/>
      <c r="D5" s="2"/>
      <c r="E5" s="1088"/>
      <c r="F5" s="966"/>
      <c r="G5" s="197"/>
      <c r="H5" s="1088"/>
      <c r="I5" s="1088"/>
      <c r="J5" s="3"/>
      <c r="K5" s="3"/>
      <c r="L5" s="3"/>
      <c r="M5" s="3"/>
      <c r="N5" s="3"/>
      <c r="O5" s="3"/>
      <c r="P5" s="3"/>
      <c r="Q5" s="3"/>
      <c r="R5" s="3"/>
      <c r="S5" s="65"/>
      <c r="T5" s="1088"/>
      <c r="U5" s="1088"/>
      <c r="V5" s="1088"/>
      <c r="W5" s="1438" t="s">
        <v>404</v>
      </c>
      <c r="X5" s="1088"/>
    </row>
    <row r="6" spans="1:28" s="1" customFormat="1" ht="22.5" customHeight="1" x14ac:dyDescent="0.2">
      <c r="A6" s="1493" t="s">
        <v>2</v>
      </c>
      <c r="B6" s="1496" t="s">
        <v>3</v>
      </c>
      <c r="C6" s="1496" t="s">
        <v>4</v>
      </c>
      <c r="D6" s="277"/>
      <c r="E6" s="1499" t="s">
        <v>5</v>
      </c>
      <c r="F6" s="1501" t="s">
        <v>6</v>
      </c>
      <c r="G6" s="1503" t="s">
        <v>132</v>
      </c>
      <c r="H6" s="1506" t="s">
        <v>7</v>
      </c>
      <c r="I6" s="1508" t="s">
        <v>8</v>
      </c>
      <c r="J6" s="1511" t="s">
        <v>163</v>
      </c>
      <c r="K6" s="1514" t="s">
        <v>373</v>
      </c>
      <c r="L6" s="1649" t="s">
        <v>374</v>
      </c>
      <c r="M6" s="1511" t="s">
        <v>142</v>
      </c>
      <c r="N6" s="1514" t="s">
        <v>381</v>
      </c>
      <c r="O6" s="1682" t="s">
        <v>374</v>
      </c>
      <c r="P6" s="1511" t="s">
        <v>143</v>
      </c>
      <c r="Q6" s="1514" t="s">
        <v>382</v>
      </c>
      <c r="R6" s="1461" t="s">
        <v>374</v>
      </c>
      <c r="S6" s="1464" t="s">
        <v>9</v>
      </c>
      <c r="T6" s="1465"/>
      <c r="U6" s="1465"/>
      <c r="V6" s="1465"/>
      <c r="W6" s="1654" t="s">
        <v>164</v>
      </c>
    </row>
    <row r="7" spans="1:28" s="1" customFormat="1" ht="16.5" customHeight="1" x14ac:dyDescent="0.2">
      <c r="A7" s="1494"/>
      <c r="B7" s="1497"/>
      <c r="C7" s="1497"/>
      <c r="D7" s="278"/>
      <c r="E7" s="1500"/>
      <c r="F7" s="1502"/>
      <c r="G7" s="1504"/>
      <c r="H7" s="1507"/>
      <c r="I7" s="1509"/>
      <c r="J7" s="1512"/>
      <c r="K7" s="1515"/>
      <c r="L7" s="1650"/>
      <c r="M7" s="1512"/>
      <c r="N7" s="1515"/>
      <c r="O7" s="1683"/>
      <c r="P7" s="1512"/>
      <c r="Q7" s="1515"/>
      <c r="R7" s="1462"/>
      <c r="S7" s="1467" t="s">
        <v>5</v>
      </c>
      <c r="T7" s="1652" t="s">
        <v>10</v>
      </c>
      <c r="U7" s="1653"/>
      <c r="V7" s="1653"/>
      <c r="W7" s="1655"/>
    </row>
    <row r="8" spans="1:28" s="1" customFormat="1" ht="76.5" customHeight="1" thickBot="1" x14ac:dyDescent="0.25">
      <c r="A8" s="1495"/>
      <c r="B8" s="1498"/>
      <c r="C8" s="1498"/>
      <c r="D8" s="278"/>
      <c r="E8" s="1500"/>
      <c r="F8" s="1502"/>
      <c r="G8" s="1505"/>
      <c r="H8" s="1507"/>
      <c r="I8" s="1510"/>
      <c r="J8" s="1513"/>
      <c r="K8" s="1516"/>
      <c r="L8" s="1651"/>
      <c r="M8" s="1513"/>
      <c r="N8" s="1516"/>
      <c r="O8" s="1684"/>
      <c r="P8" s="1513"/>
      <c r="Q8" s="1516"/>
      <c r="R8" s="1463"/>
      <c r="S8" s="1468"/>
      <c r="T8" s="287" t="s">
        <v>144</v>
      </c>
      <c r="U8" s="287" t="s">
        <v>145</v>
      </c>
      <c r="V8" s="1124" t="s">
        <v>146</v>
      </c>
      <c r="W8" s="1656"/>
    </row>
    <row r="9" spans="1:28" s="1" customFormat="1" ht="15.75" customHeight="1" x14ac:dyDescent="0.2">
      <c r="A9" s="1472" t="s">
        <v>11</v>
      </c>
      <c r="B9" s="1473"/>
      <c r="C9" s="1473"/>
      <c r="D9" s="1473"/>
      <c r="E9" s="1473"/>
      <c r="F9" s="1473"/>
      <c r="G9" s="1473"/>
      <c r="H9" s="1473"/>
      <c r="I9" s="1474"/>
      <c r="J9" s="1474"/>
      <c r="K9" s="1474"/>
      <c r="L9" s="1474"/>
      <c r="M9" s="1474"/>
      <c r="N9" s="1474"/>
      <c r="O9" s="1474"/>
      <c r="P9" s="1474"/>
      <c r="Q9" s="1474"/>
      <c r="R9" s="1474"/>
      <c r="S9" s="1473"/>
      <c r="T9" s="1473"/>
      <c r="U9" s="1473"/>
      <c r="V9" s="1473"/>
      <c r="W9" s="1475"/>
    </row>
    <row r="10" spans="1:28" s="1" customFormat="1" ht="15.75" customHeight="1" x14ac:dyDescent="0.2">
      <c r="A10" s="1476" t="s">
        <v>12</v>
      </c>
      <c r="B10" s="1477"/>
      <c r="C10" s="1477"/>
      <c r="D10" s="1477"/>
      <c r="E10" s="1477"/>
      <c r="F10" s="1477"/>
      <c r="G10" s="1477"/>
      <c r="H10" s="1477"/>
      <c r="I10" s="1477"/>
      <c r="J10" s="1477"/>
      <c r="K10" s="1477"/>
      <c r="L10" s="1477"/>
      <c r="M10" s="1477"/>
      <c r="N10" s="1477"/>
      <c r="O10" s="1477"/>
      <c r="P10" s="1477"/>
      <c r="Q10" s="1477"/>
      <c r="R10" s="1477"/>
      <c r="S10" s="1477"/>
      <c r="T10" s="1477"/>
      <c r="U10" s="1477"/>
      <c r="V10" s="1477"/>
      <c r="W10" s="1478"/>
    </row>
    <row r="11" spans="1:28" s="1" customFormat="1" ht="15.75" customHeight="1" x14ac:dyDescent="0.2">
      <c r="A11" s="958" t="s">
        <v>13</v>
      </c>
      <c r="B11" s="1442" t="s">
        <v>14</v>
      </c>
      <c r="C11" s="1442"/>
      <c r="D11" s="1442"/>
      <c r="E11" s="1442"/>
      <c r="F11" s="1442"/>
      <c r="G11" s="1442"/>
      <c r="H11" s="1442"/>
      <c r="I11" s="1442"/>
      <c r="J11" s="1443"/>
      <c r="K11" s="1443"/>
      <c r="L11" s="1443"/>
      <c r="M11" s="1443"/>
      <c r="N11" s="1443"/>
      <c r="O11" s="1443"/>
      <c r="P11" s="1443"/>
      <c r="Q11" s="1443"/>
      <c r="R11" s="1443"/>
      <c r="S11" s="1443"/>
      <c r="T11" s="1443"/>
      <c r="U11" s="1443"/>
      <c r="V11" s="1443"/>
      <c r="W11" s="1444"/>
    </row>
    <row r="12" spans="1:28" s="1" customFormat="1" ht="15.75" customHeight="1" thickBot="1" x14ac:dyDescent="0.25">
      <c r="A12" s="1200" t="s">
        <v>13</v>
      </c>
      <c r="B12" s="957" t="s">
        <v>13</v>
      </c>
      <c r="C12" s="1445" t="s">
        <v>15</v>
      </c>
      <c r="D12" s="1446"/>
      <c r="E12" s="1446"/>
      <c r="F12" s="1446"/>
      <c r="G12" s="1446"/>
      <c r="H12" s="1446"/>
      <c r="I12" s="1446"/>
      <c r="J12" s="1446"/>
      <c r="K12" s="1446"/>
      <c r="L12" s="1446"/>
      <c r="M12" s="1446"/>
      <c r="N12" s="1446"/>
      <c r="O12" s="1446"/>
      <c r="P12" s="1446"/>
      <c r="Q12" s="1446"/>
      <c r="R12" s="1446"/>
      <c r="S12" s="1446"/>
      <c r="T12" s="1446"/>
      <c r="U12" s="1446"/>
      <c r="V12" s="1446"/>
      <c r="W12" s="1447"/>
    </row>
    <row r="13" spans="1:28" s="1" customFormat="1" ht="28.5" customHeight="1" x14ac:dyDescent="0.2">
      <c r="A13" s="135" t="s">
        <v>13</v>
      </c>
      <c r="B13" s="872" t="s">
        <v>13</v>
      </c>
      <c r="C13" s="875" t="s">
        <v>13</v>
      </c>
      <c r="D13" s="447"/>
      <c r="E13" s="1448" t="s">
        <v>111</v>
      </c>
      <c r="F13" s="1450" t="s">
        <v>66</v>
      </c>
      <c r="G13" s="1453">
        <v>11020306</v>
      </c>
      <c r="H13" s="1456" t="s">
        <v>16</v>
      </c>
      <c r="I13" s="4" t="s">
        <v>17</v>
      </c>
      <c r="J13" s="207">
        <v>48</v>
      </c>
      <c r="K13" s="470">
        <v>48</v>
      </c>
      <c r="L13" s="281"/>
      <c r="M13" s="207">
        <v>94</v>
      </c>
      <c r="N13" s="470">
        <v>94</v>
      </c>
      <c r="O13" s="281"/>
      <c r="P13" s="207">
        <v>24.6</v>
      </c>
      <c r="Q13" s="470">
        <v>24.6</v>
      </c>
      <c r="R13" s="476"/>
      <c r="S13" s="471" t="s">
        <v>160</v>
      </c>
      <c r="T13" s="890">
        <v>60</v>
      </c>
      <c r="U13" s="349">
        <v>60</v>
      </c>
      <c r="V13" s="350">
        <v>60</v>
      </c>
      <c r="W13" s="350"/>
    </row>
    <row r="14" spans="1:28" s="1" customFormat="1" ht="42" customHeight="1" x14ac:dyDescent="0.2">
      <c r="A14" s="136"/>
      <c r="B14" s="873"/>
      <c r="C14" s="876"/>
      <c r="D14" s="150"/>
      <c r="E14" s="1449"/>
      <c r="F14" s="1451"/>
      <c r="G14" s="1454"/>
      <c r="H14" s="1457"/>
      <c r="I14" s="13"/>
      <c r="J14" s="257"/>
      <c r="K14" s="258"/>
      <c r="L14" s="280"/>
      <c r="M14" s="257"/>
      <c r="N14" s="258"/>
      <c r="O14" s="280"/>
      <c r="P14" s="257"/>
      <c r="Q14" s="258"/>
      <c r="R14" s="473"/>
      <c r="S14" s="464" t="s">
        <v>161</v>
      </c>
      <c r="T14" s="525">
        <v>1</v>
      </c>
      <c r="U14" s="355"/>
      <c r="V14" s="356"/>
      <c r="W14" s="356"/>
      <c r="Z14" s="14"/>
    </row>
    <row r="15" spans="1:28" s="1" customFormat="1" ht="30.75" customHeight="1" x14ac:dyDescent="0.2">
      <c r="A15" s="136"/>
      <c r="B15" s="873"/>
      <c r="C15" s="876"/>
      <c r="D15" s="150"/>
      <c r="E15" s="878"/>
      <c r="F15" s="1451"/>
      <c r="G15" s="1454"/>
      <c r="H15" s="1457"/>
      <c r="I15" s="13"/>
      <c r="J15" s="257"/>
      <c r="K15" s="258"/>
      <c r="L15" s="280"/>
      <c r="M15" s="257"/>
      <c r="N15" s="258"/>
      <c r="O15" s="280"/>
      <c r="P15" s="257"/>
      <c r="Q15" s="258"/>
      <c r="R15" s="473"/>
      <c r="S15" s="1228" t="s">
        <v>147</v>
      </c>
      <c r="T15" s="891"/>
      <c r="U15" s="355">
        <v>1</v>
      </c>
      <c r="V15" s="356"/>
      <c r="W15" s="356"/>
      <c r="Z15" s="14"/>
    </row>
    <row r="16" spans="1:28" s="1" customFormat="1" ht="29.25" customHeight="1" x14ac:dyDescent="0.2">
      <c r="A16" s="136"/>
      <c r="B16" s="873"/>
      <c r="C16" s="876"/>
      <c r="D16" s="150"/>
      <c r="E16" s="878"/>
      <c r="F16" s="1451"/>
      <c r="G16" s="1454"/>
      <c r="H16" s="1457"/>
      <c r="I16" s="20"/>
      <c r="J16" s="257"/>
      <c r="K16" s="258"/>
      <c r="L16" s="280"/>
      <c r="M16" s="257"/>
      <c r="N16" s="258"/>
      <c r="O16" s="280"/>
      <c r="P16" s="257"/>
      <c r="Q16" s="258"/>
      <c r="R16" s="473"/>
      <c r="S16" s="1459" t="s">
        <v>90</v>
      </c>
      <c r="T16" s="431"/>
      <c r="U16" s="292"/>
      <c r="V16" s="293">
        <v>1</v>
      </c>
      <c r="W16" s="293"/>
      <c r="AA16" s="14"/>
      <c r="AB16" s="14"/>
    </row>
    <row r="17" spans="1:33" s="1" customFormat="1" ht="15.75" customHeight="1" thickBot="1" x14ac:dyDescent="0.25">
      <c r="A17" s="137"/>
      <c r="B17" s="874"/>
      <c r="C17" s="877"/>
      <c r="D17" s="448"/>
      <c r="E17" s="879"/>
      <c r="F17" s="1452"/>
      <c r="G17" s="1455"/>
      <c r="H17" s="1458"/>
      <c r="I17" s="5" t="s">
        <v>18</v>
      </c>
      <c r="J17" s="209">
        <f>SUM(J13:J16)</f>
        <v>48</v>
      </c>
      <c r="K17" s="220">
        <f>SUM(K13:K16)</f>
        <v>48</v>
      </c>
      <c r="L17" s="376"/>
      <c r="M17" s="209">
        <f t="shared" ref="M17:R17" si="0">SUM(M13:M16)</f>
        <v>94</v>
      </c>
      <c r="N17" s="220">
        <f t="shared" si="0"/>
        <v>94</v>
      </c>
      <c r="O17" s="376">
        <f t="shared" si="0"/>
        <v>0</v>
      </c>
      <c r="P17" s="209">
        <f t="shared" si="0"/>
        <v>24.6</v>
      </c>
      <c r="Q17" s="220">
        <f t="shared" si="0"/>
        <v>24.6</v>
      </c>
      <c r="R17" s="216">
        <f t="shared" si="0"/>
        <v>0</v>
      </c>
      <c r="S17" s="1460"/>
      <c r="T17" s="554"/>
      <c r="U17" s="295"/>
      <c r="V17" s="296"/>
      <c r="W17" s="296"/>
      <c r="Y17" s="14"/>
    </row>
    <row r="18" spans="1:33" s="1" customFormat="1" ht="27" customHeight="1" x14ac:dyDescent="0.2">
      <c r="A18" s="1484" t="s">
        <v>13</v>
      </c>
      <c r="B18" s="1487" t="s">
        <v>13</v>
      </c>
      <c r="C18" s="1479" t="s">
        <v>19</v>
      </c>
      <c r="D18" s="447"/>
      <c r="E18" s="1448" t="s">
        <v>64</v>
      </c>
      <c r="F18" s="1450"/>
      <c r="G18" s="1453">
        <v>11020307</v>
      </c>
      <c r="H18" s="1456" t="s">
        <v>16</v>
      </c>
      <c r="I18" s="4" t="s">
        <v>17</v>
      </c>
      <c r="J18" s="210">
        <v>9</v>
      </c>
      <c r="K18" s="221">
        <v>9</v>
      </c>
      <c r="L18" s="366"/>
      <c r="M18" s="210">
        <v>9</v>
      </c>
      <c r="N18" s="221">
        <v>9</v>
      </c>
      <c r="O18" s="366"/>
      <c r="P18" s="210">
        <v>9</v>
      </c>
      <c r="Q18" s="221">
        <v>9</v>
      </c>
      <c r="R18" s="217"/>
      <c r="S18" s="1212" t="s">
        <v>20</v>
      </c>
      <c r="T18" s="379">
        <v>20</v>
      </c>
      <c r="U18" s="298">
        <v>20</v>
      </c>
      <c r="V18" s="299">
        <v>20</v>
      </c>
      <c r="W18" s="299"/>
    </row>
    <row r="19" spans="1:33" s="1" customFormat="1" ht="15" customHeight="1" x14ac:dyDescent="0.2">
      <c r="A19" s="1485"/>
      <c r="B19" s="1488"/>
      <c r="C19" s="1480"/>
      <c r="D19" s="150"/>
      <c r="E19" s="1449"/>
      <c r="F19" s="1451"/>
      <c r="G19" s="1454"/>
      <c r="H19" s="1457"/>
      <c r="I19" s="43" t="s">
        <v>79</v>
      </c>
      <c r="J19" s="501">
        <v>6</v>
      </c>
      <c r="K19" s="502">
        <v>6</v>
      </c>
      <c r="L19" s="504"/>
      <c r="M19" s="501"/>
      <c r="N19" s="502"/>
      <c r="O19" s="504"/>
      <c r="P19" s="501"/>
      <c r="Q19" s="502"/>
      <c r="R19" s="503"/>
      <c r="S19" s="1459" t="s">
        <v>347</v>
      </c>
      <c r="T19" s="334">
        <v>300</v>
      </c>
      <c r="U19" s="292">
        <v>300</v>
      </c>
      <c r="V19" s="25">
        <v>300</v>
      </c>
      <c r="W19" s="25"/>
      <c r="Z19" s="14"/>
    </row>
    <row r="20" spans="1:33" s="1" customFormat="1" ht="15" customHeight="1" thickBot="1" x14ac:dyDescent="0.25">
      <c r="A20" s="1486"/>
      <c r="B20" s="1489"/>
      <c r="C20" s="1480"/>
      <c r="D20" s="150"/>
      <c r="E20" s="1449"/>
      <c r="F20" s="1451"/>
      <c r="G20" s="1455"/>
      <c r="H20" s="1483"/>
      <c r="I20" s="1231" t="s">
        <v>18</v>
      </c>
      <c r="J20" s="209">
        <f>SUM(J18:J19)</f>
        <v>15</v>
      </c>
      <c r="K20" s="220">
        <f>SUM(K18:K19)</f>
        <v>15</v>
      </c>
      <c r="L20" s="376"/>
      <c r="M20" s="209">
        <f t="shared" ref="M20:R20" si="1">+M18</f>
        <v>9</v>
      </c>
      <c r="N20" s="220">
        <f t="shared" si="1"/>
        <v>9</v>
      </c>
      <c r="O20" s="376">
        <f t="shared" si="1"/>
        <v>0</v>
      </c>
      <c r="P20" s="209">
        <f t="shared" si="1"/>
        <v>9</v>
      </c>
      <c r="Q20" s="220">
        <f t="shared" si="1"/>
        <v>9</v>
      </c>
      <c r="R20" s="216">
        <f t="shared" si="1"/>
        <v>0</v>
      </c>
      <c r="S20" s="1460"/>
      <c r="T20" s="892"/>
      <c r="U20" s="304"/>
      <c r="V20" s="305"/>
      <c r="W20" s="305"/>
      <c r="Z20" s="14"/>
    </row>
    <row r="21" spans="1:33" s="1" customFormat="1" ht="30" customHeight="1" x14ac:dyDescent="0.2">
      <c r="A21" s="1484" t="s">
        <v>13</v>
      </c>
      <c r="B21" s="1487" t="s">
        <v>13</v>
      </c>
      <c r="C21" s="1479" t="s">
        <v>21</v>
      </c>
      <c r="D21" s="447"/>
      <c r="E21" s="1448" t="s">
        <v>167</v>
      </c>
      <c r="F21" s="1450"/>
      <c r="G21" s="1453">
        <v>11020310</v>
      </c>
      <c r="H21" s="1456" t="s">
        <v>16</v>
      </c>
      <c r="I21" s="4" t="s">
        <v>17</v>
      </c>
      <c r="J21" s="210">
        <v>33.299999999999997</v>
      </c>
      <c r="K21" s="1284">
        <v>36</v>
      </c>
      <c r="L21" s="1383">
        <f>+K21-J21</f>
        <v>2.7000000000000028</v>
      </c>
      <c r="M21" s="210">
        <v>33.299999999999997</v>
      </c>
      <c r="N21" s="221">
        <v>33.299999999999997</v>
      </c>
      <c r="O21" s="366"/>
      <c r="P21" s="210">
        <v>33.299999999999997</v>
      </c>
      <c r="Q21" s="221">
        <v>33.299999999999997</v>
      </c>
      <c r="R21" s="217"/>
      <c r="S21" s="273" t="s">
        <v>93</v>
      </c>
      <c r="T21" s="349">
        <v>200</v>
      </c>
      <c r="U21" s="307">
        <v>200</v>
      </c>
      <c r="V21" s="173">
        <v>200</v>
      </c>
      <c r="W21" s="1525" t="s">
        <v>391</v>
      </c>
    </row>
    <row r="22" spans="1:33" s="1" customFormat="1" ht="61.5" customHeight="1" x14ac:dyDescent="0.2">
      <c r="A22" s="1485"/>
      <c r="B22" s="1488"/>
      <c r="C22" s="1480"/>
      <c r="D22" s="150"/>
      <c r="E22" s="1449"/>
      <c r="F22" s="1451"/>
      <c r="G22" s="1454"/>
      <c r="H22" s="1457"/>
      <c r="I22" s="853" t="s">
        <v>17</v>
      </c>
      <c r="J22" s="208"/>
      <c r="K22" s="1290">
        <v>26.3</v>
      </c>
      <c r="L22" s="1384">
        <f>+K22-J22</f>
        <v>26.3</v>
      </c>
      <c r="M22" s="1285"/>
      <c r="N22" s="854"/>
      <c r="O22" s="1286"/>
      <c r="P22" s="1285"/>
      <c r="Q22" s="854"/>
      <c r="R22" s="1287"/>
      <c r="S22" s="1523" t="s">
        <v>168</v>
      </c>
      <c r="T22" s="514">
        <v>32</v>
      </c>
      <c r="U22" s="309">
        <v>32</v>
      </c>
      <c r="V22" s="310">
        <v>32</v>
      </c>
      <c r="W22" s="1526"/>
      <c r="AB22" s="14"/>
    </row>
    <row r="23" spans="1:33" s="1" customFormat="1" ht="18" customHeight="1" thickBot="1" x14ac:dyDescent="0.25">
      <c r="A23" s="1486"/>
      <c r="B23" s="1489"/>
      <c r="C23" s="1480"/>
      <c r="D23" s="150"/>
      <c r="E23" s="1449"/>
      <c r="F23" s="1451"/>
      <c r="G23" s="1455"/>
      <c r="H23" s="1483"/>
      <c r="I23" s="1231" t="s">
        <v>18</v>
      </c>
      <c r="J23" s="209">
        <f>SUM(J21:J22)</f>
        <v>33.299999999999997</v>
      </c>
      <c r="K23" s="220">
        <f>SUM(K21:K22)</f>
        <v>62.3</v>
      </c>
      <c r="L23" s="220">
        <f>SUM(L21:L22)</f>
        <v>29.000000000000004</v>
      </c>
      <c r="M23" s="209">
        <f t="shared" ref="M23:P23" si="2">SUM(M21:M22)</f>
        <v>33.299999999999997</v>
      </c>
      <c r="N23" s="220">
        <f t="shared" ref="N23:O23" si="3">SUM(N21:N22)</f>
        <v>33.299999999999997</v>
      </c>
      <c r="O23" s="376">
        <f t="shared" si="3"/>
        <v>0</v>
      </c>
      <c r="P23" s="209">
        <f t="shared" si="2"/>
        <v>33.299999999999997</v>
      </c>
      <c r="Q23" s="220">
        <f t="shared" ref="Q23:R23" si="4">SUM(Q21:Q22)</f>
        <v>33.299999999999997</v>
      </c>
      <c r="R23" s="216">
        <f t="shared" si="4"/>
        <v>0</v>
      </c>
      <c r="S23" s="1524"/>
      <c r="T23" s="554"/>
      <c r="U23" s="295"/>
      <c r="V23" s="296"/>
      <c r="W23" s="1559"/>
      <c r="AC23" s="14"/>
    </row>
    <row r="24" spans="1:33" s="1" customFormat="1" ht="47.25" customHeight="1" x14ac:dyDescent="0.2">
      <c r="A24" s="1484" t="s">
        <v>13</v>
      </c>
      <c r="B24" s="1487" t="s">
        <v>13</v>
      </c>
      <c r="C24" s="1479" t="s">
        <v>34</v>
      </c>
      <c r="D24" s="447"/>
      <c r="E24" s="1657" t="s">
        <v>134</v>
      </c>
      <c r="F24" s="1450"/>
      <c r="G24" s="1453">
        <v>11020310</v>
      </c>
      <c r="H24" s="1196" t="s">
        <v>16</v>
      </c>
      <c r="I24" s="6" t="s">
        <v>17</v>
      </c>
      <c r="J24" s="248">
        <v>153</v>
      </c>
      <c r="K24" s="1320">
        <f>153-6.7</f>
        <v>146.30000000000001</v>
      </c>
      <c r="L24" s="1385">
        <f>+K24-J24</f>
        <v>-6.6999999999999886</v>
      </c>
      <c r="M24" s="248">
        <v>153</v>
      </c>
      <c r="N24" s="255">
        <v>153</v>
      </c>
      <c r="O24" s="542"/>
      <c r="P24" s="212">
        <v>153</v>
      </c>
      <c r="Q24" s="372">
        <v>153</v>
      </c>
      <c r="R24" s="484"/>
      <c r="S24" s="273" t="s">
        <v>125</v>
      </c>
      <c r="T24" s="1325" t="s">
        <v>392</v>
      </c>
      <c r="U24" s="432">
        <v>10904</v>
      </c>
      <c r="V24" s="173">
        <v>10904</v>
      </c>
      <c r="W24" s="1525" t="s">
        <v>393</v>
      </c>
      <c r="AA24" s="14"/>
    </row>
    <row r="25" spans="1:33" s="1" customFormat="1" ht="41.25" customHeight="1" x14ac:dyDescent="0.2">
      <c r="A25" s="1485"/>
      <c r="B25" s="1488"/>
      <c r="C25" s="1480"/>
      <c r="D25" s="150"/>
      <c r="E25" s="1658"/>
      <c r="F25" s="1451"/>
      <c r="G25" s="1454"/>
      <c r="H25" s="1197">
        <v>3</v>
      </c>
      <c r="I25" s="13" t="s">
        <v>17</v>
      </c>
      <c r="J25" s="257">
        <v>10.4</v>
      </c>
      <c r="K25" s="258">
        <v>10.4</v>
      </c>
      <c r="L25" s="280"/>
      <c r="M25" s="257">
        <v>10.4</v>
      </c>
      <c r="N25" s="258">
        <v>10.4</v>
      </c>
      <c r="O25" s="280"/>
      <c r="P25" s="211">
        <v>10.4</v>
      </c>
      <c r="Q25" s="222">
        <v>10.4</v>
      </c>
      <c r="R25" s="474"/>
      <c r="S25" s="1481" t="s">
        <v>135</v>
      </c>
      <c r="T25" s="357">
        <v>88</v>
      </c>
      <c r="U25" s="1227">
        <v>88</v>
      </c>
      <c r="V25" s="170">
        <v>88</v>
      </c>
      <c r="W25" s="1526"/>
    </row>
    <row r="26" spans="1:33" s="1" customFormat="1" ht="15.75" customHeight="1" thickBot="1" x14ac:dyDescent="0.25">
      <c r="A26" s="1486"/>
      <c r="B26" s="1489"/>
      <c r="C26" s="1480"/>
      <c r="D26" s="448"/>
      <c r="E26" s="1658"/>
      <c r="F26" s="1451"/>
      <c r="G26" s="1455"/>
      <c r="H26" s="259"/>
      <c r="I26" s="1231" t="s">
        <v>18</v>
      </c>
      <c r="J26" s="209">
        <f t="shared" ref="J26:P26" si="5">SUM(J24:J25)</f>
        <v>163.4</v>
      </c>
      <c r="K26" s="220">
        <f t="shared" ref="K26:L26" si="6">SUM(K24:K25)</f>
        <v>156.70000000000002</v>
      </c>
      <c r="L26" s="220">
        <f t="shared" si="6"/>
        <v>-6.6999999999999886</v>
      </c>
      <c r="M26" s="209">
        <f t="shared" si="5"/>
        <v>163.4</v>
      </c>
      <c r="N26" s="220">
        <f t="shared" ref="N26:O26" si="7">SUM(N24:N25)</f>
        <v>163.4</v>
      </c>
      <c r="O26" s="376">
        <f t="shared" si="7"/>
        <v>0</v>
      </c>
      <c r="P26" s="209">
        <f t="shared" si="5"/>
        <v>163.4</v>
      </c>
      <c r="Q26" s="220">
        <f t="shared" ref="Q26:R26" si="8">SUM(Q24:Q25)</f>
        <v>163.4</v>
      </c>
      <c r="R26" s="216">
        <f t="shared" si="8"/>
        <v>0</v>
      </c>
      <c r="S26" s="1482"/>
      <c r="T26" s="433"/>
      <c r="U26" s="433"/>
      <c r="V26" s="434"/>
      <c r="W26" s="1559"/>
    </row>
    <row r="27" spans="1:33" s="617" customFormat="1" ht="30" customHeight="1" x14ac:dyDescent="0.2">
      <c r="A27" s="1484" t="s">
        <v>13</v>
      </c>
      <c r="B27" s="1487" t="s">
        <v>13</v>
      </c>
      <c r="C27" s="1479" t="s">
        <v>63</v>
      </c>
      <c r="D27" s="447"/>
      <c r="E27" s="1525" t="s">
        <v>320</v>
      </c>
      <c r="F27" s="1450"/>
      <c r="G27" s="1547">
        <v>11020310</v>
      </c>
      <c r="H27" s="1538" t="s">
        <v>16</v>
      </c>
      <c r="I27" s="621" t="s">
        <v>17</v>
      </c>
      <c r="J27" s="248">
        <v>25</v>
      </c>
      <c r="K27" s="255">
        <v>25</v>
      </c>
      <c r="L27" s="542"/>
      <c r="M27" s="248">
        <f>50-25</f>
        <v>25</v>
      </c>
      <c r="N27" s="255">
        <f>50-25</f>
        <v>25</v>
      </c>
      <c r="O27" s="542"/>
      <c r="P27" s="212">
        <f>75-50</f>
        <v>25</v>
      </c>
      <c r="Q27" s="372">
        <f>75-50</f>
        <v>25</v>
      </c>
      <c r="R27" s="484"/>
      <c r="S27" s="1540" t="s">
        <v>112</v>
      </c>
      <c r="T27" s="1541">
        <v>2</v>
      </c>
      <c r="U27" s="1543">
        <v>2</v>
      </c>
      <c r="V27" s="1531">
        <v>2</v>
      </c>
      <c r="W27" s="1531"/>
      <c r="X27" s="863"/>
    </row>
    <row r="28" spans="1:33" s="617" customFormat="1" ht="15.75" customHeight="1" thickBot="1" x14ac:dyDescent="0.25">
      <c r="A28" s="1486"/>
      <c r="B28" s="1489"/>
      <c r="C28" s="1480"/>
      <c r="D28" s="448"/>
      <c r="E28" s="1526"/>
      <c r="F28" s="1451"/>
      <c r="G28" s="1548"/>
      <c r="H28" s="1539"/>
      <c r="I28" s="1218" t="s">
        <v>18</v>
      </c>
      <c r="J28" s="209">
        <f>SUM(J27:J27)</f>
        <v>25</v>
      </c>
      <c r="K28" s="220">
        <f>SUM(K27:K27)</f>
        <v>25</v>
      </c>
      <c r="L28" s="376"/>
      <c r="M28" s="209">
        <f t="shared" ref="M28:R28" si="9">SUM(M27:M27)</f>
        <v>25</v>
      </c>
      <c r="N28" s="220">
        <f t="shared" si="9"/>
        <v>25</v>
      </c>
      <c r="O28" s="376">
        <f t="shared" si="9"/>
        <v>0</v>
      </c>
      <c r="P28" s="209">
        <f t="shared" si="9"/>
        <v>25</v>
      </c>
      <c r="Q28" s="220">
        <f t="shared" si="9"/>
        <v>25</v>
      </c>
      <c r="R28" s="216">
        <f t="shared" si="9"/>
        <v>0</v>
      </c>
      <c r="S28" s="1524"/>
      <c r="T28" s="1542"/>
      <c r="U28" s="1544"/>
      <c r="V28" s="1532"/>
      <c r="W28" s="1532"/>
      <c r="X28" s="616"/>
    </row>
    <row r="29" spans="1:33" s="1" customFormat="1" ht="13.5" thickBot="1" x14ac:dyDescent="0.25">
      <c r="A29" s="127" t="s">
        <v>13</v>
      </c>
      <c r="B29" s="7" t="s">
        <v>13</v>
      </c>
      <c r="C29" s="1533" t="s">
        <v>22</v>
      </c>
      <c r="D29" s="1534"/>
      <c r="E29" s="1534"/>
      <c r="F29" s="1534"/>
      <c r="G29" s="1534"/>
      <c r="H29" s="1534"/>
      <c r="I29" s="1534"/>
      <c r="J29" s="8">
        <f>J20+J17+J23+J26+J28</f>
        <v>284.7</v>
      </c>
      <c r="K29" s="225">
        <f>K20+K17+K23+K26+K28</f>
        <v>307</v>
      </c>
      <c r="L29" s="225">
        <f>L20+L17+L23+L26+L28</f>
        <v>22.300000000000015</v>
      </c>
      <c r="M29" s="8">
        <f t="shared" ref="M29:R29" si="10">M20+M17+M23+M26+M28</f>
        <v>324.70000000000005</v>
      </c>
      <c r="N29" s="225">
        <f t="shared" si="10"/>
        <v>324.70000000000005</v>
      </c>
      <c r="O29" s="555">
        <f t="shared" si="10"/>
        <v>0</v>
      </c>
      <c r="P29" s="8">
        <f t="shared" si="10"/>
        <v>255.3</v>
      </c>
      <c r="Q29" s="225">
        <f t="shared" si="10"/>
        <v>255.3</v>
      </c>
      <c r="R29" s="556">
        <f t="shared" si="10"/>
        <v>0</v>
      </c>
      <c r="S29" s="1535"/>
      <c r="T29" s="1536"/>
      <c r="U29" s="1536"/>
      <c r="V29" s="1536"/>
      <c r="W29" s="1537"/>
    </row>
    <row r="30" spans="1:33" s="1" customFormat="1" ht="13.5" thickBot="1" x14ac:dyDescent="0.25">
      <c r="A30" s="127" t="s">
        <v>13</v>
      </c>
      <c r="B30" s="9" t="s">
        <v>19</v>
      </c>
      <c r="C30" s="1527" t="s">
        <v>23</v>
      </c>
      <c r="D30" s="1528"/>
      <c r="E30" s="1528"/>
      <c r="F30" s="1528"/>
      <c r="G30" s="1528"/>
      <c r="H30" s="1528"/>
      <c r="I30" s="1528"/>
      <c r="J30" s="1528"/>
      <c r="K30" s="1528"/>
      <c r="L30" s="1528"/>
      <c r="M30" s="1528"/>
      <c r="N30" s="1528"/>
      <c r="O30" s="1528"/>
      <c r="P30" s="1528"/>
      <c r="Q30" s="1528"/>
      <c r="R30" s="1528"/>
      <c r="S30" s="1528"/>
      <c r="T30" s="1528"/>
      <c r="U30" s="1528"/>
      <c r="V30" s="1528"/>
      <c r="W30" s="1529"/>
      <c r="AC30" s="14"/>
    </row>
    <row r="31" spans="1:33" s="1" customFormat="1" ht="14.25" customHeight="1" x14ac:dyDescent="0.2">
      <c r="A31" s="128" t="s">
        <v>13</v>
      </c>
      <c r="B31" s="1202" t="s">
        <v>19</v>
      </c>
      <c r="C31" s="10" t="s">
        <v>13</v>
      </c>
      <c r="D31" s="447"/>
      <c r="E31" s="1520" t="s">
        <v>24</v>
      </c>
      <c r="F31" s="1187"/>
      <c r="G31" s="198"/>
      <c r="H31" s="1229">
        <v>2</v>
      </c>
      <c r="I31" s="187" t="s">
        <v>17</v>
      </c>
      <c r="J31" s="475">
        <v>4783.3</v>
      </c>
      <c r="K31" s="1321">
        <f>4783.3+7.4+6.7+125</f>
        <v>4922.3999999999996</v>
      </c>
      <c r="L31" s="1386">
        <f>+K31-J31</f>
        <v>139.09999999999945</v>
      </c>
      <c r="M31" s="207">
        <v>4832.2</v>
      </c>
      <c r="N31" s="470">
        <v>4832.2</v>
      </c>
      <c r="O31" s="281"/>
      <c r="P31" s="207">
        <v>4794.3</v>
      </c>
      <c r="Q31" s="470">
        <v>4794.3</v>
      </c>
      <c r="R31" s="476"/>
      <c r="S31" s="1545" t="s">
        <v>26</v>
      </c>
      <c r="T31" s="951">
        <v>2917</v>
      </c>
      <c r="U31" s="951">
        <v>3017</v>
      </c>
      <c r="V31" s="989">
        <v>3165</v>
      </c>
      <c r="W31" s="1661" t="s">
        <v>397</v>
      </c>
      <c r="X31" s="11"/>
      <c r="Y31" s="14"/>
      <c r="AA31" s="14"/>
      <c r="AG31" s="14"/>
    </row>
    <row r="32" spans="1:33" s="1" customFormat="1" ht="14.25" customHeight="1" x14ac:dyDescent="0.2">
      <c r="A32" s="129"/>
      <c r="B32" s="1203"/>
      <c r="C32" s="12"/>
      <c r="D32" s="150"/>
      <c r="E32" s="1521"/>
      <c r="F32" s="967"/>
      <c r="G32" s="199"/>
      <c r="H32" s="1240"/>
      <c r="I32" s="189" t="s">
        <v>25</v>
      </c>
      <c r="J32" s="481">
        <v>350.3</v>
      </c>
      <c r="K32" s="836">
        <v>350.3</v>
      </c>
      <c r="L32" s="482"/>
      <c r="M32" s="249">
        <v>350.3</v>
      </c>
      <c r="N32" s="836">
        <v>350.3</v>
      </c>
      <c r="O32" s="283"/>
      <c r="P32" s="249">
        <v>350.3</v>
      </c>
      <c r="Q32" s="836">
        <v>350.3</v>
      </c>
      <c r="R32" s="482"/>
      <c r="S32" s="1546"/>
      <c r="T32" s="932"/>
      <c r="U32" s="932"/>
      <c r="V32" s="990"/>
      <c r="W32" s="1662"/>
      <c r="X32" s="11"/>
      <c r="AA32" s="14"/>
    </row>
    <row r="33" spans="1:28" s="1" customFormat="1" ht="40.5" customHeight="1" x14ac:dyDescent="0.2">
      <c r="A33" s="129"/>
      <c r="B33" s="1203"/>
      <c r="C33" s="12"/>
      <c r="D33" s="150"/>
      <c r="E33" s="1207"/>
      <c r="F33" s="967"/>
      <c r="G33" s="199"/>
      <c r="H33" s="1240"/>
      <c r="I33" s="189" t="s">
        <v>62</v>
      </c>
      <c r="J33" s="1267">
        <v>65.599999999999994</v>
      </c>
      <c r="K33" s="606">
        <v>65.599999999999994</v>
      </c>
      <c r="L33" s="1268"/>
      <c r="M33" s="605"/>
      <c r="N33" s="606"/>
      <c r="O33" s="1184"/>
      <c r="P33" s="501"/>
      <c r="Q33" s="502"/>
      <c r="R33" s="503"/>
      <c r="S33" s="471" t="s">
        <v>169</v>
      </c>
      <c r="T33" s="492">
        <v>1794</v>
      </c>
      <c r="U33" s="492">
        <v>1828</v>
      </c>
      <c r="V33" s="935">
        <v>1842</v>
      </c>
      <c r="W33" s="1662"/>
      <c r="X33" s="11"/>
      <c r="AA33" s="14"/>
    </row>
    <row r="34" spans="1:28" s="1" customFormat="1" ht="30" customHeight="1" x14ac:dyDescent="0.2">
      <c r="A34" s="129"/>
      <c r="B34" s="1362"/>
      <c r="C34" s="12"/>
      <c r="D34" s="150"/>
      <c r="E34" s="1355"/>
      <c r="F34" s="967"/>
      <c r="G34" s="199"/>
      <c r="H34" s="1375"/>
      <c r="I34" s="13"/>
      <c r="J34" s="435"/>
      <c r="K34" s="436"/>
      <c r="L34" s="1269"/>
      <c r="M34" s="435"/>
      <c r="N34" s="436"/>
      <c r="O34" s="1115"/>
      <c r="P34" s="211"/>
      <c r="Q34" s="222"/>
      <c r="R34" s="474"/>
      <c r="S34" s="471" t="s">
        <v>170</v>
      </c>
      <c r="T34" s="492">
        <v>265</v>
      </c>
      <c r="U34" s="492">
        <v>271</v>
      </c>
      <c r="V34" s="935">
        <v>277</v>
      </c>
      <c r="W34" s="1662"/>
      <c r="X34" s="11"/>
      <c r="AB34" s="14"/>
    </row>
    <row r="35" spans="1:28" s="1" customFormat="1" ht="30" customHeight="1" x14ac:dyDescent="0.2">
      <c r="A35" s="129"/>
      <c r="B35" s="1323"/>
      <c r="C35" s="12"/>
      <c r="D35" s="150"/>
      <c r="E35" s="1322"/>
      <c r="F35" s="967"/>
      <c r="G35" s="199"/>
      <c r="H35" s="1324"/>
      <c r="I35" s="13"/>
      <c r="J35" s="435"/>
      <c r="K35" s="436"/>
      <c r="L35" s="1269"/>
      <c r="M35" s="435"/>
      <c r="N35" s="436"/>
      <c r="O35" s="1115"/>
      <c r="P35" s="211"/>
      <c r="Q35" s="222"/>
      <c r="R35" s="474"/>
      <c r="S35" s="1326" t="s">
        <v>394</v>
      </c>
      <c r="T35" s="1327">
        <v>34</v>
      </c>
      <c r="U35" s="1327">
        <v>34</v>
      </c>
      <c r="V35" s="1328">
        <v>34</v>
      </c>
      <c r="W35" s="1662"/>
      <c r="X35" s="11"/>
      <c r="AB35" s="14"/>
    </row>
    <row r="36" spans="1:28" s="1" customFormat="1" ht="30" customHeight="1" x14ac:dyDescent="0.2">
      <c r="A36" s="129"/>
      <c r="B36" s="1203"/>
      <c r="C36" s="12"/>
      <c r="D36" s="150"/>
      <c r="E36" s="1207"/>
      <c r="F36" s="967"/>
      <c r="G36" s="199"/>
      <c r="H36" s="1240"/>
      <c r="I36" s="13"/>
      <c r="J36" s="435"/>
      <c r="K36" s="436"/>
      <c r="L36" s="1269"/>
      <c r="M36" s="435"/>
      <c r="N36" s="436"/>
      <c r="O36" s="1115"/>
      <c r="P36" s="211"/>
      <c r="Q36" s="222"/>
      <c r="R36" s="474"/>
      <c r="S36" s="1185" t="s">
        <v>94</v>
      </c>
      <c r="T36" s="496">
        <v>114</v>
      </c>
      <c r="U36" s="496">
        <v>116</v>
      </c>
      <c r="V36" s="1186">
        <v>118</v>
      </c>
      <c r="W36" s="1662"/>
      <c r="X36" s="11"/>
      <c r="AA36" s="14"/>
    </row>
    <row r="37" spans="1:28" s="1" customFormat="1" ht="42.75" customHeight="1" x14ac:dyDescent="0.2">
      <c r="A37" s="129"/>
      <c r="B37" s="1203"/>
      <c r="C37" s="12"/>
      <c r="D37" s="150"/>
      <c r="E37" s="1207"/>
      <c r="F37" s="967"/>
      <c r="G37" s="199"/>
      <c r="H37" s="1240"/>
      <c r="I37" s="13"/>
      <c r="J37" s="435"/>
      <c r="K37" s="436"/>
      <c r="L37" s="1269"/>
      <c r="M37" s="435"/>
      <c r="N37" s="436"/>
      <c r="O37" s="1115"/>
      <c r="P37" s="211"/>
      <c r="Q37" s="222"/>
      <c r="R37" s="474"/>
      <c r="S37" s="471" t="s">
        <v>348</v>
      </c>
      <c r="T37" s="492">
        <v>24420</v>
      </c>
      <c r="U37" s="492">
        <v>24522</v>
      </c>
      <c r="V37" s="934">
        <v>24537</v>
      </c>
      <c r="W37" s="1662"/>
      <c r="X37" s="11"/>
      <c r="Y37" s="11"/>
      <c r="Z37" s="11"/>
      <c r="AA37" s="14"/>
    </row>
    <row r="38" spans="1:28" s="1" customFormat="1" ht="16.5" customHeight="1" x14ac:dyDescent="0.2">
      <c r="A38" s="129"/>
      <c r="B38" s="1203"/>
      <c r="C38" s="12"/>
      <c r="D38" s="449" t="s">
        <v>13</v>
      </c>
      <c r="E38" s="1518" t="s">
        <v>27</v>
      </c>
      <c r="F38" s="967"/>
      <c r="G38" s="445">
        <v>11030201</v>
      </c>
      <c r="H38" s="1240"/>
      <c r="I38" s="270"/>
      <c r="J38" s="257"/>
      <c r="K38" s="258"/>
      <c r="L38" s="473"/>
      <c r="M38" s="257"/>
      <c r="N38" s="258"/>
      <c r="O38" s="280"/>
      <c r="P38" s="257"/>
      <c r="Q38" s="258"/>
      <c r="R38" s="473"/>
      <c r="S38" s="471" t="s">
        <v>349</v>
      </c>
      <c r="T38" s="492">
        <v>12</v>
      </c>
      <c r="U38" s="936">
        <v>12</v>
      </c>
      <c r="V38" s="938">
        <v>12</v>
      </c>
      <c r="W38" s="1662"/>
      <c r="X38" s="280"/>
      <c r="Y38" s="280"/>
      <c r="AA38" s="14"/>
    </row>
    <row r="39" spans="1:28" s="1" customFormat="1" ht="28.5" customHeight="1" x14ac:dyDescent="0.2">
      <c r="A39" s="129"/>
      <c r="B39" s="1203"/>
      <c r="C39" s="12"/>
      <c r="D39" s="150"/>
      <c r="E39" s="1519"/>
      <c r="F39" s="967"/>
      <c r="G39" s="199"/>
      <c r="H39" s="1240"/>
      <c r="I39" s="270"/>
      <c r="J39" s="665"/>
      <c r="K39" s="666"/>
      <c r="L39" s="893"/>
      <c r="M39" s="665"/>
      <c r="N39" s="666"/>
      <c r="O39" s="667"/>
      <c r="P39" s="665"/>
      <c r="Q39" s="666"/>
      <c r="R39" s="893"/>
      <c r="S39" s="471" t="s">
        <v>350</v>
      </c>
      <c r="T39" s="492">
        <v>2</v>
      </c>
      <c r="U39" s="936">
        <v>3</v>
      </c>
      <c r="V39" s="938">
        <v>2</v>
      </c>
      <c r="W39" s="1662"/>
      <c r="X39" s="11"/>
      <c r="AA39" s="14"/>
    </row>
    <row r="40" spans="1:28" s="1" customFormat="1" ht="18" customHeight="1" x14ac:dyDescent="0.2">
      <c r="A40" s="129"/>
      <c r="B40" s="1203"/>
      <c r="C40" s="12"/>
      <c r="D40" s="150"/>
      <c r="E40" s="1206"/>
      <c r="F40" s="967"/>
      <c r="G40" s="199"/>
      <c r="H40" s="1240"/>
      <c r="I40" s="270"/>
      <c r="J40" s="665"/>
      <c r="K40" s="666"/>
      <c r="L40" s="893"/>
      <c r="M40" s="665"/>
      <c r="N40" s="666"/>
      <c r="O40" s="667"/>
      <c r="P40" s="665"/>
      <c r="Q40" s="666"/>
      <c r="R40" s="893"/>
      <c r="S40" s="471" t="s">
        <v>351</v>
      </c>
      <c r="T40" s="492">
        <v>2</v>
      </c>
      <c r="U40" s="936">
        <v>2</v>
      </c>
      <c r="V40" s="938">
        <v>2</v>
      </c>
      <c r="W40" s="1662"/>
      <c r="X40" s="11"/>
      <c r="AA40" s="14"/>
      <c r="AB40" s="14"/>
    </row>
    <row r="41" spans="1:28" s="1" customFormat="1" ht="18" customHeight="1" x14ac:dyDescent="0.2">
      <c r="A41" s="129"/>
      <c r="B41" s="1203"/>
      <c r="C41" s="12"/>
      <c r="D41" s="150"/>
      <c r="E41" s="1206"/>
      <c r="F41" s="967"/>
      <c r="G41" s="199"/>
      <c r="H41" s="1240"/>
      <c r="I41" s="270"/>
      <c r="J41" s="665"/>
      <c r="K41" s="666"/>
      <c r="L41" s="893"/>
      <c r="M41" s="665"/>
      <c r="N41" s="666"/>
      <c r="O41" s="667"/>
      <c r="P41" s="665"/>
      <c r="Q41" s="666"/>
      <c r="R41" s="893"/>
      <c r="S41" s="471" t="s">
        <v>352</v>
      </c>
      <c r="T41" s="492">
        <v>1</v>
      </c>
      <c r="U41" s="936"/>
      <c r="V41" s="938">
        <v>1</v>
      </c>
      <c r="W41" s="1663"/>
      <c r="X41" s="11"/>
      <c r="AA41" s="14"/>
      <c r="AB41" s="14"/>
    </row>
    <row r="42" spans="1:28" s="1" customFormat="1" ht="17.25" customHeight="1" x14ac:dyDescent="0.2">
      <c r="A42" s="129"/>
      <c r="B42" s="1203"/>
      <c r="C42" s="12"/>
      <c r="D42" s="150"/>
      <c r="E42" s="1206"/>
      <c r="F42" s="967"/>
      <c r="G42" s="199"/>
      <c r="H42" s="1240"/>
      <c r="I42" s="270"/>
      <c r="J42" s="665"/>
      <c r="K42" s="666"/>
      <c r="L42" s="893"/>
      <c r="M42" s="665"/>
      <c r="N42" s="666"/>
      <c r="O42" s="667"/>
      <c r="P42" s="665"/>
      <c r="Q42" s="666"/>
      <c r="R42" s="893"/>
      <c r="S42" s="471" t="s">
        <v>353</v>
      </c>
      <c r="T42" s="939"/>
      <c r="U42" s="936">
        <v>1</v>
      </c>
      <c r="V42" s="938"/>
      <c r="W42" s="938"/>
      <c r="X42" s="11"/>
      <c r="AA42" s="14"/>
    </row>
    <row r="43" spans="1:28" s="1" customFormat="1" ht="27.75" customHeight="1" x14ac:dyDescent="0.2">
      <c r="A43" s="129"/>
      <c r="B43" s="1203"/>
      <c r="C43" s="12"/>
      <c r="D43" s="150"/>
      <c r="E43" s="1206"/>
      <c r="F43" s="967"/>
      <c r="G43" s="199"/>
      <c r="H43" s="1240"/>
      <c r="I43" s="270"/>
      <c r="J43" s="665"/>
      <c r="K43" s="666"/>
      <c r="L43" s="893"/>
      <c r="M43" s="665"/>
      <c r="N43" s="666"/>
      <c r="O43" s="667"/>
      <c r="P43" s="665"/>
      <c r="Q43" s="666"/>
      <c r="R43" s="893"/>
      <c r="S43" s="471" t="s">
        <v>354</v>
      </c>
      <c r="T43" s="492"/>
      <c r="U43" s="936">
        <v>1</v>
      </c>
      <c r="V43" s="938"/>
      <c r="W43" s="938"/>
      <c r="X43" s="11"/>
      <c r="AA43" s="14"/>
      <c r="AB43" s="14"/>
    </row>
    <row r="44" spans="1:28" s="1" customFormat="1" ht="28.5" customHeight="1" x14ac:dyDescent="0.2">
      <c r="A44" s="129"/>
      <c r="B44" s="1203"/>
      <c r="C44" s="12"/>
      <c r="D44" s="150"/>
      <c r="E44" s="1206"/>
      <c r="F44" s="967"/>
      <c r="G44" s="199"/>
      <c r="H44" s="1240"/>
      <c r="I44" s="270"/>
      <c r="J44" s="665"/>
      <c r="K44" s="666"/>
      <c r="L44" s="893"/>
      <c r="M44" s="665"/>
      <c r="N44" s="666"/>
      <c r="O44" s="667"/>
      <c r="P44" s="665"/>
      <c r="Q44" s="666"/>
      <c r="R44" s="893"/>
      <c r="S44" s="471" t="s">
        <v>355</v>
      </c>
      <c r="T44" s="492"/>
      <c r="U44" s="940"/>
      <c r="V44" s="937">
        <v>1</v>
      </c>
      <c r="W44" s="937"/>
      <c r="X44" s="11"/>
      <c r="AA44" s="14"/>
    </row>
    <row r="45" spans="1:28" s="1" customFormat="1" ht="16.5" customHeight="1" x14ac:dyDescent="0.2">
      <c r="A45" s="129"/>
      <c r="B45" s="1203"/>
      <c r="C45" s="12"/>
      <c r="D45" s="449" t="s">
        <v>19</v>
      </c>
      <c r="E45" s="1518" t="s">
        <v>28</v>
      </c>
      <c r="F45" s="967"/>
      <c r="G45" s="199">
        <v>11030301</v>
      </c>
      <c r="H45" s="1240"/>
      <c r="I45" s="270"/>
      <c r="J45" s="257"/>
      <c r="K45" s="258"/>
      <c r="L45" s="473"/>
      <c r="M45" s="257"/>
      <c r="N45" s="258"/>
      <c r="O45" s="280"/>
      <c r="P45" s="257"/>
      <c r="Q45" s="258"/>
      <c r="R45" s="473"/>
      <c r="S45" s="540" t="s">
        <v>356</v>
      </c>
      <c r="T45" s="492">
        <v>4</v>
      </c>
      <c r="U45" s="492"/>
      <c r="V45" s="934"/>
      <c r="W45" s="934"/>
      <c r="X45" s="11"/>
      <c r="Z45" s="14"/>
    </row>
    <row r="46" spans="1:28" s="1" customFormat="1" ht="15" customHeight="1" x14ac:dyDescent="0.2">
      <c r="A46" s="129"/>
      <c r="B46" s="1203"/>
      <c r="C46" s="12"/>
      <c r="D46" s="150"/>
      <c r="E46" s="1519"/>
      <c r="F46" s="967"/>
      <c r="G46" s="199"/>
      <c r="H46" s="1240"/>
      <c r="I46" s="270"/>
      <c r="J46" s="257"/>
      <c r="K46" s="258"/>
      <c r="L46" s="473"/>
      <c r="M46" s="257"/>
      <c r="N46" s="258"/>
      <c r="O46" s="280"/>
      <c r="P46" s="257"/>
      <c r="Q46" s="258"/>
      <c r="R46" s="473"/>
      <c r="S46" s="540" t="s">
        <v>357</v>
      </c>
      <c r="T46" s="492"/>
      <c r="U46" s="492">
        <v>2</v>
      </c>
      <c r="V46" s="935"/>
      <c r="W46" s="935"/>
      <c r="X46" s="11"/>
      <c r="Z46" s="14"/>
    </row>
    <row r="47" spans="1:28" s="1" customFormat="1" ht="30" customHeight="1" x14ac:dyDescent="0.2">
      <c r="A47" s="129"/>
      <c r="B47" s="1203"/>
      <c r="C47" s="12"/>
      <c r="D47" s="150"/>
      <c r="E47" s="1206"/>
      <c r="F47" s="967"/>
      <c r="G47" s="199"/>
      <c r="H47" s="1240"/>
      <c r="I47" s="270"/>
      <c r="J47" s="257"/>
      <c r="K47" s="258"/>
      <c r="L47" s="473"/>
      <c r="M47" s="257"/>
      <c r="N47" s="258"/>
      <c r="O47" s="280"/>
      <c r="P47" s="257"/>
      <c r="Q47" s="258"/>
      <c r="R47" s="473"/>
      <c r="S47" s="540" t="s">
        <v>334</v>
      </c>
      <c r="T47" s="1091"/>
      <c r="U47" s="1092">
        <v>1</v>
      </c>
      <c r="V47" s="1093"/>
      <c r="W47" s="1093"/>
      <c r="X47" s="11"/>
      <c r="Z47" s="14"/>
    </row>
    <row r="48" spans="1:28" s="1" customFormat="1" ht="18" customHeight="1" x14ac:dyDescent="0.2">
      <c r="A48" s="129"/>
      <c r="B48" s="1203"/>
      <c r="C48" s="12"/>
      <c r="D48" s="449" t="s">
        <v>21</v>
      </c>
      <c r="E48" s="1518" t="s">
        <v>29</v>
      </c>
      <c r="F48" s="967"/>
      <c r="G48" s="200">
        <v>11030401</v>
      </c>
      <c r="H48" s="1240"/>
      <c r="I48" s="270"/>
      <c r="J48" s="257"/>
      <c r="K48" s="258"/>
      <c r="L48" s="473"/>
      <c r="M48" s="257"/>
      <c r="N48" s="258"/>
      <c r="O48" s="280"/>
      <c r="P48" s="257"/>
      <c r="Q48" s="258"/>
      <c r="R48" s="473"/>
      <c r="S48" s="911" t="s">
        <v>356</v>
      </c>
      <c r="T48" s="942">
        <v>1</v>
      </c>
      <c r="U48" s="492"/>
      <c r="V48" s="934"/>
      <c r="W48" s="934"/>
      <c r="X48" s="11"/>
      <c r="Y48" s="14"/>
      <c r="AA48" s="14"/>
      <c r="AB48" s="14"/>
    </row>
    <row r="49" spans="1:31" s="1" customFormat="1" ht="16.5" customHeight="1" x14ac:dyDescent="0.2">
      <c r="A49" s="129"/>
      <c r="B49" s="1203"/>
      <c r="C49" s="12"/>
      <c r="D49" s="150"/>
      <c r="E49" s="1530"/>
      <c r="F49" s="967"/>
      <c r="G49" s="200"/>
      <c r="H49" s="1240"/>
      <c r="I49" s="270"/>
      <c r="J49" s="257"/>
      <c r="K49" s="258"/>
      <c r="L49" s="473"/>
      <c r="M49" s="257"/>
      <c r="N49" s="258"/>
      <c r="O49" s="280"/>
      <c r="P49" s="257"/>
      <c r="Q49" s="258"/>
      <c r="R49" s="473"/>
      <c r="S49" s="471" t="s">
        <v>358</v>
      </c>
      <c r="T49" s="942">
        <v>1</v>
      </c>
      <c r="U49" s="492">
        <v>1</v>
      </c>
      <c r="V49" s="934"/>
      <c r="W49" s="934"/>
      <c r="X49" s="11"/>
      <c r="Y49" s="14"/>
      <c r="AA49" s="14"/>
      <c r="AB49" s="14"/>
    </row>
    <row r="50" spans="1:31" s="1" customFormat="1" ht="29.25" customHeight="1" x14ac:dyDescent="0.2">
      <c r="A50" s="129"/>
      <c r="B50" s="1203"/>
      <c r="C50" s="12"/>
      <c r="D50" s="449" t="s">
        <v>34</v>
      </c>
      <c r="E50" s="1205" t="s">
        <v>30</v>
      </c>
      <c r="F50" s="967"/>
      <c r="G50" s="200">
        <v>11030501</v>
      </c>
      <c r="H50" s="1240"/>
      <c r="I50" s="270"/>
      <c r="J50" s="257"/>
      <c r="K50" s="258"/>
      <c r="L50" s="473"/>
      <c r="M50" s="257"/>
      <c r="N50" s="258"/>
      <c r="O50" s="280"/>
      <c r="P50" s="257"/>
      <c r="Q50" s="258"/>
      <c r="R50" s="473"/>
      <c r="S50" s="471"/>
      <c r="T50" s="941"/>
      <c r="U50" s="941"/>
      <c r="V50" s="943"/>
      <c r="W50" s="943"/>
      <c r="X50" s="11"/>
      <c r="AC50" s="14"/>
      <c r="AE50" s="14"/>
    </row>
    <row r="51" spans="1:31" s="1" customFormat="1" ht="16.5" customHeight="1" x14ac:dyDescent="0.2">
      <c r="A51" s="129"/>
      <c r="B51" s="1203"/>
      <c r="C51" s="12"/>
      <c r="D51" s="449" t="s">
        <v>63</v>
      </c>
      <c r="E51" s="1518" t="s">
        <v>77</v>
      </c>
      <c r="F51" s="968"/>
      <c r="G51" s="200">
        <v>11030801</v>
      </c>
      <c r="H51" s="1240"/>
      <c r="I51" s="270"/>
      <c r="J51" s="257"/>
      <c r="K51" s="258"/>
      <c r="L51" s="473"/>
      <c r="M51" s="257"/>
      <c r="N51" s="258"/>
      <c r="O51" s="280"/>
      <c r="P51" s="257"/>
      <c r="Q51" s="258"/>
      <c r="R51" s="473"/>
      <c r="S51" s="471" t="s">
        <v>357</v>
      </c>
      <c r="T51" s="942">
        <v>4</v>
      </c>
      <c r="U51" s="496"/>
      <c r="V51" s="945"/>
      <c r="W51" s="945"/>
      <c r="X51" s="11"/>
      <c r="Y51" s="14"/>
      <c r="AA51" s="14"/>
    </row>
    <row r="52" spans="1:31" s="1" customFormat="1" ht="15" customHeight="1" x14ac:dyDescent="0.2">
      <c r="A52" s="129"/>
      <c r="B52" s="1203"/>
      <c r="C52" s="12"/>
      <c r="D52" s="150"/>
      <c r="E52" s="1519"/>
      <c r="F52" s="967"/>
      <c r="G52" s="445"/>
      <c r="H52" s="1240"/>
      <c r="I52" s="270"/>
      <c r="J52" s="257"/>
      <c r="K52" s="258"/>
      <c r="L52" s="473"/>
      <c r="M52" s="257"/>
      <c r="N52" s="258"/>
      <c r="O52" s="280"/>
      <c r="P52" s="257"/>
      <c r="Q52" s="258"/>
      <c r="R52" s="473"/>
      <c r="S52" s="911" t="s">
        <v>359</v>
      </c>
      <c r="T52" s="942">
        <v>2</v>
      </c>
      <c r="U52" s="944"/>
      <c r="V52" s="934"/>
      <c r="W52" s="934"/>
      <c r="X52" s="11"/>
      <c r="Y52" s="14"/>
    </row>
    <row r="53" spans="1:31" s="1" customFormat="1" ht="29.25" customHeight="1" x14ac:dyDescent="0.2">
      <c r="A53" s="129"/>
      <c r="B53" s="1203"/>
      <c r="C53" s="12"/>
      <c r="D53" s="150"/>
      <c r="E53" s="1206"/>
      <c r="F53" s="967"/>
      <c r="G53" s="445"/>
      <c r="H53" s="1240"/>
      <c r="I53" s="270"/>
      <c r="J53" s="231"/>
      <c r="K53" s="240"/>
      <c r="L53" s="529"/>
      <c r="M53" s="231"/>
      <c r="N53" s="240"/>
      <c r="O53" s="284"/>
      <c r="P53" s="231"/>
      <c r="Q53" s="240"/>
      <c r="R53" s="529"/>
      <c r="S53" s="102" t="s">
        <v>360</v>
      </c>
      <c r="T53" s="936">
        <v>1</v>
      </c>
      <c r="U53" s="946"/>
      <c r="V53" s="937"/>
      <c r="W53" s="937"/>
      <c r="X53" s="11"/>
      <c r="Y53" s="14"/>
    </row>
    <row r="54" spans="1:31" s="1" customFormat="1" ht="15.75" customHeight="1" x14ac:dyDescent="0.2">
      <c r="A54" s="129"/>
      <c r="B54" s="1203"/>
      <c r="C54" s="12"/>
      <c r="D54" s="449" t="s">
        <v>156</v>
      </c>
      <c r="E54" s="1558" t="s">
        <v>70</v>
      </c>
      <c r="F54" s="1522" t="s">
        <v>344</v>
      </c>
      <c r="G54" s="1215">
        <v>11020101</v>
      </c>
      <c r="H54" s="1240"/>
      <c r="I54" s="270"/>
      <c r="J54" s="257"/>
      <c r="K54" s="258"/>
      <c r="L54" s="473"/>
      <c r="M54" s="257"/>
      <c r="N54" s="258"/>
      <c r="O54" s="280"/>
      <c r="P54" s="257"/>
      <c r="Q54" s="258"/>
      <c r="R54" s="473"/>
      <c r="S54" s="911" t="s">
        <v>336</v>
      </c>
      <c r="T54" s="492">
        <v>13</v>
      </c>
      <c r="U54" s="492">
        <v>15</v>
      </c>
      <c r="V54" s="935">
        <v>16</v>
      </c>
      <c r="W54" s="935"/>
      <c r="Y54" s="14"/>
      <c r="Z54" s="14"/>
      <c r="AA54" s="14"/>
    </row>
    <row r="55" spans="1:31" s="1" customFormat="1" ht="15.75" customHeight="1" x14ac:dyDescent="0.2">
      <c r="A55" s="129"/>
      <c r="B55" s="1203"/>
      <c r="C55" s="12"/>
      <c r="D55" s="150"/>
      <c r="E55" s="1526"/>
      <c r="F55" s="1522"/>
      <c r="G55" s="1242"/>
      <c r="H55" s="1240"/>
      <c r="I55" s="270"/>
      <c r="J55" s="231"/>
      <c r="K55" s="240"/>
      <c r="L55" s="529"/>
      <c r="M55" s="231"/>
      <c r="N55" s="240"/>
      <c r="O55" s="284"/>
      <c r="P55" s="231"/>
      <c r="Q55" s="240"/>
      <c r="R55" s="529"/>
      <c r="S55" s="913" t="s">
        <v>357</v>
      </c>
      <c r="T55" s="492">
        <v>2</v>
      </c>
      <c r="U55" s="492"/>
      <c r="V55" s="947"/>
      <c r="W55" s="947"/>
      <c r="Y55" s="14"/>
      <c r="Z55" s="14"/>
    </row>
    <row r="56" spans="1:31" s="1" customFormat="1" ht="17.25" customHeight="1" x14ac:dyDescent="0.2">
      <c r="A56" s="129"/>
      <c r="B56" s="1203"/>
      <c r="C56" s="12"/>
      <c r="D56" s="150"/>
      <c r="E56" s="1209"/>
      <c r="F56" s="1522"/>
      <c r="G56" s="1242"/>
      <c r="H56" s="1240"/>
      <c r="I56" s="270"/>
      <c r="J56" s="231"/>
      <c r="K56" s="240"/>
      <c r="L56" s="529"/>
      <c r="M56" s="231"/>
      <c r="N56" s="240"/>
      <c r="O56" s="284"/>
      <c r="P56" s="231"/>
      <c r="Q56" s="240"/>
      <c r="R56" s="529"/>
      <c r="S56" s="912" t="s">
        <v>338</v>
      </c>
      <c r="T56" s="492">
        <v>2</v>
      </c>
      <c r="U56" s="492"/>
      <c r="V56" s="947"/>
      <c r="W56" s="947"/>
      <c r="Y56" s="14"/>
      <c r="Z56" s="14"/>
      <c r="AB56" s="14"/>
      <c r="AD56" s="14"/>
    </row>
    <row r="57" spans="1:31" s="1" customFormat="1" ht="31.5" customHeight="1" x14ac:dyDescent="0.2">
      <c r="A57" s="129"/>
      <c r="B57" s="1203"/>
      <c r="C57" s="12"/>
      <c r="D57" s="150"/>
      <c r="E57" s="1209"/>
      <c r="F57" s="1522"/>
      <c r="G57" s="1242"/>
      <c r="H57" s="1240"/>
      <c r="I57" s="270"/>
      <c r="J57" s="231"/>
      <c r="K57" s="240"/>
      <c r="L57" s="529"/>
      <c r="M57" s="231"/>
      <c r="N57" s="240"/>
      <c r="O57" s="284"/>
      <c r="P57" s="231"/>
      <c r="Q57" s="240"/>
      <c r="R57" s="529"/>
      <c r="S57" s="912" t="s">
        <v>361</v>
      </c>
      <c r="T57" s="492"/>
      <c r="U57" s="492">
        <v>1</v>
      </c>
      <c r="V57" s="947"/>
      <c r="W57" s="947"/>
      <c r="Y57" s="14"/>
      <c r="Z57" s="14"/>
      <c r="AC57" s="14"/>
    </row>
    <row r="58" spans="1:31" s="1" customFormat="1" ht="29.25" customHeight="1" x14ac:dyDescent="0.2">
      <c r="A58" s="129"/>
      <c r="B58" s="1203"/>
      <c r="C58" s="12"/>
      <c r="D58" s="446" t="s">
        <v>157</v>
      </c>
      <c r="E58" s="106" t="s">
        <v>123</v>
      </c>
      <c r="F58" s="967"/>
      <c r="G58" s="199">
        <v>11020102</v>
      </c>
      <c r="H58" s="1240"/>
      <c r="I58" s="13"/>
      <c r="J58" s="257"/>
      <c r="K58" s="258"/>
      <c r="L58" s="473"/>
      <c r="M58" s="257"/>
      <c r="N58" s="258"/>
      <c r="O58" s="280"/>
      <c r="P58" s="257"/>
      <c r="Q58" s="258"/>
      <c r="R58" s="473"/>
      <c r="S58" s="910" t="s">
        <v>340</v>
      </c>
      <c r="T58" s="496">
        <v>4</v>
      </c>
      <c r="U58" s="492">
        <v>4</v>
      </c>
      <c r="V58" s="948">
        <v>4</v>
      </c>
      <c r="W58" s="948"/>
      <c r="Y58" s="14"/>
      <c r="Z58" s="14"/>
    </row>
    <row r="59" spans="1:31" s="1" customFormat="1" ht="29.25" customHeight="1" x14ac:dyDescent="0.2">
      <c r="A59" s="129"/>
      <c r="B59" s="1203"/>
      <c r="C59" s="12"/>
      <c r="D59" s="150" t="s">
        <v>158</v>
      </c>
      <c r="E59" s="1558" t="s">
        <v>74</v>
      </c>
      <c r="F59" s="967"/>
      <c r="G59" s="1560">
        <v>11031001</v>
      </c>
      <c r="H59" s="437"/>
      <c r="I59" s="66"/>
      <c r="J59" s="257"/>
      <c r="K59" s="258"/>
      <c r="L59" s="473"/>
      <c r="M59" s="257"/>
      <c r="N59" s="258"/>
      <c r="O59" s="280"/>
      <c r="P59" s="257"/>
      <c r="Q59" s="258"/>
      <c r="R59" s="473"/>
      <c r="S59" s="914" t="s">
        <v>121</v>
      </c>
      <c r="T59" s="949">
        <v>6</v>
      </c>
      <c r="U59" s="950">
        <v>6</v>
      </c>
      <c r="V59" s="933">
        <v>6</v>
      </c>
      <c r="W59" s="933"/>
      <c r="Y59" s="14"/>
      <c r="Z59" s="14"/>
      <c r="AA59" s="14"/>
      <c r="AB59" s="14"/>
    </row>
    <row r="60" spans="1:31" s="1" customFormat="1" ht="15.75" customHeight="1" thickBot="1" x14ac:dyDescent="0.25">
      <c r="A60" s="130"/>
      <c r="B60" s="1204"/>
      <c r="C60" s="15"/>
      <c r="D60" s="448"/>
      <c r="E60" s="1559"/>
      <c r="F60" s="969"/>
      <c r="G60" s="1561"/>
      <c r="H60" s="438"/>
      <c r="I60" s="16" t="s">
        <v>18</v>
      </c>
      <c r="J60" s="232">
        <f>SUM(J31:J59)</f>
        <v>5199.2000000000007</v>
      </c>
      <c r="K60" s="241">
        <f>SUM(K31:K59)</f>
        <v>5338.3</v>
      </c>
      <c r="L60" s="497">
        <f>SUM(L31:L59)</f>
        <v>139.09999999999945</v>
      </c>
      <c r="M60" s="232">
        <f t="shared" ref="M60:R60" si="11">SUM(M31:M59)</f>
        <v>5182.5</v>
      </c>
      <c r="N60" s="241">
        <f t="shared" si="11"/>
        <v>5182.5</v>
      </c>
      <c r="O60" s="498">
        <f t="shared" si="11"/>
        <v>0</v>
      </c>
      <c r="P60" s="232">
        <f t="shared" si="11"/>
        <v>5144.6000000000004</v>
      </c>
      <c r="Q60" s="241">
        <f t="shared" si="11"/>
        <v>5144.6000000000004</v>
      </c>
      <c r="R60" s="368">
        <f t="shared" si="11"/>
        <v>0</v>
      </c>
      <c r="S60" s="915"/>
      <c r="T60" s="554"/>
      <c r="U60" s="295"/>
      <c r="V60" s="296"/>
      <c r="W60" s="296"/>
      <c r="X60" s="11"/>
    </row>
    <row r="61" spans="1:31" s="1" customFormat="1" ht="17.25" customHeight="1" x14ac:dyDescent="0.2">
      <c r="A61" s="131" t="s">
        <v>13</v>
      </c>
      <c r="B61" s="1202" t="s">
        <v>19</v>
      </c>
      <c r="C61" s="10" t="s">
        <v>19</v>
      </c>
      <c r="D61" s="447"/>
      <c r="E61" s="1562" t="s">
        <v>324</v>
      </c>
      <c r="F61" s="177"/>
      <c r="G61" s="192"/>
      <c r="H61" s="439" t="s">
        <v>16</v>
      </c>
      <c r="I61" s="17" t="s">
        <v>17</v>
      </c>
      <c r="J61" s="233">
        <v>670.4</v>
      </c>
      <c r="K61" s="242">
        <v>670.4</v>
      </c>
      <c r="L61" s="1116"/>
      <c r="M61" s="233">
        <f>712.8-42.4</f>
        <v>670.4</v>
      </c>
      <c r="N61" s="242">
        <f>712.8-42.4</f>
        <v>670.4</v>
      </c>
      <c r="O61" s="1116"/>
      <c r="P61" s="233">
        <f>727.8-57.4</f>
        <v>670.4</v>
      </c>
      <c r="Q61" s="242">
        <f>727.8-57.4</f>
        <v>670.4</v>
      </c>
      <c r="R61" s="499"/>
      <c r="S61" s="1212" t="s">
        <v>325</v>
      </c>
      <c r="T61" s="298">
        <v>100</v>
      </c>
      <c r="U61" s="298">
        <v>110</v>
      </c>
      <c r="V61" s="299">
        <v>115</v>
      </c>
      <c r="W61" s="299"/>
      <c r="Y61" s="14"/>
      <c r="Z61" s="14"/>
    </row>
    <row r="62" spans="1:31" s="1" customFormat="1" ht="17.25" customHeight="1" x14ac:dyDescent="0.2">
      <c r="A62" s="132"/>
      <c r="B62" s="1203"/>
      <c r="C62" s="12"/>
      <c r="D62" s="150"/>
      <c r="E62" s="1563"/>
      <c r="F62" s="178"/>
      <c r="G62" s="193"/>
      <c r="H62" s="440"/>
      <c r="I62" s="43" t="s">
        <v>43</v>
      </c>
      <c r="J62" s="213">
        <v>18.600000000000001</v>
      </c>
      <c r="K62" s="223">
        <v>18.600000000000001</v>
      </c>
      <c r="L62" s="500"/>
      <c r="M62" s="213">
        <v>18.600000000000001</v>
      </c>
      <c r="N62" s="223">
        <v>18.600000000000001</v>
      </c>
      <c r="O62" s="500"/>
      <c r="P62" s="213">
        <v>18.600000000000001</v>
      </c>
      <c r="Q62" s="223">
        <v>18.600000000000001</v>
      </c>
      <c r="R62" s="218"/>
      <c r="S62" s="916"/>
      <c r="T62" s="381"/>
      <c r="U62" s="322"/>
      <c r="V62" s="323"/>
      <c r="W62" s="323"/>
      <c r="Y62" s="14"/>
    </row>
    <row r="63" spans="1:31" s="1" customFormat="1" ht="30.75" customHeight="1" x14ac:dyDescent="0.2">
      <c r="A63" s="133"/>
      <c r="B63" s="84"/>
      <c r="C63" s="18"/>
      <c r="D63" s="449" t="s">
        <v>13</v>
      </c>
      <c r="E63" s="493" t="s">
        <v>32</v>
      </c>
      <c r="F63" s="178"/>
      <c r="G63" s="1235">
        <v>11030608</v>
      </c>
      <c r="H63" s="441"/>
      <c r="I63" s="13"/>
      <c r="J63" s="257"/>
      <c r="K63" s="258"/>
      <c r="L63" s="280"/>
      <c r="M63" s="257"/>
      <c r="N63" s="258"/>
      <c r="O63" s="280"/>
      <c r="P63" s="257"/>
      <c r="Q63" s="258"/>
      <c r="R63" s="473"/>
      <c r="S63" s="910" t="s">
        <v>113</v>
      </c>
      <c r="T63" s="592">
        <v>210</v>
      </c>
      <c r="U63" s="292">
        <v>210</v>
      </c>
      <c r="V63" s="293">
        <v>210</v>
      </c>
      <c r="W63" s="293"/>
      <c r="AA63" s="14"/>
      <c r="AC63" s="14"/>
    </row>
    <row r="64" spans="1:31" s="1" customFormat="1" ht="30" customHeight="1" x14ac:dyDescent="0.2">
      <c r="A64" s="132"/>
      <c r="B64" s="1362"/>
      <c r="C64" s="1389"/>
      <c r="D64" s="446" t="s">
        <v>19</v>
      </c>
      <c r="E64" s="19" t="s">
        <v>195</v>
      </c>
      <c r="F64" s="178"/>
      <c r="G64" s="613">
        <v>1102020101</v>
      </c>
      <c r="H64" s="440"/>
      <c r="I64" s="13"/>
      <c r="J64" s="231"/>
      <c r="K64" s="240"/>
      <c r="L64" s="284"/>
      <c r="M64" s="231"/>
      <c r="N64" s="240"/>
      <c r="O64" s="284"/>
      <c r="P64" s="231"/>
      <c r="Q64" s="240"/>
      <c r="R64" s="529"/>
      <c r="S64" s="917" t="s">
        <v>112</v>
      </c>
      <c r="T64" s="430">
        <v>40</v>
      </c>
      <c r="U64" s="317">
        <v>40</v>
      </c>
      <c r="V64" s="894">
        <v>40</v>
      </c>
      <c r="W64" s="894"/>
      <c r="Y64" s="14"/>
      <c r="Z64" s="14" t="s">
        <v>67</v>
      </c>
      <c r="AA64" s="14"/>
    </row>
    <row r="65" spans="1:29" s="1" customFormat="1" ht="30" customHeight="1" x14ac:dyDescent="0.2">
      <c r="A65" s="132"/>
      <c r="B65" s="1203"/>
      <c r="C65" s="12"/>
      <c r="D65" s="607" t="s">
        <v>21</v>
      </c>
      <c r="E65" s="1239" t="s">
        <v>196</v>
      </c>
      <c r="F65" s="178"/>
      <c r="G65" s="193"/>
      <c r="H65" s="440"/>
      <c r="I65" s="13"/>
      <c r="J65" s="231"/>
      <c r="K65" s="240"/>
      <c r="L65" s="284"/>
      <c r="M65" s="231"/>
      <c r="N65" s="240"/>
      <c r="O65" s="284"/>
      <c r="P65" s="231"/>
      <c r="Q65" s="240"/>
      <c r="R65" s="529"/>
      <c r="S65" s="917" t="s">
        <v>112</v>
      </c>
      <c r="T65" s="380">
        <v>30</v>
      </c>
      <c r="U65" s="309">
        <v>30</v>
      </c>
      <c r="V65" s="290">
        <v>30</v>
      </c>
      <c r="W65" s="290"/>
      <c r="Y65" s="14"/>
      <c r="Z65" s="14"/>
      <c r="AA65" s="14"/>
      <c r="AB65" s="14"/>
    </row>
    <row r="66" spans="1:29" s="1" customFormat="1" ht="30" customHeight="1" x14ac:dyDescent="0.2">
      <c r="A66" s="132"/>
      <c r="B66" s="1203"/>
      <c r="C66" s="12"/>
      <c r="D66" s="449" t="s">
        <v>34</v>
      </c>
      <c r="E66" s="493" t="s">
        <v>197</v>
      </c>
      <c r="F66" s="179"/>
      <c r="G66" s="1235">
        <v>11020204</v>
      </c>
      <c r="H66" s="440"/>
      <c r="I66" s="13"/>
      <c r="J66" s="505"/>
      <c r="K66" s="506"/>
      <c r="L66" s="507"/>
      <c r="M66" s="257"/>
      <c r="N66" s="258"/>
      <c r="O66" s="280"/>
      <c r="P66" s="257"/>
      <c r="Q66" s="258"/>
      <c r="R66" s="473"/>
      <c r="S66" s="1208" t="s">
        <v>341</v>
      </c>
      <c r="T66" s="431">
        <v>11</v>
      </c>
      <c r="U66" s="292">
        <v>12</v>
      </c>
      <c r="V66" s="293">
        <v>13</v>
      </c>
      <c r="W66" s="293"/>
      <c r="Z66" s="14"/>
      <c r="AB66" s="14"/>
    </row>
    <row r="67" spans="1:29" s="1" customFormat="1" ht="15.75" customHeight="1" x14ac:dyDescent="0.2">
      <c r="A67" s="132"/>
      <c r="B67" s="1203"/>
      <c r="C67" s="12"/>
      <c r="D67" s="449" t="s">
        <v>63</v>
      </c>
      <c r="E67" s="1595" t="s">
        <v>33</v>
      </c>
      <c r="F67" s="179"/>
      <c r="G67" s="1246">
        <v>11020202</v>
      </c>
      <c r="H67" s="440"/>
      <c r="I67" s="58"/>
      <c r="J67" s="231"/>
      <c r="K67" s="240"/>
      <c r="L67" s="284"/>
      <c r="M67" s="257"/>
      <c r="N67" s="258"/>
      <c r="O67" s="280"/>
      <c r="P67" s="257"/>
      <c r="Q67" s="258"/>
      <c r="R67" s="473"/>
      <c r="S67" s="1523" t="s">
        <v>342</v>
      </c>
      <c r="T67" s="431">
        <v>313</v>
      </c>
      <c r="U67" s="292">
        <v>320</v>
      </c>
      <c r="V67" s="293">
        <v>320</v>
      </c>
      <c r="W67" s="293"/>
      <c r="Z67" s="14"/>
    </row>
    <row r="68" spans="1:29" s="1" customFormat="1" ht="15.75" customHeight="1" thickBot="1" x14ac:dyDescent="0.25">
      <c r="A68" s="134"/>
      <c r="B68" s="1204"/>
      <c r="C68" s="15"/>
      <c r="D68" s="448"/>
      <c r="E68" s="1553"/>
      <c r="F68" s="970"/>
      <c r="G68" s="1214"/>
      <c r="H68" s="442"/>
      <c r="I68" s="1231" t="s">
        <v>18</v>
      </c>
      <c r="J68" s="508">
        <f>SUM(J61:J67)</f>
        <v>689</v>
      </c>
      <c r="K68" s="509">
        <f>SUM(K61:K67)</f>
        <v>689</v>
      </c>
      <c r="L68" s="1117"/>
      <c r="M68" s="508">
        <f t="shared" ref="M68:R68" si="12">SUM(M61:M67)</f>
        <v>689</v>
      </c>
      <c r="N68" s="509">
        <f t="shared" si="12"/>
        <v>689</v>
      </c>
      <c r="O68" s="1117">
        <f t="shared" si="12"/>
        <v>0</v>
      </c>
      <c r="P68" s="508">
        <f t="shared" si="12"/>
        <v>689</v>
      </c>
      <c r="Q68" s="509">
        <f t="shared" si="12"/>
        <v>689</v>
      </c>
      <c r="R68" s="370">
        <f t="shared" si="12"/>
        <v>0</v>
      </c>
      <c r="S68" s="1460"/>
      <c r="T68" s="554"/>
      <c r="U68" s="295"/>
      <c r="V68" s="296"/>
      <c r="W68" s="296"/>
      <c r="Z68" s="14"/>
      <c r="AA68" s="14"/>
    </row>
    <row r="69" spans="1:29" s="1" customFormat="1" ht="106.5" customHeight="1" x14ac:dyDescent="0.2">
      <c r="A69" s="135" t="s">
        <v>13</v>
      </c>
      <c r="B69" s="1202" t="s">
        <v>19</v>
      </c>
      <c r="C69" s="1198" t="s">
        <v>21</v>
      </c>
      <c r="D69" s="447"/>
      <c r="E69" s="1659" t="s">
        <v>198</v>
      </c>
      <c r="F69" s="971"/>
      <c r="G69" s="1556">
        <v>11020205</v>
      </c>
      <c r="H69" s="439" t="s">
        <v>16</v>
      </c>
      <c r="I69" s="6" t="s">
        <v>17</v>
      </c>
      <c r="J69" s="236">
        <v>583.79999999999995</v>
      </c>
      <c r="K69" s="1283">
        <f>583.8-2.7</f>
        <v>581.09999999999991</v>
      </c>
      <c r="L69" s="1387">
        <f>+K69-J69</f>
        <v>-2.7000000000000455</v>
      </c>
      <c r="M69" s="236">
        <v>600</v>
      </c>
      <c r="N69" s="245">
        <v>600</v>
      </c>
      <c r="O69" s="422"/>
      <c r="P69" s="279">
        <v>604</v>
      </c>
      <c r="Q69" s="373">
        <v>604</v>
      </c>
      <c r="R69" s="1126"/>
      <c r="S69" s="1540" t="s">
        <v>223</v>
      </c>
      <c r="T69" s="843">
        <v>2.9</v>
      </c>
      <c r="U69" s="844">
        <v>3</v>
      </c>
      <c r="V69" s="845">
        <v>3</v>
      </c>
      <c r="W69" s="1664" t="s">
        <v>390</v>
      </c>
    </row>
    <row r="70" spans="1:29" s="1" customFormat="1" ht="15.75" customHeight="1" thickBot="1" x14ac:dyDescent="0.25">
      <c r="A70" s="137"/>
      <c r="B70" s="1204"/>
      <c r="C70" s="1087"/>
      <c r="D70" s="448"/>
      <c r="E70" s="1660"/>
      <c r="F70" s="972"/>
      <c r="G70" s="1557"/>
      <c r="H70" s="442"/>
      <c r="I70" s="1236" t="s">
        <v>18</v>
      </c>
      <c r="J70" s="235">
        <f t="shared" ref="J70:P70" si="13">+J69</f>
        <v>583.79999999999995</v>
      </c>
      <c r="K70" s="244">
        <f t="shared" ref="K70:L70" si="14">+K69</f>
        <v>581.09999999999991</v>
      </c>
      <c r="L70" s="244">
        <f t="shared" si="14"/>
        <v>-2.7000000000000455</v>
      </c>
      <c r="M70" s="214">
        <f t="shared" si="13"/>
        <v>600</v>
      </c>
      <c r="N70" s="224">
        <f t="shared" ref="N70:O70" si="15">+N69</f>
        <v>600</v>
      </c>
      <c r="O70" s="282">
        <f t="shared" si="15"/>
        <v>0</v>
      </c>
      <c r="P70" s="209">
        <f t="shared" si="13"/>
        <v>604</v>
      </c>
      <c r="Q70" s="220">
        <f t="shared" ref="Q70:R70" si="16">+Q69</f>
        <v>604</v>
      </c>
      <c r="R70" s="216">
        <f t="shared" si="16"/>
        <v>0</v>
      </c>
      <c r="S70" s="1524"/>
      <c r="T70" s="554"/>
      <c r="U70" s="295"/>
      <c r="V70" s="296"/>
      <c r="W70" s="1665"/>
    </row>
    <row r="71" spans="1:29" s="617" customFormat="1" ht="17.25" customHeight="1" x14ac:dyDescent="0.2">
      <c r="A71" s="136" t="s">
        <v>13</v>
      </c>
      <c r="B71" s="1203" t="s">
        <v>19</v>
      </c>
      <c r="C71" s="1199" t="s">
        <v>34</v>
      </c>
      <c r="D71" s="150"/>
      <c r="E71" s="1549" t="s">
        <v>199</v>
      </c>
      <c r="F71" s="973"/>
      <c r="G71" s="1551">
        <v>11020406</v>
      </c>
      <c r="H71" s="1229">
        <v>2</v>
      </c>
      <c r="I71" s="621" t="s">
        <v>17</v>
      </c>
      <c r="J71" s="236">
        <f>156.5-63.5</f>
        <v>93</v>
      </c>
      <c r="K71" s="245">
        <f>156.5-63.5</f>
        <v>93</v>
      </c>
      <c r="L71" s="422"/>
      <c r="M71" s="236">
        <v>156.5</v>
      </c>
      <c r="N71" s="245">
        <v>156.5</v>
      </c>
      <c r="O71" s="422"/>
      <c r="P71" s="236">
        <v>156.5</v>
      </c>
      <c r="Q71" s="245">
        <v>156.5</v>
      </c>
      <c r="R71" s="1127"/>
      <c r="S71" s="1540" t="s">
        <v>200</v>
      </c>
      <c r="T71" s="514">
        <v>2019</v>
      </c>
      <c r="U71" s="309">
        <v>2058</v>
      </c>
      <c r="V71" s="310">
        <v>2060</v>
      </c>
      <c r="W71" s="310"/>
      <c r="X71" s="616"/>
      <c r="AB71" s="618"/>
      <c r="AC71" s="616"/>
    </row>
    <row r="72" spans="1:29" s="617" customFormat="1" ht="15.75" customHeight="1" thickBot="1" x14ac:dyDescent="0.25">
      <c r="A72" s="136"/>
      <c r="B72" s="1203"/>
      <c r="C72" s="1199"/>
      <c r="D72" s="150"/>
      <c r="E72" s="1550"/>
      <c r="F72" s="974"/>
      <c r="G72" s="1552"/>
      <c r="H72" s="1230"/>
      <c r="I72" s="1218" t="s">
        <v>18</v>
      </c>
      <c r="J72" s="486">
        <f>+J71</f>
        <v>93</v>
      </c>
      <c r="K72" s="485">
        <f>+K71</f>
        <v>93</v>
      </c>
      <c r="L72" s="487"/>
      <c r="M72" s="486">
        <f t="shared" ref="M72:R72" si="17">+M71</f>
        <v>156.5</v>
      </c>
      <c r="N72" s="485">
        <f t="shared" si="17"/>
        <v>156.5</v>
      </c>
      <c r="O72" s="487">
        <f t="shared" si="17"/>
        <v>0</v>
      </c>
      <c r="P72" s="486">
        <f t="shared" si="17"/>
        <v>156.5</v>
      </c>
      <c r="Q72" s="485">
        <f t="shared" si="17"/>
        <v>156.5</v>
      </c>
      <c r="R72" s="1128">
        <f t="shared" si="17"/>
        <v>0</v>
      </c>
      <c r="S72" s="1524"/>
      <c r="T72" s="514"/>
      <c r="U72" s="309"/>
      <c r="V72" s="310"/>
      <c r="W72" s="310"/>
      <c r="AB72" s="618"/>
      <c r="AC72" s="616"/>
    </row>
    <row r="73" spans="1:29" s="617" customFormat="1" ht="21" customHeight="1" x14ac:dyDescent="0.2">
      <c r="A73" s="135" t="s">
        <v>13</v>
      </c>
      <c r="B73" s="1202" t="s">
        <v>19</v>
      </c>
      <c r="C73" s="1198" t="s">
        <v>63</v>
      </c>
      <c r="D73" s="447"/>
      <c r="E73" s="1549" t="s">
        <v>201</v>
      </c>
      <c r="F73" s="975"/>
      <c r="G73" s="1554">
        <v>11020205</v>
      </c>
      <c r="H73" s="1229" t="s">
        <v>16</v>
      </c>
      <c r="I73" s="621" t="s">
        <v>17</v>
      </c>
      <c r="J73" s="236">
        <v>5.4</v>
      </c>
      <c r="K73" s="245">
        <v>5.4</v>
      </c>
      <c r="L73" s="422"/>
      <c r="M73" s="236">
        <v>5.4</v>
      </c>
      <c r="N73" s="245">
        <v>5.4</v>
      </c>
      <c r="O73" s="422"/>
      <c r="P73" s="279">
        <v>5.4</v>
      </c>
      <c r="Q73" s="373">
        <v>5.4</v>
      </c>
      <c r="R73" s="1126"/>
      <c r="S73" s="918" t="s">
        <v>202</v>
      </c>
      <c r="T73" s="349">
        <v>18</v>
      </c>
      <c r="U73" s="307">
        <v>18</v>
      </c>
      <c r="V73" s="173">
        <v>18</v>
      </c>
      <c r="W73" s="173"/>
      <c r="X73" s="616"/>
      <c r="Z73" s="842"/>
      <c r="AC73" s="616"/>
    </row>
    <row r="74" spans="1:29" s="617" customFormat="1" ht="18" customHeight="1" thickBot="1" x14ac:dyDescent="0.25">
      <c r="A74" s="137"/>
      <c r="B74" s="1204"/>
      <c r="C74" s="1087"/>
      <c r="D74" s="448"/>
      <c r="E74" s="1553"/>
      <c r="F74" s="976"/>
      <c r="G74" s="1555"/>
      <c r="H74" s="1230"/>
      <c r="I74" s="624" t="s">
        <v>18</v>
      </c>
      <c r="J74" s="214">
        <f>+J73</f>
        <v>5.4</v>
      </c>
      <c r="K74" s="224">
        <f>+K73</f>
        <v>5.4</v>
      </c>
      <c r="L74" s="282"/>
      <c r="M74" s="214">
        <f t="shared" ref="M74:R74" si="18">+M73</f>
        <v>5.4</v>
      </c>
      <c r="N74" s="224">
        <f t="shared" si="18"/>
        <v>5.4</v>
      </c>
      <c r="O74" s="282">
        <f t="shared" si="18"/>
        <v>0</v>
      </c>
      <c r="P74" s="209">
        <f t="shared" si="18"/>
        <v>5.4</v>
      </c>
      <c r="Q74" s="220">
        <f t="shared" si="18"/>
        <v>5.4</v>
      </c>
      <c r="R74" s="216">
        <f t="shared" si="18"/>
        <v>0</v>
      </c>
      <c r="S74" s="919" t="s">
        <v>203</v>
      </c>
      <c r="T74" s="921">
        <v>120</v>
      </c>
      <c r="U74" s="628">
        <v>130</v>
      </c>
      <c r="V74" s="629">
        <v>140</v>
      </c>
      <c r="W74" s="629"/>
      <c r="AC74" s="616"/>
    </row>
    <row r="75" spans="1:29" s="617" customFormat="1" ht="27" customHeight="1" x14ac:dyDescent="0.2">
      <c r="A75" s="135" t="s">
        <v>13</v>
      </c>
      <c r="B75" s="1202" t="s">
        <v>19</v>
      </c>
      <c r="C75" s="1198" t="s">
        <v>156</v>
      </c>
      <c r="D75" s="447"/>
      <c r="E75" s="1549" t="s">
        <v>165</v>
      </c>
      <c r="F75" s="975"/>
      <c r="G75" s="1554">
        <v>11020205</v>
      </c>
      <c r="H75" s="1229">
        <v>1</v>
      </c>
      <c r="I75" s="621" t="s">
        <v>17</v>
      </c>
      <c r="J75" s="279">
        <v>12.6</v>
      </c>
      <c r="K75" s="373">
        <v>12.6</v>
      </c>
      <c r="L75" s="369"/>
      <c r="M75" s="279">
        <v>30</v>
      </c>
      <c r="N75" s="373">
        <v>30</v>
      </c>
      <c r="O75" s="369"/>
      <c r="P75" s="279">
        <v>30</v>
      </c>
      <c r="Q75" s="373">
        <v>30</v>
      </c>
      <c r="R75" s="1126"/>
      <c r="S75" s="920" t="s">
        <v>318</v>
      </c>
      <c r="T75" s="909">
        <v>100</v>
      </c>
      <c r="U75" s="298">
        <v>100</v>
      </c>
      <c r="V75" s="1210">
        <v>100</v>
      </c>
      <c r="W75" s="1210"/>
      <c r="X75" s="616"/>
      <c r="AC75" s="616"/>
    </row>
    <row r="76" spans="1:29" s="617" customFormat="1" ht="18" customHeight="1" thickBot="1" x14ac:dyDescent="0.25">
      <c r="A76" s="137"/>
      <c r="B76" s="1204"/>
      <c r="C76" s="1087"/>
      <c r="D76" s="448"/>
      <c r="E76" s="1553"/>
      <c r="F76" s="976"/>
      <c r="G76" s="1555"/>
      <c r="H76" s="1230"/>
      <c r="I76" s="624" t="s">
        <v>18</v>
      </c>
      <c r="J76" s="209">
        <f>+J75</f>
        <v>12.6</v>
      </c>
      <c r="K76" s="220">
        <f>+K75</f>
        <v>12.6</v>
      </c>
      <c r="L76" s="376"/>
      <c r="M76" s="209">
        <f t="shared" ref="M76:R76" si="19">+M75</f>
        <v>30</v>
      </c>
      <c r="N76" s="220">
        <f t="shared" si="19"/>
        <v>30</v>
      </c>
      <c r="O76" s="376">
        <f t="shared" si="19"/>
        <v>0</v>
      </c>
      <c r="P76" s="209">
        <f t="shared" si="19"/>
        <v>30</v>
      </c>
      <c r="Q76" s="220">
        <f t="shared" si="19"/>
        <v>30</v>
      </c>
      <c r="R76" s="216">
        <f t="shared" si="19"/>
        <v>0</v>
      </c>
      <c r="S76" s="915"/>
      <c r="T76" s="315"/>
      <c r="U76" s="295"/>
      <c r="V76" s="1211"/>
      <c r="W76" s="1211"/>
      <c r="AC76" s="616"/>
    </row>
    <row r="77" spans="1:29" s="1" customFormat="1" ht="15.75" customHeight="1" x14ac:dyDescent="0.2">
      <c r="A77" s="135" t="s">
        <v>13</v>
      </c>
      <c r="B77" s="1202" t="s">
        <v>19</v>
      </c>
      <c r="C77" s="1198" t="s">
        <v>157</v>
      </c>
      <c r="D77" s="150"/>
      <c r="E77" s="1572" t="s">
        <v>124</v>
      </c>
      <c r="F77" s="977"/>
      <c r="G77" s="1574">
        <v>11020406</v>
      </c>
      <c r="H77" s="444">
        <v>2</v>
      </c>
      <c r="I77" s="43" t="s">
        <v>79</v>
      </c>
      <c r="J77" s="237">
        <v>17.7</v>
      </c>
      <c r="K77" s="246">
        <v>17.7</v>
      </c>
      <c r="L77" s="423"/>
      <c r="M77" s="237"/>
      <c r="N77" s="246"/>
      <c r="O77" s="423"/>
      <c r="P77" s="237"/>
      <c r="Q77" s="246"/>
      <c r="R77" s="229"/>
      <c r="S77" s="1523" t="s">
        <v>122</v>
      </c>
      <c r="T77" s="431">
        <v>2</v>
      </c>
      <c r="U77" s="292"/>
      <c r="V77" s="293"/>
      <c r="W77" s="293"/>
    </row>
    <row r="78" spans="1:29" s="1" customFormat="1" ht="15.75" customHeight="1" thickBot="1" x14ac:dyDescent="0.25">
      <c r="A78" s="137"/>
      <c r="B78" s="1204"/>
      <c r="C78" s="1087"/>
      <c r="D78" s="448"/>
      <c r="E78" s="1573"/>
      <c r="F78" s="972"/>
      <c r="G78" s="1575"/>
      <c r="H78" s="442"/>
      <c r="I78" s="1231" t="s">
        <v>18</v>
      </c>
      <c r="J78" s="235">
        <f>SUM(J77:J77)</f>
        <v>17.7</v>
      </c>
      <c r="K78" s="244">
        <f>SUM(K77:K77)</f>
        <v>17.7</v>
      </c>
      <c r="L78" s="512"/>
      <c r="M78" s="235"/>
      <c r="N78" s="244"/>
      <c r="O78" s="512"/>
      <c r="P78" s="235"/>
      <c r="Q78" s="244"/>
      <c r="R78" s="228"/>
      <c r="S78" s="1524"/>
      <c r="T78" s="554"/>
      <c r="U78" s="295"/>
      <c r="V78" s="296"/>
      <c r="W78" s="296"/>
    </row>
    <row r="79" spans="1:29" s="1" customFormat="1" ht="13.5" thickBot="1" x14ac:dyDescent="0.25">
      <c r="A79" s="1201" t="s">
        <v>13</v>
      </c>
      <c r="B79" s="1204" t="s">
        <v>19</v>
      </c>
      <c r="C79" s="1568" t="s">
        <v>22</v>
      </c>
      <c r="D79" s="1568"/>
      <c r="E79" s="1568"/>
      <c r="F79" s="1568"/>
      <c r="G79" s="1568"/>
      <c r="H79" s="1568"/>
      <c r="I79" s="1568"/>
      <c r="J79" s="238">
        <f>+J78+J70+J68+J60+J72+J74+J76</f>
        <v>6600.7000000000007</v>
      </c>
      <c r="K79" s="247">
        <f>+K78+K70+K68+K60+K72+K74+K76</f>
        <v>6737.1</v>
      </c>
      <c r="L79" s="247">
        <f>+L78+L70+L68+L60+L72+L74+L76</f>
        <v>136.39999999999941</v>
      </c>
      <c r="M79" s="8">
        <f t="shared" ref="M79:R79" si="20">+M78+M70+M68+M60+M72+M74+M76</f>
        <v>6663.4</v>
      </c>
      <c r="N79" s="225">
        <f t="shared" si="20"/>
        <v>6663.4</v>
      </c>
      <c r="O79" s="555">
        <f t="shared" si="20"/>
        <v>0</v>
      </c>
      <c r="P79" s="238">
        <f t="shared" si="20"/>
        <v>6629.5</v>
      </c>
      <c r="Q79" s="247">
        <f t="shared" si="20"/>
        <v>6629.5</v>
      </c>
      <c r="R79" s="428">
        <f t="shared" si="20"/>
        <v>0</v>
      </c>
      <c r="S79" s="1569"/>
      <c r="T79" s="1570"/>
      <c r="U79" s="1570"/>
      <c r="V79" s="1570"/>
      <c r="W79" s="1571"/>
      <c r="AA79" s="14"/>
    </row>
    <row r="80" spans="1:29" s="1" customFormat="1" ht="15.75" customHeight="1" thickBot="1" x14ac:dyDescent="0.25">
      <c r="A80" s="138" t="s">
        <v>13</v>
      </c>
      <c r="B80" s="23" t="s">
        <v>21</v>
      </c>
      <c r="C80" s="1528" t="s">
        <v>35</v>
      </c>
      <c r="D80" s="1528"/>
      <c r="E80" s="1528"/>
      <c r="F80" s="1528"/>
      <c r="G80" s="1564"/>
      <c r="H80" s="1564"/>
      <c r="I80" s="1564"/>
      <c r="J80" s="1564"/>
      <c r="K80" s="1564"/>
      <c r="L80" s="1564"/>
      <c r="M80" s="1564"/>
      <c r="N80" s="1564"/>
      <c r="O80" s="1564"/>
      <c r="P80" s="1564"/>
      <c r="Q80" s="1564"/>
      <c r="R80" s="1564"/>
      <c r="S80" s="1528"/>
      <c r="T80" s="1528"/>
      <c r="U80" s="1528"/>
      <c r="V80" s="1528"/>
      <c r="W80" s="1529"/>
      <c r="AA80" s="14"/>
    </row>
    <row r="81" spans="1:30" s="617" customFormat="1" ht="27" customHeight="1" x14ac:dyDescent="0.2">
      <c r="A81" s="131" t="s">
        <v>13</v>
      </c>
      <c r="B81" s="1487" t="s">
        <v>21</v>
      </c>
      <c r="C81" s="1565" t="s">
        <v>13</v>
      </c>
      <c r="D81" s="450"/>
      <c r="E81" s="1549" t="s">
        <v>204</v>
      </c>
      <c r="F81" s="668"/>
      <c r="G81" s="669"/>
      <c r="H81" s="630">
        <v>2</v>
      </c>
      <c r="I81" s="1270" t="s">
        <v>17</v>
      </c>
      <c r="J81" s="279">
        <v>18</v>
      </c>
      <c r="K81" s="373">
        <v>18</v>
      </c>
      <c r="L81" s="1126"/>
      <c r="M81" s="1138"/>
      <c r="N81" s="632"/>
      <c r="O81" s="633"/>
      <c r="P81" s="1138"/>
      <c r="Q81" s="632"/>
      <c r="R81" s="633"/>
      <c r="S81" s="634" t="s">
        <v>362</v>
      </c>
      <c r="T81" s="909">
        <v>1</v>
      </c>
      <c r="U81" s="339"/>
      <c r="V81" s="340"/>
      <c r="W81" s="340"/>
      <c r="X81" s="616"/>
      <c r="AB81" s="842"/>
    </row>
    <row r="82" spans="1:30" s="617" customFormat="1" ht="16.5" customHeight="1" x14ac:dyDescent="0.2">
      <c r="A82" s="1188"/>
      <c r="B82" s="1666"/>
      <c r="C82" s="1667"/>
      <c r="D82" s="1223"/>
      <c r="E82" s="1596"/>
      <c r="F82" s="1190"/>
      <c r="G82" s="1191"/>
      <c r="H82" s="1192"/>
      <c r="I82" s="1271" t="s">
        <v>18</v>
      </c>
      <c r="J82" s="426">
        <f>+J81</f>
        <v>18</v>
      </c>
      <c r="K82" s="365">
        <f>+K81</f>
        <v>18</v>
      </c>
      <c r="L82" s="427"/>
      <c r="M82" s="426"/>
      <c r="N82" s="365"/>
      <c r="O82" s="427"/>
      <c r="P82" s="426"/>
      <c r="Q82" s="365"/>
      <c r="R82" s="427"/>
      <c r="S82" s="540"/>
      <c r="T82" s="538"/>
      <c r="U82" s="336"/>
      <c r="V82" s="337"/>
      <c r="W82" s="337"/>
      <c r="X82" s="616"/>
    </row>
    <row r="83" spans="1:30" s="1" customFormat="1" ht="15.75" customHeight="1" x14ac:dyDescent="0.2">
      <c r="A83" s="140" t="s">
        <v>13</v>
      </c>
      <c r="B83" s="1108" t="s">
        <v>21</v>
      </c>
      <c r="C83" s="1241" t="s">
        <v>19</v>
      </c>
      <c r="D83" s="1233"/>
      <c r="E83" s="1567" t="s">
        <v>39</v>
      </c>
      <c r="F83" s="979"/>
      <c r="G83" s="203"/>
      <c r="H83" s="122" t="s">
        <v>402</v>
      </c>
      <c r="I83" s="384" t="s">
        <v>17</v>
      </c>
      <c r="J83" s="1248">
        <f>793.9-406.8+100</f>
        <v>487.09999999999997</v>
      </c>
      <c r="K83" s="1180">
        <f>793.9-406.8+100</f>
        <v>487.09999999999997</v>
      </c>
      <c r="L83" s="1427"/>
      <c r="M83" s="1248"/>
      <c r="N83" s="1317"/>
      <c r="O83" s="1318"/>
      <c r="P83" s="1189">
        <f>4500-1893.2</f>
        <v>2606.8000000000002</v>
      </c>
      <c r="Q83" s="1189">
        <f>4500-1893.2</f>
        <v>2606.8000000000002</v>
      </c>
      <c r="R83" s="1255"/>
      <c r="S83" s="261"/>
      <c r="T83" s="926"/>
      <c r="U83" s="360"/>
      <c r="V83" s="361"/>
      <c r="W83" s="1319"/>
      <c r="X83" s="70"/>
      <c r="Y83" s="70"/>
      <c r="Z83" s="70"/>
      <c r="AB83" s="14"/>
      <c r="AC83" s="988"/>
      <c r="AD83" s="14"/>
    </row>
    <row r="84" spans="1:30" s="1" customFormat="1" ht="15.75" customHeight="1" x14ac:dyDescent="0.2">
      <c r="A84" s="140"/>
      <c r="B84" s="1108"/>
      <c r="C84" s="1241"/>
      <c r="D84" s="1233"/>
      <c r="E84" s="1567"/>
      <c r="F84" s="979"/>
      <c r="G84" s="203"/>
      <c r="H84" s="122"/>
      <c r="I84" s="364" t="s">
        <v>225</v>
      </c>
      <c r="J84" s="1249">
        <f>+J95+J98</f>
        <v>2700</v>
      </c>
      <c r="K84" s="246">
        <f>+K95+K98</f>
        <v>2700</v>
      </c>
      <c r="L84" s="229"/>
      <c r="M84" s="1249">
        <f>1913.5</f>
        <v>1913.5</v>
      </c>
      <c r="N84" s="246">
        <f>1913.5</f>
        <v>1913.5</v>
      </c>
      <c r="O84" s="662"/>
      <c r="P84" s="1142"/>
      <c r="Q84" s="1142"/>
      <c r="R84" s="719"/>
      <c r="S84" s="261"/>
      <c r="T84" s="926"/>
      <c r="U84" s="360"/>
      <c r="V84" s="361"/>
      <c r="W84" s="1319"/>
      <c r="X84" s="70"/>
      <c r="Y84" s="70"/>
      <c r="Z84" s="70"/>
      <c r="AB84" s="14"/>
      <c r="AC84" s="988"/>
      <c r="AD84" s="14"/>
    </row>
    <row r="85" spans="1:30" s="1" customFormat="1" ht="15.75" customHeight="1" x14ac:dyDescent="0.2">
      <c r="A85" s="140"/>
      <c r="B85" s="1108"/>
      <c r="C85" s="1241"/>
      <c r="D85" s="1233"/>
      <c r="E85" s="1567"/>
      <c r="F85" s="979"/>
      <c r="G85" s="203"/>
      <c r="H85" s="122"/>
      <c r="I85" s="364" t="s">
        <v>79</v>
      </c>
      <c r="J85" s="1249">
        <f>2044.8-500+500</f>
        <v>2044.8</v>
      </c>
      <c r="K85" s="246">
        <f>2044.8-500+500</f>
        <v>2044.8</v>
      </c>
      <c r="L85" s="229"/>
      <c r="M85" s="1249">
        <v>1504.8</v>
      </c>
      <c r="N85" s="246">
        <v>1504.8</v>
      </c>
      <c r="O85" s="662"/>
      <c r="P85" s="1142"/>
      <c r="Q85" s="1142"/>
      <c r="R85" s="719"/>
      <c r="S85" s="261"/>
      <c r="T85" s="926"/>
      <c r="U85" s="360"/>
      <c r="V85" s="361"/>
      <c r="W85" s="1319"/>
      <c r="X85" s="70"/>
      <c r="Y85" s="70"/>
      <c r="Z85" s="70"/>
    </row>
    <row r="86" spans="1:30" s="1" customFormat="1" ht="15.75" customHeight="1" x14ac:dyDescent="0.2">
      <c r="A86" s="140"/>
      <c r="B86" s="1108"/>
      <c r="C86" s="1241"/>
      <c r="D86" s="1233"/>
      <c r="E86" s="1216"/>
      <c r="F86" s="979"/>
      <c r="G86" s="203"/>
      <c r="H86" s="122"/>
      <c r="I86" s="362" t="s">
        <v>37</v>
      </c>
      <c r="J86" s="1249">
        <f>151.5-100</f>
        <v>51.5</v>
      </c>
      <c r="K86" s="246">
        <f>151.5-100</f>
        <v>51.5</v>
      </c>
      <c r="L86" s="229"/>
      <c r="M86" s="1250">
        <v>54.9</v>
      </c>
      <c r="N86" s="1110">
        <v>54.9</v>
      </c>
      <c r="O86" s="1141"/>
      <c r="P86" s="1143"/>
      <c r="Q86" s="1143"/>
      <c r="R86" s="952"/>
      <c r="S86" s="261"/>
      <c r="T86" s="926"/>
      <c r="U86" s="360"/>
      <c r="V86" s="361"/>
      <c r="W86" s="1319"/>
      <c r="X86" s="70"/>
      <c r="AB86" s="14"/>
      <c r="AC86" s="14"/>
    </row>
    <row r="87" spans="1:30" s="1" customFormat="1" ht="15.75" customHeight="1" x14ac:dyDescent="0.2">
      <c r="A87" s="140"/>
      <c r="B87" s="1108"/>
      <c r="C87" s="1241"/>
      <c r="D87" s="1233"/>
      <c r="E87" s="1216"/>
      <c r="F87" s="979"/>
      <c r="G87" s="203"/>
      <c r="H87" s="122"/>
      <c r="I87" s="362" t="s">
        <v>81</v>
      </c>
      <c r="J87" s="1249">
        <v>583.20000000000005</v>
      </c>
      <c r="K87" s="246">
        <v>583.20000000000005</v>
      </c>
      <c r="L87" s="229"/>
      <c r="M87" s="1250">
        <v>621.70000000000005</v>
      </c>
      <c r="N87" s="1110">
        <v>621.70000000000005</v>
      </c>
      <c r="O87" s="1141"/>
      <c r="P87" s="535"/>
      <c r="Q87" s="535"/>
      <c r="R87" s="536"/>
      <c r="S87" s="261"/>
      <c r="T87" s="926"/>
      <c r="U87" s="360"/>
      <c r="V87" s="361"/>
      <c r="W87" s="1319"/>
      <c r="X87" s="70"/>
    </row>
    <row r="88" spans="1:30" s="1" customFormat="1" ht="15.75" customHeight="1" x14ac:dyDescent="0.2">
      <c r="A88" s="140"/>
      <c r="B88" s="1108"/>
      <c r="C88" s="1241"/>
      <c r="D88" s="1233"/>
      <c r="E88" s="1216"/>
      <c r="F88" s="979"/>
      <c r="G88" s="203"/>
      <c r="H88" s="122"/>
      <c r="I88" s="649" t="s">
        <v>43</v>
      </c>
      <c r="J88" s="1248">
        <v>0</v>
      </c>
      <c r="K88" s="1180">
        <v>0</v>
      </c>
      <c r="L88" s="1428"/>
      <c r="M88" s="1248">
        <f>1172-54.9</f>
        <v>1117.0999999999999</v>
      </c>
      <c r="N88" s="1180">
        <f>1172-54.9</f>
        <v>1117.0999999999999</v>
      </c>
      <c r="O88" s="1427"/>
      <c r="P88" s="1189">
        <v>716.5</v>
      </c>
      <c r="Q88" s="1189">
        <v>716.5</v>
      </c>
      <c r="R88" s="1255"/>
      <c r="S88" s="261"/>
      <c r="T88" s="926"/>
      <c r="U88" s="360"/>
      <c r="V88" s="361"/>
      <c r="W88" s="1319"/>
      <c r="X88" s="70"/>
    </row>
    <row r="89" spans="1:30" s="1" customFormat="1" ht="15.75" customHeight="1" x14ac:dyDescent="0.2">
      <c r="A89" s="140"/>
      <c r="B89" s="1108"/>
      <c r="C89" s="1413"/>
      <c r="D89" s="1412"/>
      <c r="E89" s="1411"/>
      <c r="F89" s="979"/>
      <c r="G89" s="203"/>
      <c r="H89" s="1429" t="s">
        <v>16</v>
      </c>
      <c r="I89" s="385" t="s">
        <v>17</v>
      </c>
      <c r="J89" s="1249"/>
      <c r="K89" s="1430">
        <v>14.6</v>
      </c>
      <c r="L89" s="1431">
        <f>+K89-J89</f>
        <v>14.6</v>
      </c>
      <c r="M89" s="1432"/>
      <c r="N89" s="1430">
        <v>24.2</v>
      </c>
      <c r="O89" s="1431">
        <f>+N89-M89</f>
        <v>24.2</v>
      </c>
      <c r="P89" s="1142"/>
      <c r="Q89" s="1142"/>
      <c r="R89" s="719"/>
      <c r="S89" s="261"/>
      <c r="T89" s="926"/>
      <c r="U89" s="360"/>
      <c r="V89" s="361"/>
      <c r="W89" s="1319"/>
      <c r="X89" s="70"/>
    </row>
    <row r="90" spans="1:30" s="1" customFormat="1" ht="29.25" customHeight="1" x14ac:dyDescent="0.2">
      <c r="A90" s="136"/>
      <c r="B90" s="1203"/>
      <c r="C90" s="1241"/>
      <c r="D90" s="1222" t="s">
        <v>13</v>
      </c>
      <c r="E90" s="1224" t="s">
        <v>88</v>
      </c>
      <c r="F90" s="123" t="s">
        <v>36</v>
      </c>
      <c r="G90" s="1574">
        <v>1101012101</v>
      </c>
      <c r="H90" s="26"/>
      <c r="I90" s="270"/>
      <c r="J90" s="1248"/>
      <c r="K90" s="1180"/>
      <c r="L90" s="521"/>
      <c r="M90" s="1248"/>
      <c r="N90" s="1180"/>
      <c r="O90" s="521"/>
      <c r="P90" s="1180"/>
      <c r="Q90" s="1180"/>
      <c r="R90" s="521"/>
      <c r="S90" s="954"/>
      <c r="T90" s="530"/>
      <c r="U90" s="531"/>
      <c r="V90" s="532"/>
      <c r="W90" s="1319"/>
      <c r="X90" s="110"/>
      <c r="AA90" s="157"/>
      <c r="AB90" s="158"/>
      <c r="AC90" s="111"/>
      <c r="AD90" s="111"/>
    </row>
    <row r="91" spans="1:30" s="1" customFormat="1" ht="17.25" customHeight="1" x14ac:dyDescent="0.2">
      <c r="A91" s="136"/>
      <c r="B91" s="1203"/>
      <c r="C91" s="1241"/>
      <c r="D91" s="1233"/>
      <c r="E91" s="104" t="s">
        <v>86</v>
      </c>
      <c r="F91" s="1587" t="s">
        <v>42</v>
      </c>
      <c r="G91" s="1586"/>
      <c r="H91" s="26"/>
      <c r="I91" s="1165" t="s">
        <v>375</v>
      </c>
      <c r="J91" s="1273">
        <v>2.8</v>
      </c>
      <c r="K91" s="1175">
        <v>2.8</v>
      </c>
      <c r="L91" s="1274"/>
      <c r="M91" s="1251"/>
      <c r="N91" s="1181"/>
      <c r="O91" s="1166"/>
      <c r="P91" s="1175"/>
      <c r="Q91" s="1175"/>
      <c r="R91" s="1167"/>
      <c r="S91" s="263" t="s">
        <v>40</v>
      </c>
      <c r="T91" s="332">
        <v>50</v>
      </c>
      <c r="U91" s="331">
        <v>100</v>
      </c>
      <c r="V91" s="276"/>
      <c r="W91" s="1319"/>
      <c r="X91" s="991"/>
      <c r="AA91" s="515"/>
      <c r="AB91" s="835"/>
      <c r="AC91" s="111"/>
      <c r="AD91" s="111"/>
    </row>
    <row r="92" spans="1:30" s="1" customFormat="1" ht="17.25" customHeight="1" x14ac:dyDescent="0.2">
      <c r="A92" s="136"/>
      <c r="B92" s="1203"/>
      <c r="C92" s="1241"/>
      <c r="D92" s="1233"/>
      <c r="E92" s="105"/>
      <c r="F92" s="1669"/>
      <c r="G92" s="1220"/>
      <c r="H92" s="26"/>
      <c r="I92" s="1165" t="s">
        <v>376</v>
      </c>
      <c r="J92" s="1273">
        <v>1000</v>
      </c>
      <c r="K92" s="1175">
        <v>1000</v>
      </c>
      <c r="L92" s="1274"/>
      <c r="M92" s="1251"/>
      <c r="N92" s="1181"/>
      <c r="O92" s="1166"/>
      <c r="P92" s="1175"/>
      <c r="Q92" s="1175"/>
      <c r="R92" s="1167"/>
      <c r="S92" s="264"/>
      <c r="T92" s="332"/>
      <c r="U92" s="331"/>
      <c r="V92" s="171"/>
      <c r="W92" s="1319"/>
      <c r="X92" s="991"/>
      <c r="Y92" s="1227"/>
      <c r="Z92" s="515"/>
      <c r="AA92" s="515"/>
      <c r="AB92" s="835"/>
      <c r="AC92" s="111"/>
      <c r="AD92" s="111"/>
    </row>
    <row r="93" spans="1:30" s="1" customFormat="1" ht="17.25" customHeight="1" x14ac:dyDescent="0.2">
      <c r="A93" s="136"/>
      <c r="B93" s="1203"/>
      <c r="C93" s="1241"/>
      <c r="D93" s="1233"/>
      <c r="E93" s="105"/>
      <c r="F93" s="1669"/>
      <c r="G93" s="1220"/>
      <c r="H93" s="26"/>
      <c r="I93" s="1168" t="s">
        <v>377</v>
      </c>
      <c r="J93" s="1273">
        <v>51.5</v>
      </c>
      <c r="K93" s="1175">
        <v>51.5</v>
      </c>
      <c r="L93" s="1274"/>
      <c r="M93" s="1251">
        <v>54.9</v>
      </c>
      <c r="N93" s="1181">
        <v>54.9</v>
      </c>
      <c r="O93" s="1166"/>
      <c r="P93" s="1175"/>
      <c r="Q93" s="1175"/>
      <c r="R93" s="1167"/>
      <c r="S93" s="264"/>
      <c r="T93" s="332"/>
      <c r="U93" s="331"/>
      <c r="V93" s="171"/>
      <c r="W93" s="1319"/>
      <c r="X93" s="991"/>
      <c r="Y93" s="1227"/>
      <c r="Z93" s="515"/>
      <c r="AA93" s="515"/>
      <c r="AB93" s="835"/>
      <c r="AC93" s="111"/>
      <c r="AD93" s="111"/>
    </row>
    <row r="94" spans="1:30" s="1" customFormat="1" ht="17.25" customHeight="1" x14ac:dyDescent="0.2">
      <c r="A94" s="136"/>
      <c r="B94" s="1203"/>
      <c r="C94" s="1241"/>
      <c r="D94" s="1233"/>
      <c r="E94" s="105"/>
      <c r="F94" s="1669"/>
      <c r="G94" s="1220"/>
      <c r="H94" s="26"/>
      <c r="I94" s="1165" t="s">
        <v>378</v>
      </c>
      <c r="J94" s="1273">
        <v>583.20000000000005</v>
      </c>
      <c r="K94" s="1175">
        <v>583.20000000000005</v>
      </c>
      <c r="L94" s="1274"/>
      <c r="M94" s="1251">
        <v>621.70000000000005</v>
      </c>
      <c r="N94" s="1181">
        <v>621.70000000000005</v>
      </c>
      <c r="O94" s="1166"/>
      <c r="P94" s="1175"/>
      <c r="Q94" s="1175"/>
      <c r="R94" s="1167"/>
      <c r="S94" s="264"/>
      <c r="T94" s="332"/>
      <c r="U94" s="331"/>
      <c r="V94" s="171"/>
      <c r="W94" s="1319"/>
      <c r="X94" s="991"/>
      <c r="Y94" s="1227"/>
      <c r="Z94" s="515"/>
      <c r="AA94" s="515"/>
      <c r="AB94" s="835"/>
      <c r="AC94" s="111"/>
      <c r="AD94" s="111"/>
    </row>
    <row r="95" spans="1:30" s="1" customFormat="1" ht="17.25" customHeight="1" x14ac:dyDescent="0.2">
      <c r="A95" s="136"/>
      <c r="B95" s="1203"/>
      <c r="C95" s="1241"/>
      <c r="D95" s="1233"/>
      <c r="E95" s="105"/>
      <c r="F95" s="1669"/>
      <c r="G95" s="1220"/>
      <c r="H95" s="26"/>
      <c r="I95" s="1165" t="s">
        <v>379</v>
      </c>
      <c r="J95" s="1273">
        <v>906.8</v>
      </c>
      <c r="K95" s="1175">
        <v>906.8</v>
      </c>
      <c r="L95" s="1274"/>
      <c r="M95" s="1251">
        <v>1913.5</v>
      </c>
      <c r="N95" s="1181">
        <v>1913.5</v>
      </c>
      <c r="O95" s="1166"/>
      <c r="P95" s="1175"/>
      <c r="Q95" s="1175"/>
      <c r="R95" s="1167"/>
      <c r="S95" s="264"/>
      <c r="T95" s="332"/>
      <c r="U95" s="331"/>
      <c r="V95" s="171"/>
      <c r="W95" s="1319"/>
      <c r="X95" s="991"/>
      <c r="Y95" s="1227"/>
      <c r="Z95" s="515"/>
      <c r="AA95" s="515"/>
      <c r="AB95" s="835"/>
      <c r="AC95" s="111"/>
      <c r="AD95" s="111"/>
    </row>
    <row r="96" spans="1:30" s="1" customFormat="1" ht="17.25" customHeight="1" x14ac:dyDescent="0.2">
      <c r="A96" s="136"/>
      <c r="B96" s="1203"/>
      <c r="C96" s="1241"/>
      <c r="D96" s="1233"/>
      <c r="E96" s="104" t="s">
        <v>108</v>
      </c>
      <c r="F96" s="1669"/>
      <c r="G96" s="194"/>
      <c r="H96" s="26"/>
      <c r="I96" s="1165" t="s">
        <v>375</v>
      </c>
      <c r="J96" s="1273"/>
      <c r="K96" s="1175"/>
      <c r="L96" s="1274"/>
      <c r="M96" s="1252"/>
      <c r="N96" s="1182"/>
      <c r="O96" s="1166"/>
      <c r="P96" s="1182">
        <f>1906.8+200</f>
        <v>2106.8000000000002</v>
      </c>
      <c r="Q96" s="1182">
        <f>1906.8+200</f>
        <v>2106.8000000000002</v>
      </c>
      <c r="R96" s="1170"/>
      <c r="S96" s="263" t="s">
        <v>40</v>
      </c>
      <c r="T96" s="527">
        <v>40</v>
      </c>
      <c r="U96" s="653">
        <v>100</v>
      </c>
      <c r="V96" s="276">
        <v>80</v>
      </c>
      <c r="W96" s="1319"/>
      <c r="X96" s="992"/>
      <c r="Y96" s="111"/>
      <c r="Z96" s="111"/>
      <c r="AA96" s="112"/>
      <c r="AB96" s="112"/>
      <c r="AC96" s="111"/>
      <c r="AD96" s="111"/>
    </row>
    <row r="97" spans="1:31" s="1" customFormat="1" ht="17.25" customHeight="1" x14ac:dyDescent="0.2">
      <c r="A97" s="136"/>
      <c r="B97" s="1203"/>
      <c r="C97" s="1241"/>
      <c r="D97" s="1233"/>
      <c r="E97" s="105"/>
      <c r="F97" s="1221"/>
      <c r="G97" s="1139"/>
      <c r="H97" s="26"/>
      <c r="I97" s="1165" t="s">
        <v>376</v>
      </c>
      <c r="J97" s="1273"/>
      <c r="K97" s="1175"/>
      <c r="L97" s="1274"/>
      <c r="M97" s="1252">
        <v>1504.8</v>
      </c>
      <c r="N97" s="1182">
        <v>1504.8</v>
      </c>
      <c r="O97" s="1166"/>
      <c r="P97" s="1169"/>
      <c r="Q97" s="1182"/>
      <c r="R97" s="1170"/>
      <c r="S97" s="264"/>
      <c r="T97" s="1129"/>
      <c r="U97" s="332"/>
      <c r="V97" s="1256"/>
      <c r="W97" s="1319"/>
      <c r="X97" s="992"/>
      <c r="Y97" s="111"/>
      <c r="Z97" s="111"/>
      <c r="AA97" s="112"/>
      <c r="AB97" s="112"/>
      <c r="AC97" s="111"/>
      <c r="AD97" s="111"/>
    </row>
    <row r="98" spans="1:31" s="1" customFormat="1" ht="17.25" customHeight="1" x14ac:dyDescent="0.2">
      <c r="A98" s="136"/>
      <c r="B98" s="1203"/>
      <c r="C98" s="1241"/>
      <c r="D98" s="1233"/>
      <c r="E98" s="1130"/>
      <c r="F98" s="1221"/>
      <c r="G98" s="1139"/>
      <c r="H98" s="26"/>
      <c r="I98" s="1165" t="s">
        <v>379</v>
      </c>
      <c r="J98" s="1273">
        <f>1993.2-200</f>
        <v>1793.2</v>
      </c>
      <c r="K98" s="1175">
        <f>1993.2-200</f>
        <v>1793.2</v>
      </c>
      <c r="L98" s="1274"/>
      <c r="M98" s="1253"/>
      <c r="N98" s="1183"/>
      <c r="O98" s="1257"/>
      <c r="P98" s="1171"/>
      <c r="Q98" s="1172"/>
      <c r="R98" s="1173"/>
      <c r="S98" s="264"/>
      <c r="T98" s="1129"/>
      <c r="U98" s="531"/>
      <c r="V98" s="333"/>
      <c r="W98" s="1319"/>
      <c r="X98" s="992"/>
      <c r="Y98" s="111"/>
      <c r="Z98" s="111"/>
      <c r="AA98" s="112"/>
      <c r="AB98" s="112"/>
      <c r="AC98" s="111"/>
      <c r="AD98" s="111"/>
    </row>
    <row r="99" spans="1:31" s="1" customFormat="1" ht="15.75" customHeight="1" x14ac:dyDescent="0.2">
      <c r="A99" s="136"/>
      <c r="B99" s="1203"/>
      <c r="C99" s="1241"/>
      <c r="D99" s="1671" t="s">
        <v>19</v>
      </c>
      <c r="E99" s="1672" t="s">
        <v>222</v>
      </c>
      <c r="F99" s="1673" t="s">
        <v>36</v>
      </c>
      <c r="G99" s="861">
        <v>11010116</v>
      </c>
      <c r="H99" s="1668"/>
      <c r="I99" s="1131" t="s">
        <v>375</v>
      </c>
      <c r="J99" s="1275">
        <v>484.3</v>
      </c>
      <c r="K99" s="1258">
        <v>484.3</v>
      </c>
      <c r="L99" s="1276"/>
      <c r="M99" s="1254">
        <v>0</v>
      </c>
      <c r="N99" s="1151">
        <v>0</v>
      </c>
      <c r="O99" s="1259"/>
      <c r="P99" s="1150"/>
      <c r="Q99" s="1151"/>
      <c r="R99" s="1260"/>
      <c r="S99" s="1481" t="s">
        <v>44</v>
      </c>
      <c r="T99" s="527">
        <v>100</v>
      </c>
      <c r="U99" s="1261"/>
      <c r="V99" s="335"/>
      <c r="W99" s="1679" t="s">
        <v>395</v>
      </c>
      <c r="X99" s="992"/>
      <c r="Y99" s="93"/>
      <c r="Z99" s="111"/>
      <c r="AA99" s="93"/>
      <c r="AB99" s="111"/>
      <c r="AC99" s="93"/>
      <c r="AD99" s="111"/>
    </row>
    <row r="100" spans="1:31" s="1" customFormat="1" ht="15.75" customHeight="1" x14ac:dyDescent="0.2">
      <c r="A100" s="136"/>
      <c r="B100" s="1203"/>
      <c r="C100" s="763"/>
      <c r="D100" s="1589"/>
      <c r="E100" s="1591"/>
      <c r="F100" s="1593"/>
      <c r="G100" s="1177"/>
      <c r="H100" s="1594"/>
      <c r="I100" s="1131" t="s">
        <v>376</v>
      </c>
      <c r="J100" s="1277">
        <v>1044.8</v>
      </c>
      <c r="K100" s="1262">
        <v>1044.8</v>
      </c>
      <c r="L100" s="1278"/>
      <c r="M100" s="1174"/>
      <c r="N100" s="1175"/>
      <c r="O100" s="1176"/>
      <c r="P100" s="1174"/>
      <c r="Q100" s="1175"/>
      <c r="R100" s="1263"/>
      <c r="S100" s="1584"/>
      <c r="T100" s="514"/>
      <c r="U100" s="312"/>
      <c r="V100" s="313"/>
      <c r="W100" s="1679"/>
      <c r="X100" s="992"/>
      <c r="Y100" s="93"/>
      <c r="Z100" s="111"/>
      <c r="AA100" s="111"/>
      <c r="AB100" s="111"/>
      <c r="AC100" s="93"/>
      <c r="AD100" s="93"/>
      <c r="AE100" s="14"/>
    </row>
    <row r="101" spans="1:31" s="1" customFormat="1" ht="15.75" customHeight="1" x14ac:dyDescent="0.2">
      <c r="A101" s="136"/>
      <c r="B101" s="1203"/>
      <c r="C101" s="1241"/>
      <c r="D101" s="1223"/>
      <c r="E101" s="1225"/>
      <c r="F101" s="1226"/>
      <c r="G101" s="1178"/>
      <c r="H101" s="551"/>
      <c r="I101" s="1272" t="s">
        <v>384</v>
      </c>
      <c r="J101" s="1279">
        <v>0</v>
      </c>
      <c r="K101" s="1264">
        <v>0</v>
      </c>
      <c r="L101" s="1278"/>
      <c r="M101" s="1152"/>
      <c r="N101" s="1153"/>
      <c r="O101" s="1154"/>
      <c r="P101" s="1152"/>
      <c r="Q101" s="1153"/>
      <c r="R101" s="1263"/>
      <c r="S101" s="1219"/>
      <c r="T101" s="538"/>
      <c r="U101" s="336"/>
      <c r="V101" s="337"/>
      <c r="W101" s="1679"/>
      <c r="X101" s="992"/>
      <c r="Y101" s="93"/>
      <c r="Z101" s="111"/>
      <c r="AA101" s="111"/>
      <c r="AB101" s="111"/>
      <c r="AC101" s="93"/>
      <c r="AD101" s="93"/>
      <c r="AE101" s="14"/>
    </row>
    <row r="102" spans="1:31" s="1" customFormat="1" ht="29.25" customHeight="1" x14ac:dyDescent="0.2">
      <c r="A102" s="136"/>
      <c r="B102" s="1288"/>
      <c r="C102" s="1289"/>
      <c r="D102" s="1676" t="s">
        <v>21</v>
      </c>
      <c r="E102" s="1674" t="s">
        <v>385</v>
      </c>
      <c r="F102" s="1291"/>
      <c r="G102" s="1292"/>
      <c r="H102" s="1293">
        <v>2</v>
      </c>
      <c r="I102" s="1310" t="s">
        <v>375</v>
      </c>
      <c r="J102" s="1311"/>
      <c r="K102" s="1312">
        <v>14.6</v>
      </c>
      <c r="L102" s="1313">
        <f>+K102-J102</f>
        <v>14.6</v>
      </c>
      <c r="M102" s="1314"/>
      <c r="N102" s="1315">
        <v>24.2</v>
      </c>
      <c r="O102" s="1313">
        <f>+N102-M102</f>
        <v>24.2</v>
      </c>
      <c r="P102" s="1314"/>
      <c r="Q102" s="1315"/>
      <c r="R102" s="1316"/>
      <c r="S102" s="1294" t="s">
        <v>387</v>
      </c>
      <c r="T102" s="1295">
        <v>2</v>
      </c>
      <c r="U102" s="1296"/>
      <c r="V102" s="335"/>
      <c r="W102" s="1679"/>
      <c r="X102" s="992"/>
      <c r="Y102" s="93"/>
      <c r="Z102" s="111"/>
      <c r="AA102" s="111"/>
      <c r="AB102" s="111"/>
      <c r="AC102" s="93"/>
      <c r="AD102" s="93"/>
      <c r="AE102" s="14"/>
    </row>
    <row r="103" spans="1:31" s="1" customFormat="1" ht="55.5" customHeight="1" x14ac:dyDescent="0.2">
      <c r="A103" s="136"/>
      <c r="B103" s="1288"/>
      <c r="C103" s="1289"/>
      <c r="D103" s="1677"/>
      <c r="E103" s="1675"/>
      <c r="F103" s="1297"/>
      <c r="G103" s="1298"/>
      <c r="H103" s="1299"/>
      <c r="I103" s="1300"/>
      <c r="J103" s="1301"/>
      <c r="K103" s="1302"/>
      <c r="L103" s="1303"/>
      <c r="M103" s="1304"/>
      <c r="N103" s="1305"/>
      <c r="O103" s="1303"/>
      <c r="P103" s="1304"/>
      <c r="Q103" s="1305"/>
      <c r="R103" s="1306"/>
      <c r="S103" s="1307" t="s">
        <v>386</v>
      </c>
      <c r="T103" s="1308"/>
      <c r="U103" s="1309">
        <v>2</v>
      </c>
      <c r="V103" s="321"/>
      <c r="W103" s="1679"/>
      <c r="X103" s="992"/>
      <c r="Y103" s="93"/>
      <c r="Z103" s="111"/>
      <c r="AA103" s="111"/>
      <c r="AB103" s="111"/>
      <c r="AC103" s="93"/>
      <c r="AD103" s="93"/>
      <c r="AE103" s="14"/>
    </row>
    <row r="104" spans="1:31" s="1" customFormat="1" ht="30" customHeight="1" x14ac:dyDescent="0.2">
      <c r="A104" s="136"/>
      <c r="B104" s="1203"/>
      <c r="C104" s="1241"/>
      <c r="D104" s="1233" t="s">
        <v>388</v>
      </c>
      <c r="E104" s="1213" t="s">
        <v>148</v>
      </c>
      <c r="F104" s="123" t="s">
        <v>36</v>
      </c>
      <c r="G104" s="1099"/>
      <c r="H104" s="1100">
        <v>5</v>
      </c>
      <c r="I104" s="1155"/>
      <c r="J104" s="1280"/>
      <c r="K104" s="1156"/>
      <c r="L104" s="1281"/>
      <c r="M104" s="1157"/>
      <c r="N104" s="1158"/>
      <c r="O104" s="1159"/>
      <c r="P104" s="1157"/>
      <c r="Q104" s="1158"/>
      <c r="R104" s="1265"/>
      <c r="S104" s="81" t="s">
        <v>150</v>
      </c>
      <c r="T104" s="332"/>
      <c r="U104" s="332">
        <v>50</v>
      </c>
      <c r="V104" s="171">
        <v>100</v>
      </c>
      <c r="W104" s="1679"/>
      <c r="AB104" s="14"/>
    </row>
    <row r="105" spans="1:31" s="1" customFormat="1" ht="17.25" customHeight="1" x14ac:dyDescent="0.2">
      <c r="A105" s="136"/>
      <c r="B105" s="1203"/>
      <c r="C105" s="1241"/>
      <c r="D105" s="1671" t="s">
        <v>389</v>
      </c>
      <c r="E105" s="1224" t="s">
        <v>114</v>
      </c>
      <c r="F105" s="1243" t="s">
        <v>36</v>
      </c>
      <c r="G105" s="1099"/>
      <c r="H105" s="1414">
        <v>5</v>
      </c>
      <c r="I105" s="1131"/>
      <c r="J105" s="1160"/>
      <c r="K105" s="1161"/>
      <c r="L105" s="1282"/>
      <c r="M105" s="1162"/>
      <c r="N105" s="1163"/>
      <c r="O105" s="1164"/>
      <c r="P105" s="1162"/>
      <c r="Q105" s="1163"/>
      <c r="R105" s="1266"/>
      <c r="S105" s="1149" t="s">
        <v>166</v>
      </c>
      <c r="T105" s="526"/>
      <c r="U105" s="527"/>
      <c r="V105" s="528">
        <v>10</v>
      </c>
      <c r="W105" s="1679"/>
      <c r="AB105" s="14"/>
    </row>
    <row r="106" spans="1:31" s="1" customFormat="1" ht="15.75" customHeight="1" thickBot="1" x14ac:dyDescent="0.25">
      <c r="A106" s="136"/>
      <c r="B106" s="1203"/>
      <c r="C106" s="1241"/>
      <c r="D106" s="1678"/>
      <c r="E106" s="1234"/>
      <c r="F106" s="123"/>
      <c r="G106" s="1247">
        <v>11010135</v>
      </c>
      <c r="H106" s="275"/>
      <c r="I106" s="1218" t="s">
        <v>18</v>
      </c>
      <c r="J106" s="232">
        <f>SUM(J83:J89)</f>
        <v>5866.5999999999995</v>
      </c>
      <c r="K106" s="241">
        <f t="shared" ref="K106:R106" si="21">SUM(K83:K89)</f>
        <v>5881.2</v>
      </c>
      <c r="L106" s="498">
        <f t="shared" si="21"/>
        <v>14.6</v>
      </c>
      <c r="M106" s="232">
        <f t="shared" si="21"/>
        <v>5212</v>
      </c>
      <c r="N106" s="241">
        <f t="shared" si="21"/>
        <v>5236.2</v>
      </c>
      <c r="O106" s="498">
        <f t="shared" si="21"/>
        <v>24.2</v>
      </c>
      <c r="P106" s="232">
        <f t="shared" si="21"/>
        <v>3323.3</v>
      </c>
      <c r="Q106" s="241">
        <f t="shared" si="21"/>
        <v>3323.3</v>
      </c>
      <c r="R106" s="498">
        <f t="shared" si="21"/>
        <v>0</v>
      </c>
      <c r="S106" s="1145"/>
      <c r="T106" s="1146"/>
      <c r="U106" s="1147"/>
      <c r="V106" s="1148"/>
      <c r="W106" s="1680"/>
      <c r="X106" s="70"/>
      <c r="Z106" s="14"/>
      <c r="AA106" s="14"/>
      <c r="AB106" s="14"/>
      <c r="AC106" s="14"/>
    </row>
    <row r="107" spans="1:31" s="1" customFormat="1" ht="43.5" customHeight="1" x14ac:dyDescent="0.2">
      <c r="A107" s="139" t="s">
        <v>13</v>
      </c>
      <c r="B107" s="86" t="s">
        <v>21</v>
      </c>
      <c r="C107" s="24" t="s">
        <v>21</v>
      </c>
      <c r="D107" s="450"/>
      <c r="E107" s="95" t="s">
        <v>46</v>
      </c>
      <c r="F107" s="182"/>
      <c r="G107" s="195"/>
      <c r="H107" s="905"/>
      <c r="I107" s="17"/>
      <c r="J107" s="901"/>
      <c r="K107" s="646"/>
      <c r="L107" s="645"/>
      <c r="M107" s="901"/>
      <c r="N107" s="646"/>
      <c r="O107" s="645"/>
      <c r="P107" s="901"/>
      <c r="Q107" s="646"/>
      <c r="R107" s="647"/>
      <c r="S107" s="1212"/>
      <c r="T107" s="379"/>
      <c r="U107" s="298"/>
      <c r="V107" s="299"/>
      <c r="W107" s="299"/>
      <c r="AA107" s="14"/>
      <c r="AB107" s="14"/>
    </row>
    <row r="108" spans="1:31" s="1" customFormat="1" ht="26.25" customHeight="1" x14ac:dyDescent="0.2">
      <c r="A108" s="140"/>
      <c r="B108" s="1108"/>
      <c r="C108" s="1241"/>
      <c r="D108" s="1222" t="s">
        <v>13</v>
      </c>
      <c r="E108" s="1576" t="s">
        <v>71</v>
      </c>
      <c r="F108" s="101"/>
      <c r="G108" s="1244">
        <v>11010130</v>
      </c>
      <c r="H108" s="906">
        <v>2</v>
      </c>
      <c r="I108" s="99" t="s">
        <v>17</v>
      </c>
      <c r="J108" s="249">
        <v>96</v>
      </c>
      <c r="K108" s="836">
        <f>96</f>
        <v>96</v>
      </c>
      <c r="L108" s="1382"/>
      <c r="M108" s="249">
        <v>245.2</v>
      </c>
      <c r="N108" s="1381">
        <f>245.2+65</f>
        <v>310.2</v>
      </c>
      <c r="O108" s="1382">
        <f>+N108-M108</f>
        <v>65</v>
      </c>
      <c r="P108" s="249">
        <v>232</v>
      </c>
      <c r="Q108" s="836">
        <v>232</v>
      </c>
      <c r="R108" s="482"/>
      <c r="S108" s="1459" t="s">
        <v>329</v>
      </c>
      <c r="T108" s="1407" t="s">
        <v>399</v>
      </c>
      <c r="U108" s="1408" t="s">
        <v>400</v>
      </c>
      <c r="V108" s="293">
        <v>1</v>
      </c>
      <c r="W108" s="1558" t="s">
        <v>401</v>
      </c>
      <c r="X108" s="257"/>
      <c r="Z108" s="49"/>
    </row>
    <row r="109" spans="1:31" s="1" customFormat="1" ht="54" customHeight="1" x14ac:dyDescent="0.2">
      <c r="A109" s="140"/>
      <c r="B109" s="1108"/>
      <c r="C109" s="1403"/>
      <c r="D109" s="1402"/>
      <c r="E109" s="1577"/>
      <c r="F109" s="101"/>
      <c r="G109" s="1401"/>
      <c r="H109" s="1409"/>
      <c r="I109" s="1415" t="s">
        <v>79</v>
      </c>
      <c r="J109" s="1416"/>
      <c r="K109" s="1290">
        <v>35</v>
      </c>
      <c r="L109" s="1417">
        <f>+K109-J109</f>
        <v>35</v>
      </c>
      <c r="M109" s="208"/>
      <c r="N109" s="219"/>
      <c r="O109" s="268"/>
      <c r="P109" s="208"/>
      <c r="Q109" s="219"/>
      <c r="R109" s="215"/>
      <c r="S109" s="1581"/>
      <c r="T109" s="380"/>
      <c r="U109" s="309"/>
      <c r="V109" s="310"/>
      <c r="W109" s="1526"/>
      <c r="X109" s="280"/>
      <c r="Z109" s="49"/>
    </row>
    <row r="110" spans="1:31" s="1" customFormat="1" ht="54.75" customHeight="1" x14ac:dyDescent="0.2">
      <c r="A110" s="140"/>
      <c r="B110" s="1108"/>
      <c r="C110" s="1241"/>
      <c r="D110" s="1233"/>
      <c r="E110" s="1577"/>
      <c r="F110" s="101"/>
      <c r="G110" s="1194"/>
      <c r="H110" s="393">
        <v>6</v>
      </c>
      <c r="I110" s="99" t="s">
        <v>17</v>
      </c>
      <c r="J110" s="249">
        <v>65.599999999999994</v>
      </c>
      <c r="K110" s="1381">
        <v>60.6</v>
      </c>
      <c r="L110" s="1382">
        <f>+K110-J110</f>
        <v>-4.9999999999999929</v>
      </c>
      <c r="M110" s="249"/>
      <c r="N110" s="836"/>
      <c r="O110" s="283"/>
      <c r="P110" s="249"/>
      <c r="Q110" s="836"/>
      <c r="R110" s="482"/>
      <c r="S110" s="1581"/>
      <c r="T110" s="380"/>
      <c r="U110" s="309"/>
      <c r="V110" s="310"/>
      <c r="W110" s="1526" t="s">
        <v>396</v>
      </c>
      <c r="X110" s="280"/>
      <c r="Z110" s="49"/>
    </row>
    <row r="111" spans="1:31" s="1" customFormat="1" ht="14.25" customHeight="1" x14ac:dyDescent="0.2">
      <c r="A111" s="132"/>
      <c r="B111" s="1203"/>
      <c r="C111" s="1238"/>
      <c r="D111" s="454"/>
      <c r="E111" s="1578"/>
      <c r="F111" s="980"/>
      <c r="G111" s="204"/>
      <c r="H111" s="1238"/>
      <c r="I111" s="186" t="s">
        <v>18</v>
      </c>
      <c r="J111" s="250">
        <f t="shared" ref="J111:O111" si="22">SUM(J108:J110)</f>
        <v>161.6</v>
      </c>
      <c r="K111" s="256">
        <f>SUM(K108:K110)</f>
        <v>191.6</v>
      </c>
      <c r="L111" s="256">
        <f>SUM(L108:L110)</f>
        <v>30.000000000000007</v>
      </c>
      <c r="M111" s="250">
        <f t="shared" si="22"/>
        <v>245.2</v>
      </c>
      <c r="N111" s="256">
        <f t="shared" si="22"/>
        <v>310.2</v>
      </c>
      <c r="O111" s="424">
        <f t="shared" si="22"/>
        <v>65</v>
      </c>
      <c r="P111" s="250">
        <f>SUM(P108:P108)</f>
        <v>232</v>
      </c>
      <c r="Q111" s="256">
        <f>SUM(Q108:Q108)</f>
        <v>232</v>
      </c>
      <c r="R111" s="252">
        <f>SUM(R108:R108)</f>
        <v>0</v>
      </c>
      <c r="S111" s="922"/>
      <c r="T111" s="400"/>
      <c r="U111" s="344"/>
      <c r="V111" s="345"/>
      <c r="W111" s="1645"/>
      <c r="X111" s="30"/>
      <c r="Y111" s="51"/>
      <c r="Z111" s="14"/>
      <c r="AA111" s="14"/>
    </row>
    <row r="112" spans="1:31" s="1" customFormat="1" ht="29.25" customHeight="1" x14ac:dyDescent="0.2">
      <c r="A112" s="132"/>
      <c r="B112" s="1203"/>
      <c r="C112" s="1238"/>
      <c r="D112" s="453" t="s">
        <v>19</v>
      </c>
      <c r="E112" s="1576" t="s">
        <v>104</v>
      </c>
      <c r="F112" s="981"/>
      <c r="G112" s="1579" t="s">
        <v>133</v>
      </c>
      <c r="H112" s="711" t="s">
        <v>16</v>
      </c>
      <c r="I112" s="99" t="s">
        <v>17</v>
      </c>
      <c r="J112" s="249">
        <v>9.4</v>
      </c>
      <c r="K112" s="836">
        <v>9.4</v>
      </c>
      <c r="L112" s="283"/>
      <c r="M112" s="249">
        <v>64.3</v>
      </c>
      <c r="N112" s="836">
        <v>64.3</v>
      </c>
      <c r="O112" s="283"/>
      <c r="P112" s="249"/>
      <c r="Q112" s="836"/>
      <c r="R112" s="482"/>
      <c r="S112" s="923" t="s">
        <v>363</v>
      </c>
      <c r="T112" s="592">
        <v>100</v>
      </c>
      <c r="U112" s="641"/>
      <c r="V112" s="335"/>
      <c r="W112" s="335"/>
      <c r="X112" s="903"/>
      <c r="Y112" s="903"/>
      <c r="Z112" s="14"/>
      <c r="AA112" s="14"/>
      <c r="AB112" s="14"/>
    </row>
    <row r="113" spans="1:29" s="1" customFormat="1" ht="29.25" customHeight="1" x14ac:dyDescent="0.2">
      <c r="A113" s="132"/>
      <c r="B113" s="1203"/>
      <c r="C113" s="1238"/>
      <c r="D113" s="453"/>
      <c r="E113" s="1577"/>
      <c r="F113" s="980"/>
      <c r="G113" s="1580"/>
      <c r="H113" s="1238"/>
      <c r="I113" s="539"/>
      <c r="J113" s="257"/>
      <c r="K113" s="258"/>
      <c r="L113" s="280"/>
      <c r="M113" s="257"/>
      <c r="N113" s="258"/>
      <c r="O113" s="280"/>
      <c r="P113" s="257"/>
      <c r="Q113" s="258"/>
      <c r="R113" s="473"/>
      <c r="S113" s="1232" t="s">
        <v>364</v>
      </c>
      <c r="T113" s="525">
        <v>100</v>
      </c>
      <c r="U113" s="641"/>
      <c r="V113" s="335"/>
      <c r="W113" s="335"/>
      <c r="X113" s="30"/>
      <c r="Y113" s="51"/>
      <c r="Z113" s="14"/>
      <c r="AA113" s="14"/>
      <c r="AB113" s="14"/>
      <c r="AC113" s="14"/>
    </row>
    <row r="114" spans="1:29" s="1" customFormat="1" ht="42" customHeight="1" x14ac:dyDescent="0.2">
      <c r="A114" s="132"/>
      <c r="B114" s="1203"/>
      <c r="C114" s="1238"/>
      <c r="D114" s="453"/>
      <c r="E114" s="96"/>
      <c r="F114" s="980"/>
      <c r="G114" s="204"/>
      <c r="H114" s="494"/>
      <c r="I114" s="539"/>
      <c r="J114" s="904"/>
      <c r="K114" s="1125"/>
      <c r="L114" s="1118"/>
      <c r="M114" s="257"/>
      <c r="N114" s="258"/>
      <c r="O114" s="280"/>
      <c r="P114" s="257"/>
      <c r="Q114" s="258"/>
      <c r="R114" s="473"/>
      <c r="S114" s="923" t="s">
        <v>365</v>
      </c>
      <c r="T114" s="525"/>
      <c r="U114" s="650">
        <v>100</v>
      </c>
      <c r="V114" s="335"/>
      <c r="W114" s="335"/>
      <c r="X114" s="30"/>
      <c r="Z114" s="14"/>
      <c r="AA114" s="14"/>
    </row>
    <row r="115" spans="1:29" s="1" customFormat="1" ht="30.75" customHeight="1" x14ac:dyDescent="0.2">
      <c r="A115" s="132"/>
      <c r="B115" s="1203"/>
      <c r="C115" s="1238"/>
      <c r="D115" s="453"/>
      <c r="E115" s="96"/>
      <c r="F115" s="980"/>
      <c r="G115" s="204"/>
      <c r="H115" s="494"/>
      <c r="I115" s="539"/>
      <c r="J115" s="904"/>
      <c r="K115" s="1125"/>
      <c r="L115" s="1118"/>
      <c r="M115" s="257"/>
      <c r="N115" s="258"/>
      <c r="O115" s="280"/>
      <c r="P115" s="257"/>
      <c r="Q115" s="258"/>
      <c r="R115" s="473"/>
      <c r="S115" s="1232" t="s">
        <v>366</v>
      </c>
      <c r="T115" s="525"/>
      <c r="U115" s="640">
        <v>100</v>
      </c>
      <c r="V115" s="116"/>
      <c r="W115" s="116"/>
      <c r="X115" s="30"/>
      <c r="AA115" s="14"/>
    </row>
    <row r="116" spans="1:29" s="1" customFormat="1" ht="41.25" customHeight="1" x14ac:dyDescent="0.2">
      <c r="A116" s="132"/>
      <c r="B116" s="1397"/>
      <c r="C116" s="1398"/>
      <c r="D116" s="453"/>
      <c r="E116" s="96"/>
      <c r="F116" s="980"/>
      <c r="G116" s="204"/>
      <c r="H116" s="494"/>
      <c r="I116" s="539"/>
      <c r="J116" s="904"/>
      <c r="K116" s="1125"/>
      <c r="L116" s="1118"/>
      <c r="M116" s="257"/>
      <c r="N116" s="258"/>
      <c r="O116" s="280"/>
      <c r="P116" s="257"/>
      <c r="Q116" s="258"/>
      <c r="R116" s="473"/>
      <c r="S116" s="1232" t="s">
        <v>367</v>
      </c>
      <c r="T116" s="592"/>
      <c r="U116" s="640">
        <v>100</v>
      </c>
      <c r="V116" s="337"/>
      <c r="W116" s="337"/>
      <c r="X116" s="30"/>
      <c r="Y116" s="14"/>
      <c r="AA116" s="14"/>
    </row>
    <row r="117" spans="1:29" s="1" customFormat="1" ht="17.25" customHeight="1" x14ac:dyDescent="0.2">
      <c r="A117" s="132"/>
      <c r="B117" s="1203"/>
      <c r="C117" s="1238"/>
      <c r="D117" s="453"/>
      <c r="E117" s="96"/>
      <c r="F117" s="980"/>
      <c r="G117" s="204"/>
      <c r="H117" s="494"/>
      <c r="I117" s="534"/>
      <c r="J117" s="479"/>
      <c r="K117" s="837"/>
      <c r="L117" s="267"/>
      <c r="M117" s="479"/>
      <c r="N117" s="837"/>
      <c r="O117" s="267"/>
      <c r="P117" s="479"/>
      <c r="Q117" s="837"/>
      <c r="R117" s="478"/>
      <c r="S117" s="1670" t="s">
        <v>368</v>
      </c>
      <c r="T117" s="514"/>
      <c r="U117" s="357">
        <v>100</v>
      </c>
      <c r="V117" s="170"/>
      <c r="W117" s="170"/>
      <c r="X117" s="30"/>
      <c r="AA117" s="14"/>
    </row>
    <row r="118" spans="1:29" s="1" customFormat="1" ht="14.25" customHeight="1" x14ac:dyDescent="0.2">
      <c r="A118" s="132"/>
      <c r="B118" s="1203"/>
      <c r="C118" s="1238"/>
      <c r="D118" s="453"/>
      <c r="E118" s="96"/>
      <c r="F118" s="980"/>
      <c r="G118" s="204"/>
      <c r="H118" s="494"/>
      <c r="I118" s="186" t="s">
        <v>18</v>
      </c>
      <c r="J118" s="250">
        <f>SUM(J112:J117)</f>
        <v>9.4</v>
      </c>
      <c r="K118" s="256">
        <f>SUM(K112:K117)</f>
        <v>9.4</v>
      </c>
      <c r="L118" s="424"/>
      <c r="M118" s="250">
        <f t="shared" ref="M118:R118" si="23">SUM(M112:M117)</f>
        <v>64.3</v>
      </c>
      <c r="N118" s="256">
        <f t="shared" si="23"/>
        <v>64.3</v>
      </c>
      <c r="O118" s="424">
        <f t="shared" si="23"/>
        <v>0</v>
      </c>
      <c r="P118" s="250">
        <f t="shared" si="23"/>
        <v>0</v>
      </c>
      <c r="Q118" s="256">
        <f t="shared" si="23"/>
        <v>0</v>
      </c>
      <c r="R118" s="252">
        <f t="shared" si="23"/>
        <v>0</v>
      </c>
      <c r="S118" s="1623"/>
      <c r="T118" s="538"/>
      <c r="U118" s="336"/>
      <c r="V118" s="337"/>
      <c r="W118" s="337"/>
      <c r="X118" s="54"/>
      <c r="Y118" s="14"/>
      <c r="Z118" s="14"/>
      <c r="AB118" s="14"/>
      <c r="AC118" s="14"/>
    </row>
    <row r="119" spans="1:29" s="1" customFormat="1" ht="30" customHeight="1" x14ac:dyDescent="0.2">
      <c r="A119" s="136"/>
      <c r="B119" s="1203"/>
      <c r="C119" s="1238"/>
      <c r="D119" s="455" t="s">
        <v>21</v>
      </c>
      <c r="E119" s="1576" t="s">
        <v>154</v>
      </c>
      <c r="F119" s="981"/>
      <c r="G119" s="414"/>
      <c r="H119" s="710" t="s">
        <v>16</v>
      </c>
      <c r="I119" s="534" t="s">
        <v>17</v>
      </c>
      <c r="J119" s="208">
        <v>100</v>
      </c>
      <c r="K119" s="219">
        <v>100</v>
      </c>
      <c r="L119" s="268"/>
      <c r="M119" s="208">
        <v>100</v>
      </c>
      <c r="N119" s="219">
        <v>100</v>
      </c>
      <c r="O119" s="268"/>
      <c r="P119" s="1140"/>
      <c r="Q119" s="1144"/>
      <c r="R119" s="902"/>
      <c r="S119" s="1600" t="s">
        <v>155</v>
      </c>
      <c r="T119" s="517">
        <v>50</v>
      </c>
      <c r="U119" s="312">
        <v>100</v>
      </c>
      <c r="V119" s="313"/>
      <c r="W119" s="313"/>
      <c r="X119" s="54"/>
      <c r="Y119" s="14"/>
      <c r="Z119" s="14"/>
      <c r="AB119" s="14"/>
      <c r="AC119" s="14"/>
    </row>
    <row r="120" spans="1:29" s="1" customFormat="1" ht="14.25" customHeight="1" x14ac:dyDescent="0.2">
      <c r="A120" s="136"/>
      <c r="B120" s="1203"/>
      <c r="C120" s="1238"/>
      <c r="D120" s="454"/>
      <c r="E120" s="1578"/>
      <c r="F120" s="982"/>
      <c r="G120" s="416"/>
      <c r="H120" s="712"/>
      <c r="I120" s="118" t="s">
        <v>18</v>
      </c>
      <c r="J120" s="250">
        <f>SUM(J119)</f>
        <v>100</v>
      </c>
      <c r="K120" s="256">
        <f>SUM(K119)</f>
        <v>100</v>
      </c>
      <c r="L120" s="424"/>
      <c r="M120" s="250">
        <f>M119</f>
        <v>100</v>
      </c>
      <c r="N120" s="256">
        <f>N119</f>
        <v>100</v>
      </c>
      <c r="O120" s="424">
        <f>O119</f>
        <v>0</v>
      </c>
      <c r="P120" s="250"/>
      <c r="Q120" s="256"/>
      <c r="R120" s="252"/>
      <c r="S120" s="1601"/>
      <c r="T120" s="357"/>
      <c r="U120" s="312"/>
      <c r="V120" s="313"/>
      <c r="W120" s="313"/>
      <c r="X120" s="54"/>
      <c r="Y120" s="14"/>
      <c r="Z120" s="14"/>
      <c r="AB120" s="14"/>
      <c r="AC120" s="14"/>
    </row>
    <row r="121" spans="1:29" s="1" customFormat="1" ht="15.75" customHeight="1" x14ac:dyDescent="0.2">
      <c r="A121" s="136"/>
      <c r="B121" s="1203"/>
      <c r="C121" s="1241"/>
      <c r="D121" s="1233" t="s">
        <v>34</v>
      </c>
      <c r="E121" s="102" t="s">
        <v>72</v>
      </c>
      <c r="F121" s="188"/>
      <c r="G121" s="1560">
        <v>11010100</v>
      </c>
      <c r="H121" s="550">
        <v>6</v>
      </c>
      <c r="I121" s="120" t="s">
        <v>17</v>
      </c>
      <c r="J121" s="907">
        <v>181.8</v>
      </c>
      <c r="K121" s="1425">
        <f>181.8-28.7</f>
        <v>153.10000000000002</v>
      </c>
      <c r="L121" s="1426">
        <f>+K121-J121</f>
        <v>-28.699999999999989</v>
      </c>
      <c r="M121" s="907">
        <v>181.8</v>
      </c>
      <c r="N121" s="908">
        <v>181.8</v>
      </c>
      <c r="O121" s="1119"/>
      <c r="P121" s="537">
        <v>181.8</v>
      </c>
      <c r="Q121" s="535">
        <v>181.8</v>
      </c>
      <c r="R121" s="536"/>
      <c r="S121" s="78" t="s">
        <v>73</v>
      </c>
      <c r="T121" s="404">
        <v>6</v>
      </c>
      <c r="U121" s="419">
        <v>6</v>
      </c>
      <c r="V121" s="420">
        <v>6</v>
      </c>
      <c r="W121" s="420"/>
      <c r="X121" s="54"/>
      <c r="Y121" s="14"/>
      <c r="AC121" s="14"/>
    </row>
    <row r="122" spans="1:29" s="1" customFormat="1" ht="15.75" customHeight="1" x14ac:dyDescent="0.2">
      <c r="A122" s="136"/>
      <c r="B122" s="1410"/>
      <c r="C122" s="1413"/>
      <c r="D122" s="1412"/>
      <c r="E122" s="81"/>
      <c r="F122" s="64"/>
      <c r="G122" s="1602"/>
      <c r="H122" s="1086"/>
      <c r="I122" s="120" t="s">
        <v>79</v>
      </c>
      <c r="J122" s="907"/>
      <c r="K122" s="1425">
        <v>28.7</v>
      </c>
      <c r="L122" s="1426">
        <f>+K122-J122</f>
        <v>28.7</v>
      </c>
      <c r="M122" s="907"/>
      <c r="N122" s="908"/>
      <c r="O122" s="1119"/>
      <c r="P122" s="537"/>
      <c r="Q122" s="535"/>
      <c r="R122" s="536"/>
      <c r="S122" s="78"/>
      <c r="T122" s="407"/>
      <c r="U122" s="288"/>
      <c r="V122" s="289"/>
      <c r="W122" s="289"/>
      <c r="X122" s="54"/>
      <c r="Y122" s="14"/>
      <c r="AC122" s="14"/>
    </row>
    <row r="123" spans="1:29" s="1" customFormat="1" ht="15.75" customHeight="1" x14ac:dyDescent="0.2">
      <c r="A123" s="136"/>
      <c r="B123" s="1203"/>
      <c r="C123" s="1241"/>
      <c r="D123" s="1233"/>
      <c r="E123" s="81"/>
      <c r="F123" s="79"/>
      <c r="G123" s="1603"/>
      <c r="H123" s="551"/>
      <c r="I123" s="118" t="s">
        <v>18</v>
      </c>
      <c r="J123" s="426">
        <f>SUM(J121:J121)</f>
        <v>181.8</v>
      </c>
      <c r="K123" s="365">
        <f>SUM(K121:K122)</f>
        <v>181.8</v>
      </c>
      <c r="L123" s="365">
        <f>SUM(L121:L122)</f>
        <v>0</v>
      </c>
      <c r="M123" s="426">
        <f t="shared" ref="M123:R123" si="24">SUM(M121:M121)</f>
        <v>181.8</v>
      </c>
      <c r="N123" s="365">
        <f t="shared" si="24"/>
        <v>181.8</v>
      </c>
      <c r="O123" s="1120">
        <f t="shared" si="24"/>
        <v>0</v>
      </c>
      <c r="P123" s="426">
        <f t="shared" si="24"/>
        <v>181.8</v>
      </c>
      <c r="Q123" s="365">
        <f t="shared" si="24"/>
        <v>181.8</v>
      </c>
      <c r="R123" s="427">
        <f t="shared" si="24"/>
        <v>0</v>
      </c>
      <c r="S123" s="78"/>
      <c r="T123" s="407"/>
      <c r="U123" s="288"/>
      <c r="V123" s="289"/>
      <c r="W123" s="289"/>
      <c r="X123" s="30"/>
    </row>
    <row r="124" spans="1:29" s="1" customFormat="1" ht="13.5" customHeight="1" thickBot="1" x14ac:dyDescent="0.25">
      <c r="A124" s="132"/>
      <c r="B124" s="1203"/>
      <c r="C124" s="1238"/>
      <c r="D124" s="453"/>
      <c r="E124" s="1213"/>
      <c r="F124" s="1582" t="s">
        <v>45</v>
      </c>
      <c r="G124" s="1583"/>
      <c r="H124" s="1583"/>
      <c r="I124" s="1681"/>
      <c r="J124" s="209">
        <f t="shared" ref="J124:R124" si="25">+J123+J118+J111+J120</f>
        <v>452.8</v>
      </c>
      <c r="K124" s="220">
        <f t="shared" si="25"/>
        <v>482.8</v>
      </c>
      <c r="L124" s="220">
        <f t="shared" si="25"/>
        <v>30.000000000000007</v>
      </c>
      <c r="M124" s="209">
        <f t="shared" si="25"/>
        <v>591.29999999999995</v>
      </c>
      <c r="N124" s="220">
        <f t="shared" si="25"/>
        <v>656.3</v>
      </c>
      <c r="O124" s="376">
        <f t="shared" si="25"/>
        <v>65</v>
      </c>
      <c r="P124" s="209">
        <f t="shared" si="25"/>
        <v>413.8</v>
      </c>
      <c r="Q124" s="220">
        <f t="shared" si="25"/>
        <v>413.8</v>
      </c>
      <c r="R124" s="216">
        <f t="shared" si="25"/>
        <v>0</v>
      </c>
      <c r="S124" s="924"/>
      <c r="T124" s="927"/>
      <c r="U124" s="651"/>
      <c r="V124" s="652"/>
      <c r="W124" s="652"/>
      <c r="X124" s="32"/>
    </row>
    <row r="125" spans="1:29" s="1" customFormat="1" ht="39.75" customHeight="1" x14ac:dyDescent="0.2">
      <c r="A125" s="131" t="s">
        <v>13</v>
      </c>
      <c r="B125" s="1487" t="s">
        <v>21</v>
      </c>
      <c r="C125" s="1565" t="s">
        <v>34</v>
      </c>
      <c r="D125" s="451"/>
      <c r="E125" s="1604" t="s">
        <v>105</v>
      </c>
      <c r="F125" s="1606"/>
      <c r="G125" s="1453">
        <v>11020404</v>
      </c>
      <c r="H125" s="1613">
        <v>1</v>
      </c>
      <c r="I125" s="541" t="s">
        <v>79</v>
      </c>
      <c r="J125" s="257">
        <v>250.3</v>
      </c>
      <c r="K125" s="1399">
        <f>250.3+11</f>
        <v>261.3</v>
      </c>
      <c r="L125" s="1400">
        <f>+K125-J125</f>
        <v>11</v>
      </c>
      <c r="M125" s="248"/>
      <c r="N125" s="255"/>
      <c r="O125" s="542"/>
      <c r="P125" s="248"/>
      <c r="Q125" s="255"/>
      <c r="R125" s="489"/>
      <c r="S125" s="1612" t="s">
        <v>107</v>
      </c>
      <c r="T125" s="909">
        <v>100</v>
      </c>
      <c r="U125" s="339"/>
      <c r="V125" s="340"/>
      <c r="W125" s="1549" t="s">
        <v>398</v>
      </c>
    </row>
    <row r="126" spans="1:29" s="1" customFormat="1" ht="15.75" customHeight="1" thickBot="1" x14ac:dyDescent="0.25">
      <c r="A126" s="134"/>
      <c r="B126" s="1489"/>
      <c r="C126" s="1566"/>
      <c r="D126" s="452"/>
      <c r="E126" s="1605"/>
      <c r="F126" s="1607"/>
      <c r="G126" s="1455"/>
      <c r="H126" s="1614"/>
      <c r="I126" s="121" t="s">
        <v>18</v>
      </c>
      <c r="J126" s="209">
        <f>SUM(J125:J125)</f>
        <v>250.3</v>
      </c>
      <c r="K126" s="220">
        <f>SUM(K125:K125)</f>
        <v>261.3</v>
      </c>
      <c r="L126" s="220">
        <f>SUM(L125:L125)</f>
        <v>11</v>
      </c>
      <c r="M126" s="209">
        <f t="shared" ref="M126:R126" si="26">SUM(M125:M125)</f>
        <v>0</v>
      </c>
      <c r="N126" s="220">
        <f t="shared" si="26"/>
        <v>0</v>
      </c>
      <c r="O126" s="376">
        <f t="shared" si="26"/>
        <v>0</v>
      </c>
      <c r="P126" s="209">
        <f t="shared" si="26"/>
        <v>0</v>
      </c>
      <c r="Q126" s="220">
        <f t="shared" si="26"/>
        <v>0</v>
      </c>
      <c r="R126" s="216">
        <f t="shared" si="26"/>
        <v>0</v>
      </c>
      <c r="S126" s="1482"/>
      <c r="T126" s="433"/>
      <c r="U126" s="315"/>
      <c r="V126" s="316"/>
      <c r="W126" s="1553"/>
    </row>
    <row r="127" spans="1:29" s="1" customFormat="1" ht="14.25" customHeight="1" thickBot="1" x14ac:dyDescent="0.25">
      <c r="A127" s="127" t="s">
        <v>13</v>
      </c>
      <c r="B127" s="31" t="s">
        <v>21</v>
      </c>
      <c r="C127" s="1534" t="s">
        <v>22</v>
      </c>
      <c r="D127" s="1534"/>
      <c r="E127" s="1534"/>
      <c r="F127" s="1534"/>
      <c r="G127" s="1534"/>
      <c r="H127" s="1534"/>
      <c r="I127" s="1568"/>
      <c r="J127" s="238">
        <f t="shared" ref="J127:R127" si="27">+J124+J106+J126+J82</f>
        <v>6587.7</v>
      </c>
      <c r="K127" s="247">
        <f t="shared" si="27"/>
        <v>6643.3</v>
      </c>
      <c r="L127" s="247">
        <f t="shared" si="27"/>
        <v>55.600000000000009</v>
      </c>
      <c r="M127" s="238">
        <f t="shared" si="27"/>
        <v>5803.3</v>
      </c>
      <c r="N127" s="247">
        <f t="shared" si="27"/>
        <v>5892.5</v>
      </c>
      <c r="O127" s="490">
        <f t="shared" si="27"/>
        <v>89.2</v>
      </c>
      <c r="P127" s="238">
        <f t="shared" si="27"/>
        <v>3737.1000000000004</v>
      </c>
      <c r="Q127" s="247">
        <f t="shared" si="27"/>
        <v>3737.1000000000004</v>
      </c>
      <c r="R127" s="428">
        <f t="shared" si="27"/>
        <v>0</v>
      </c>
      <c r="S127" s="1615"/>
      <c r="T127" s="1616"/>
      <c r="U127" s="1616"/>
      <c r="V127" s="1616"/>
      <c r="W127" s="1617"/>
      <c r="X127" s="1597"/>
      <c r="Z127" s="14"/>
    </row>
    <row r="128" spans="1:29" s="1" customFormat="1" ht="14.25" customHeight="1" thickBot="1" x14ac:dyDescent="0.25">
      <c r="A128" s="142" t="s">
        <v>13</v>
      </c>
      <c r="B128" s="31" t="s">
        <v>34</v>
      </c>
      <c r="C128" s="1598" t="s">
        <v>47</v>
      </c>
      <c r="D128" s="1599"/>
      <c r="E128" s="1599"/>
      <c r="F128" s="1599"/>
      <c r="G128" s="1599"/>
      <c r="H128" s="1599"/>
      <c r="I128" s="1599"/>
      <c r="J128" s="1599"/>
      <c r="K128" s="1599"/>
      <c r="L128" s="1599"/>
      <c r="M128" s="1599"/>
      <c r="N128" s="1599"/>
      <c r="O128" s="1599"/>
      <c r="P128" s="1599"/>
      <c r="Q128" s="1599"/>
      <c r="R128" s="1599"/>
      <c r="S128" s="1599"/>
      <c r="T128" s="346"/>
      <c r="U128" s="346"/>
      <c r="V128" s="346"/>
      <c r="W128" s="347"/>
      <c r="X128" s="1597"/>
      <c r="Z128" s="14"/>
    </row>
    <row r="129" spans="1:33" s="1" customFormat="1" ht="29.25" customHeight="1" x14ac:dyDescent="0.2">
      <c r="A129" s="131" t="s">
        <v>13</v>
      </c>
      <c r="B129" s="1202" t="s">
        <v>34</v>
      </c>
      <c r="C129" s="10" t="s">
        <v>13</v>
      </c>
      <c r="D129" s="447"/>
      <c r="E129" s="1525" t="s">
        <v>217</v>
      </c>
      <c r="F129" s="983"/>
      <c r="G129" s="1237">
        <v>11030607</v>
      </c>
      <c r="H129" s="61" t="s">
        <v>16</v>
      </c>
      <c r="I129" s="119" t="s">
        <v>17</v>
      </c>
      <c r="J129" s="207">
        <f>755.3+250-30</f>
        <v>975.3</v>
      </c>
      <c r="K129" s="470">
        <f>755.3+250-30</f>
        <v>975.3</v>
      </c>
      <c r="L129" s="281"/>
      <c r="M129" s="207">
        <f>755.3+250.7-250</f>
        <v>756</v>
      </c>
      <c r="N129" s="470">
        <f>755.3+250.7-250</f>
        <v>756</v>
      </c>
      <c r="O129" s="281"/>
      <c r="P129" s="207">
        <f>755.3+250.7-250</f>
        <v>756</v>
      </c>
      <c r="Q129" s="470">
        <f>755.3+250.7-250</f>
        <v>756</v>
      </c>
      <c r="R129" s="476"/>
      <c r="S129" s="1624" t="s">
        <v>118</v>
      </c>
      <c r="T129" s="909">
        <v>6</v>
      </c>
      <c r="U129" s="339">
        <v>6</v>
      </c>
      <c r="V129" s="340">
        <v>7</v>
      </c>
      <c r="W129" s="340"/>
      <c r="X129" s="1597"/>
      <c r="AA129" s="14"/>
    </row>
    <row r="130" spans="1:33" s="1" customFormat="1" ht="15" customHeight="1" thickBot="1" x14ac:dyDescent="0.25">
      <c r="A130" s="134"/>
      <c r="B130" s="1204"/>
      <c r="C130" s="15"/>
      <c r="D130" s="448"/>
      <c r="E130" s="1559"/>
      <c r="F130" s="984"/>
      <c r="G130" s="1217"/>
      <c r="H130" s="62"/>
      <c r="I130" s="121" t="s">
        <v>18</v>
      </c>
      <c r="J130" s="209">
        <f>SUM(J129:J129)</f>
        <v>975.3</v>
      </c>
      <c r="K130" s="220">
        <f>SUM(K129:K129)</f>
        <v>975.3</v>
      </c>
      <c r="L130" s="376"/>
      <c r="M130" s="209">
        <f t="shared" ref="M130:R130" si="28">SUM(M129:M129)</f>
        <v>756</v>
      </c>
      <c r="N130" s="220">
        <f t="shared" si="28"/>
        <v>756</v>
      </c>
      <c r="O130" s="376">
        <f t="shared" si="28"/>
        <v>0</v>
      </c>
      <c r="P130" s="209">
        <f t="shared" si="28"/>
        <v>756</v>
      </c>
      <c r="Q130" s="220">
        <f t="shared" si="28"/>
        <v>756</v>
      </c>
      <c r="R130" s="216">
        <f t="shared" si="28"/>
        <v>0</v>
      </c>
      <c r="S130" s="1625"/>
      <c r="T130" s="314"/>
      <c r="U130" s="315"/>
      <c r="V130" s="316"/>
      <c r="W130" s="316"/>
      <c r="X130" s="1227"/>
      <c r="Y130" s="30"/>
    </row>
    <row r="131" spans="1:33" s="1" customFormat="1" ht="32.25" customHeight="1" x14ac:dyDescent="0.2">
      <c r="A131" s="131" t="s">
        <v>13</v>
      </c>
      <c r="B131" s="1487" t="s">
        <v>34</v>
      </c>
      <c r="C131" s="1565" t="s">
        <v>19</v>
      </c>
      <c r="D131" s="451"/>
      <c r="E131" s="1604" t="s">
        <v>218</v>
      </c>
      <c r="F131" s="1608"/>
      <c r="G131" s="1193">
        <v>11030701</v>
      </c>
      <c r="H131" s="1610" t="s">
        <v>16</v>
      </c>
      <c r="I131" s="46" t="s">
        <v>17</v>
      </c>
      <c r="J131" s="207">
        <v>50</v>
      </c>
      <c r="K131" s="470">
        <v>50</v>
      </c>
      <c r="L131" s="281"/>
      <c r="M131" s="248">
        <f>60-10</f>
        <v>50</v>
      </c>
      <c r="N131" s="255">
        <f>60-10</f>
        <v>50</v>
      </c>
      <c r="O131" s="542"/>
      <c r="P131" s="207">
        <f>70-20</f>
        <v>50</v>
      </c>
      <c r="Q131" s="470">
        <f>70-20</f>
        <v>50</v>
      </c>
      <c r="R131" s="476"/>
      <c r="S131" s="1612" t="s">
        <v>48</v>
      </c>
      <c r="T131" s="339">
        <v>25</v>
      </c>
      <c r="U131" s="339">
        <v>25</v>
      </c>
      <c r="V131" s="961">
        <v>25</v>
      </c>
      <c r="W131" s="961"/>
      <c r="AA131" s="14"/>
      <c r="AB131" s="14"/>
    </row>
    <row r="132" spans="1:33" s="1" customFormat="1" ht="13.5" thickBot="1" x14ac:dyDescent="0.25">
      <c r="A132" s="134"/>
      <c r="B132" s="1489"/>
      <c r="C132" s="1566"/>
      <c r="D132" s="452"/>
      <c r="E132" s="1605"/>
      <c r="F132" s="1609"/>
      <c r="G132" s="1195"/>
      <c r="H132" s="1611"/>
      <c r="I132" s="45" t="s">
        <v>18</v>
      </c>
      <c r="J132" s="209">
        <f t="shared" ref="J132:P132" si="29">SUM(J131:J131)</f>
        <v>50</v>
      </c>
      <c r="K132" s="220">
        <f t="shared" ref="K132" si="30">SUM(K131:K131)</f>
        <v>50</v>
      </c>
      <c r="L132" s="376"/>
      <c r="M132" s="209">
        <f t="shared" si="29"/>
        <v>50</v>
      </c>
      <c r="N132" s="220">
        <f t="shared" ref="N132:O132" si="31">SUM(N131:N131)</f>
        <v>50</v>
      </c>
      <c r="O132" s="376">
        <f t="shared" si="31"/>
        <v>0</v>
      </c>
      <c r="P132" s="209">
        <f t="shared" si="29"/>
        <v>50</v>
      </c>
      <c r="Q132" s="220">
        <f t="shared" ref="Q132:R132" si="32">SUM(Q131:Q131)</f>
        <v>50</v>
      </c>
      <c r="R132" s="216">
        <f t="shared" si="32"/>
        <v>0</v>
      </c>
      <c r="S132" s="1482"/>
      <c r="T132" s="315"/>
      <c r="U132" s="315"/>
      <c r="V132" s="316"/>
      <c r="W132" s="316"/>
    </row>
    <row r="133" spans="1:33" s="1" customFormat="1" ht="13.5" thickBot="1" x14ac:dyDescent="0.25">
      <c r="A133" s="127" t="s">
        <v>13</v>
      </c>
      <c r="B133" s="31" t="s">
        <v>34</v>
      </c>
      <c r="C133" s="1534" t="s">
        <v>22</v>
      </c>
      <c r="D133" s="1534"/>
      <c r="E133" s="1534"/>
      <c r="F133" s="1534"/>
      <c r="G133" s="1534"/>
      <c r="H133" s="1534"/>
      <c r="I133" s="1534"/>
      <c r="J133" s="8">
        <f t="shared" ref="J133:P133" si="33">J132+J130</f>
        <v>1025.3</v>
      </c>
      <c r="K133" s="225">
        <f t="shared" ref="K133" si="34">K132+K130</f>
        <v>1025.3</v>
      </c>
      <c r="L133" s="555"/>
      <c r="M133" s="8">
        <f t="shared" si="33"/>
        <v>806</v>
      </c>
      <c r="N133" s="225">
        <f t="shared" ref="N133:O133" si="35">N132+N130</f>
        <v>806</v>
      </c>
      <c r="O133" s="555">
        <f t="shared" si="35"/>
        <v>0</v>
      </c>
      <c r="P133" s="8">
        <f t="shared" si="33"/>
        <v>806</v>
      </c>
      <c r="Q133" s="225">
        <f t="shared" ref="Q133:R133" si="36">Q132+Q130</f>
        <v>806</v>
      </c>
      <c r="R133" s="556">
        <f t="shared" si="36"/>
        <v>0</v>
      </c>
      <c r="S133" s="1635"/>
      <c r="T133" s="1636"/>
      <c r="U133" s="1636"/>
      <c r="V133" s="1636"/>
      <c r="W133" s="1637"/>
    </row>
    <row r="134" spans="1:33" s="93" customFormat="1" ht="13.5" thickBot="1" x14ac:dyDescent="0.25">
      <c r="A134" s="127" t="s">
        <v>13</v>
      </c>
      <c r="B134" s="1638" t="s">
        <v>49</v>
      </c>
      <c r="C134" s="1639"/>
      <c r="D134" s="1639"/>
      <c r="E134" s="1639"/>
      <c r="F134" s="1639"/>
      <c r="G134" s="1639"/>
      <c r="H134" s="1639"/>
      <c r="I134" s="1639"/>
      <c r="J134" s="557">
        <f t="shared" ref="J134:R134" si="37">J127+J79+J29+J133</f>
        <v>14498.400000000001</v>
      </c>
      <c r="K134" s="558">
        <f t="shared" si="37"/>
        <v>14712.7</v>
      </c>
      <c r="L134" s="558">
        <f t="shared" si="37"/>
        <v>214.29999999999944</v>
      </c>
      <c r="M134" s="557">
        <f t="shared" si="37"/>
        <v>13597.400000000001</v>
      </c>
      <c r="N134" s="558">
        <f t="shared" si="37"/>
        <v>13686.6</v>
      </c>
      <c r="O134" s="1132">
        <f t="shared" si="37"/>
        <v>89.2</v>
      </c>
      <c r="P134" s="557">
        <f t="shared" si="37"/>
        <v>11427.9</v>
      </c>
      <c r="Q134" s="558">
        <f t="shared" si="37"/>
        <v>11427.9</v>
      </c>
      <c r="R134" s="705">
        <f t="shared" si="37"/>
        <v>0</v>
      </c>
      <c r="S134" s="143"/>
      <c r="T134" s="351"/>
      <c r="U134" s="351"/>
      <c r="V134" s="351"/>
      <c r="W134" s="144"/>
    </row>
    <row r="135" spans="1:33" s="93" customFormat="1" ht="13.5" thickBot="1" x14ac:dyDescent="0.25">
      <c r="A135" s="145" t="s">
        <v>50</v>
      </c>
      <c r="B135" s="1640" t="s">
        <v>51</v>
      </c>
      <c r="C135" s="1641"/>
      <c r="D135" s="1641"/>
      <c r="E135" s="1641"/>
      <c r="F135" s="1641"/>
      <c r="G135" s="1641"/>
      <c r="H135" s="1641"/>
      <c r="I135" s="1641"/>
      <c r="J135" s="559">
        <f t="shared" ref="J135:P135" si="38">J134</f>
        <v>14498.400000000001</v>
      </c>
      <c r="K135" s="560">
        <f t="shared" ref="K135:L135" si="39">K134</f>
        <v>14712.7</v>
      </c>
      <c r="L135" s="560">
        <f t="shared" si="39"/>
        <v>214.29999999999944</v>
      </c>
      <c r="M135" s="559">
        <f t="shared" si="38"/>
        <v>13597.400000000001</v>
      </c>
      <c r="N135" s="560">
        <f t="shared" ref="N135:O135" si="40">N134</f>
        <v>13686.6</v>
      </c>
      <c r="O135" s="1133">
        <f t="shared" si="40"/>
        <v>89.2</v>
      </c>
      <c r="P135" s="559">
        <f t="shared" si="38"/>
        <v>11427.9</v>
      </c>
      <c r="Q135" s="560">
        <f t="shared" ref="Q135:R135" si="41">Q134</f>
        <v>11427.9</v>
      </c>
      <c r="R135" s="706">
        <f t="shared" si="41"/>
        <v>0</v>
      </c>
      <c r="S135" s="146"/>
      <c r="T135" s="352"/>
      <c r="U135" s="352"/>
      <c r="V135" s="352"/>
      <c r="W135" s="147"/>
    </row>
    <row r="136" spans="1:33" s="1" customFormat="1" ht="21.75" customHeight="1" thickBot="1" x14ac:dyDescent="0.25">
      <c r="A136" s="35"/>
      <c r="B136" s="1646" t="s">
        <v>52</v>
      </c>
      <c r="C136" s="1646"/>
      <c r="D136" s="1646"/>
      <c r="E136" s="1646"/>
      <c r="F136" s="1646"/>
      <c r="G136" s="1646"/>
      <c r="H136" s="1646"/>
      <c r="I136" s="1646"/>
      <c r="J136" s="1646"/>
      <c r="K136" s="1646"/>
      <c r="L136" s="1646"/>
      <c r="M136" s="1646"/>
      <c r="N136" s="1646"/>
      <c r="O136" s="1646"/>
      <c r="P136" s="1646"/>
      <c r="Q136" s="1646"/>
      <c r="R136" s="1646"/>
      <c r="S136" s="37"/>
      <c r="T136" s="1081"/>
      <c r="U136" s="1081"/>
      <c r="V136" s="1081"/>
      <c r="W136" s="1081"/>
    </row>
    <row r="137" spans="1:33" s="1" customFormat="1" ht="69" customHeight="1" x14ac:dyDescent="0.2">
      <c r="A137" s="36"/>
      <c r="B137" s="1643" t="s">
        <v>53</v>
      </c>
      <c r="C137" s="1644"/>
      <c r="D137" s="1644"/>
      <c r="E137" s="1644"/>
      <c r="F137" s="1644"/>
      <c r="G137" s="1644"/>
      <c r="H137" s="1644"/>
      <c r="I137" s="1644"/>
      <c r="J137" s="725" t="s">
        <v>139</v>
      </c>
      <c r="K137" s="726" t="s">
        <v>373</v>
      </c>
      <c r="L137" s="1121" t="s">
        <v>374</v>
      </c>
      <c r="M137" s="725" t="s">
        <v>140</v>
      </c>
      <c r="N137" s="726" t="s">
        <v>380</v>
      </c>
      <c r="O137" s="1121" t="s">
        <v>374</v>
      </c>
      <c r="P137" s="725" t="s">
        <v>141</v>
      </c>
      <c r="Q137" s="726" t="s">
        <v>383</v>
      </c>
      <c r="R137" s="727" t="s">
        <v>374</v>
      </c>
      <c r="S137" s="38"/>
      <c r="T137" s="155"/>
      <c r="U137" s="155"/>
      <c r="V137" s="155"/>
      <c r="W137" s="155"/>
    </row>
    <row r="138" spans="1:33" s="1" customFormat="1" x14ac:dyDescent="0.2">
      <c r="A138" s="36"/>
      <c r="B138" s="1626" t="s">
        <v>54</v>
      </c>
      <c r="C138" s="1627"/>
      <c r="D138" s="1627"/>
      <c r="E138" s="1627"/>
      <c r="F138" s="1627"/>
      <c r="G138" s="1627"/>
      <c r="H138" s="1627"/>
      <c r="I138" s="1627"/>
      <c r="J138" s="562">
        <f t="shared" ref="J138:R138" si="42">SUM(J139:J145)</f>
        <v>14479.8</v>
      </c>
      <c r="K138" s="561">
        <f t="shared" si="42"/>
        <v>14694.1</v>
      </c>
      <c r="L138" s="561">
        <f t="shared" si="42"/>
        <v>214.30000000000018</v>
      </c>
      <c r="M138" s="562">
        <f t="shared" si="42"/>
        <v>12461.699999999997</v>
      </c>
      <c r="N138" s="561">
        <f t="shared" si="42"/>
        <v>12550.899999999998</v>
      </c>
      <c r="O138" s="1134">
        <f t="shared" si="42"/>
        <v>89.2</v>
      </c>
      <c r="P138" s="562">
        <f t="shared" si="42"/>
        <v>10692.8</v>
      </c>
      <c r="Q138" s="561">
        <f t="shared" si="42"/>
        <v>10692.8</v>
      </c>
      <c r="R138" s="720">
        <f t="shared" si="42"/>
        <v>0</v>
      </c>
      <c r="S138" s="39"/>
      <c r="T138" s="153"/>
      <c r="U138" s="153"/>
      <c r="V138" s="153"/>
      <c r="W138" s="153"/>
      <c r="Z138" s="14"/>
    </row>
    <row r="139" spans="1:33" s="1" customFormat="1" ht="12.75" customHeight="1" x14ac:dyDescent="0.2">
      <c r="A139" s="36"/>
      <c r="B139" s="1629" t="s">
        <v>55</v>
      </c>
      <c r="C139" s="1630"/>
      <c r="D139" s="1630"/>
      <c r="E139" s="1630"/>
      <c r="F139" s="1630"/>
      <c r="G139" s="1630"/>
      <c r="H139" s="1630"/>
      <c r="I139" s="1630"/>
      <c r="J139" s="564">
        <f>SUMIF(I13:I131,"sb",J13:J131)</f>
        <v>8410.4</v>
      </c>
      <c r="K139" s="565">
        <f>SUMIF(I13:I131,"sb",K13:K131)</f>
        <v>8550</v>
      </c>
      <c r="L139" s="1122">
        <f>+K139-J139</f>
        <v>139.60000000000036</v>
      </c>
      <c r="M139" s="564">
        <f>SUMIF(I13:I131,"sb",M13:M131)</f>
        <v>8016.4999999999991</v>
      </c>
      <c r="N139" s="565">
        <f>SUMIF(I13:I131,"sb",N13:N131)</f>
        <v>8105.6999999999989</v>
      </c>
      <c r="O139" s="1122">
        <f>SUMIF(I13:I131,"sb",O13:O131)</f>
        <v>89.2</v>
      </c>
      <c r="P139" s="564">
        <f>SUMIF(I13:I131,"sb",P13:P131)</f>
        <v>10342.5</v>
      </c>
      <c r="Q139" s="565">
        <f>SUMIF(I13:I131,"sb",Q13:Q131)</f>
        <v>10342.5</v>
      </c>
      <c r="R139" s="566">
        <f>SUMIF(I13:I131,"sb",R13:R131)</f>
        <v>0</v>
      </c>
      <c r="S139" s="191"/>
      <c r="T139" s="353"/>
      <c r="U139" s="353"/>
      <c r="V139" s="353"/>
      <c r="W139" s="353"/>
      <c r="AG139" s="14"/>
    </row>
    <row r="140" spans="1:33" s="1" customFormat="1" ht="29.25" customHeight="1" x14ac:dyDescent="0.2">
      <c r="A140" s="36"/>
      <c r="B140" s="1439" t="s">
        <v>370</v>
      </c>
      <c r="C140" s="1440"/>
      <c r="D140" s="1440"/>
      <c r="E140" s="1440"/>
      <c r="F140" s="1440"/>
      <c r="G140" s="1440"/>
      <c r="H140" s="1440"/>
      <c r="I140" s="1441"/>
      <c r="J140" s="564">
        <f>SUMIF(I14:I132,"sb(es)",J14:J132)</f>
        <v>583.20000000000005</v>
      </c>
      <c r="K140" s="565">
        <f>SUMIF(I14:I132,"sb(es)",K14:K132)</f>
        <v>583.20000000000005</v>
      </c>
      <c r="L140" s="1122"/>
      <c r="M140" s="576">
        <f>SUMIF(I14:I132,"sb(es)",M14:M132)</f>
        <v>621.70000000000005</v>
      </c>
      <c r="N140" s="575">
        <f>SUMIF(I14:I132,"sb(es)",N14:N132)</f>
        <v>621.70000000000005</v>
      </c>
      <c r="O140" s="1123">
        <f>SUMIF(I14:I132,"sb(es)",O14:O132)</f>
        <v>0</v>
      </c>
      <c r="P140" s="564">
        <f>SUMIF(I14:I132,"sb(es)",P14:P132)</f>
        <v>0</v>
      </c>
      <c r="Q140" s="565">
        <f>SUMIF(I14:I132,"sb(es)",Q14:Q132)</f>
        <v>0</v>
      </c>
      <c r="R140" s="566">
        <f>SUMIF(I14:I132,"sb(es)",R14:R132)</f>
        <v>0</v>
      </c>
      <c r="S140" s="191"/>
      <c r="T140" s="353"/>
      <c r="U140" s="353"/>
      <c r="V140" s="353"/>
      <c r="W140" s="353"/>
    </row>
    <row r="141" spans="1:33" s="1" customFormat="1" ht="15.75" customHeight="1" x14ac:dyDescent="0.2">
      <c r="A141" s="36"/>
      <c r="B141" s="1439" t="s">
        <v>371</v>
      </c>
      <c r="C141" s="1440"/>
      <c r="D141" s="1440"/>
      <c r="E141" s="1440"/>
      <c r="F141" s="1440"/>
      <c r="G141" s="1440"/>
      <c r="H141" s="1440"/>
      <c r="I141" s="1441"/>
      <c r="J141" s="564">
        <f>SUMIF(I15:I133,"sb(vb)",J15:J133)</f>
        <v>51.5</v>
      </c>
      <c r="K141" s="565">
        <f>SUMIF(I15:I133,"sb(vb)",K15:K133)</f>
        <v>51.5</v>
      </c>
      <c r="L141" s="1122">
        <f>+K141-J141</f>
        <v>0</v>
      </c>
      <c r="M141" s="576">
        <f>SUMIF(I15:I133,"sb(vb)",M15:M133)</f>
        <v>54.9</v>
      </c>
      <c r="N141" s="575">
        <f>SUMIF(I15:I133,"sb(vb)",N15:N133)</f>
        <v>54.9</v>
      </c>
      <c r="O141" s="1123">
        <f>SUMIF(I15:I133,"sb(vb)",O15:O133)</f>
        <v>0</v>
      </c>
      <c r="P141" s="564">
        <f>SUMIF(I15:I133,"sb(vb)",P15:P133)</f>
        <v>0</v>
      </c>
      <c r="Q141" s="565">
        <f>SUMIF(I15:I133,"sb(vb)",Q15:Q133)</f>
        <v>0</v>
      </c>
      <c r="R141" s="566">
        <f>SUMIF(I15:I133,"sb(vb)",R15:R133)</f>
        <v>0</v>
      </c>
      <c r="S141" s="191"/>
      <c r="T141" s="353"/>
      <c r="U141" s="353"/>
      <c r="V141" s="353"/>
      <c r="W141" s="353"/>
    </row>
    <row r="142" spans="1:33" s="1" customFormat="1" ht="12.75" customHeight="1" x14ac:dyDescent="0.2">
      <c r="A142" s="36"/>
      <c r="B142" s="1631" t="s">
        <v>313</v>
      </c>
      <c r="C142" s="1632"/>
      <c r="D142" s="1632"/>
      <c r="E142" s="1632"/>
      <c r="F142" s="1632"/>
      <c r="G142" s="1632"/>
      <c r="H142" s="1632"/>
      <c r="I142" s="1632"/>
      <c r="J142" s="564">
        <f>SUMIF(I13:I132,"sb(p)",J13:J132)</f>
        <v>2700</v>
      </c>
      <c r="K142" s="565">
        <f>SUMIF(I13:I132,"sb(p)",K13:K132)</f>
        <v>2700</v>
      </c>
      <c r="L142" s="1122">
        <f t="shared" ref="L142:L144" si="43">+K142-J142</f>
        <v>0</v>
      </c>
      <c r="M142" s="576">
        <f>SUMIF(I13:I132,"sb(p)",M13:M132)</f>
        <v>1913.5</v>
      </c>
      <c r="N142" s="575">
        <f>SUMIF(I13:I132,"sb(p)",N13:N132)</f>
        <v>1913.5</v>
      </c>
      <c r="O142" s="1123">
        <f>SUMIF(I13:I132,"sb(p)",O13:O132)</f>
        <v>0</v>
      </c>
      <c r="P142" s="564">
        <f>SUMIF(I16:I134,"sb(vb)",P16:P134)</f>
        <v>0</v>
      </c>
      <c r="Q142" s="575">
        <f>SUMIF(I16:I134,"sb(vb)",Q16:Q134)</f>
        <v>0</v>
      </c>
      <c r="R142" s="566">
        <f>SUMIF(I16:I134,"sb(vb)",R16:R134)</f>
        <v>0</v>
      </c>
      <c r="S142" s="191"/>
      <c r="T142" s="353"/>
      <c r="U142" s="353"/>
      <c r="V142" s="353"/>
      <c r="W142" s="353"/>
    </row>
    <row r="143" spans="1:33" s="1" customFormat="1" ht="12.75" customHeight="1" x14ac:dyDescent="0.2">
      <c r="A143" s="36"/>
      <c r="B143" s="1633" t="s">
        <v>78</v>
      </c>
      <c r="C143" s="1634"/>
      <c r="D143" s="1634"/>
      <c r="E143" s="1634"/>
      <c r="F143" s="1634"/>
      <c r="G143" s="1634"/>
      <c r="H143" s="1634"/>
      <c r="I143" s="1647"/>
      <c r="J143" s="564">
        <f>SUMIF(I14:I133,"sb(spl)",J14:J133)</f>
        <v>65.599999999999994</v>
      </c>
      <c r="K143" s="575">
        <f>SUMIF(I14:I133,"sb(spl)",K14:K133)</f>
        <v>65.599999999999994</v>
      </c>
      <c r="L143" s="1122">
        <f>SUMIF(I14:I133,"sb(spl)",L14:L133)</f>
        <v>0</v>
      </c>
      <c r="M143" s="564"/>
      <c r="N143" s="565"/>
      <c r="O143" s="1122"/>
      <c r="P143" s="564"/>
      <c r="Q143" s="565"/>
      <c r="R143" s="566"/>
      <c r="S143" s="191"/>
      <c r="T143" s="353"/>
      <c r="U143" s="353"/>
      <c r="V143" s="353"/>
      <c r="W143" s="353"/>
    </row>
    <row r="144" spans="1:33" s="1" customFormat="1" ht="12.75" customHeight="1" x14ac:dyDescent="0.2">
      <c r="A144" s="36"/>
      <c r="B144" s="1633" t="s">
        <v>80</v>
      </c>
      <c r="C144" s="1634"/>
      <c r="D144" s="1634"/>
      <c r="E144" s="1634"/>
      <c r="F144" s="1634"/>
      <c r="G144" s="1634"/>
      <c r="H144" s="1634"/>
      <c r="I144" s="1634"/>
      <c r="J144" s="234">
        <f>SUMIF(I17:I132,"sb(l)",J17:J132)</f>
        <v>2318.8000000000002</v>
      </c>
      <c r="K144" s="243">
        <f>SUMIF(I17:I132,"sb(l)",K17:K132)</f>
        <v>2393.5</v>
      </c>
      <c r="L144" s="1122">
        <f t="shared" si="43"/>
        <v>74.699999999999818</v>
      </c>
      <c r="M144" s="234">
        <f>SUMIF(I17:I132,"sb(l)",M17:M132)</f>
        <v>1504.8</v>
      </c>
      <c r="N144" s="243">
        <f>SUMIF(I17:I132,"sb(l)",N17:N132)</f>
        <v>1504.8</v>
      </c>
      <c r="O144" s="1135">
        <f>SUMIF(I17:I132,"sb(l)",O17:O132)</f>
        <v>0</v>
      </c>
      <c r="P144" s="234">
        <f>SUMIF(I17:I132,"sb(l)",P17:P132)</f>
        <v>0</v>
      </c>
      <c r="Q144" s="243">
        <f>SUMIF(I17:I132,"sb(l)",Q17:Q132)</f>
        <v>0</v>
      </c>
      <c r="R144" s="491">
        <f>SUMIF(I17:I132,"sb(l)",R17:R132)</f>
        <v>0</v>
      </c>
      <c r="S144" s="1082"/>
      <c r="T144" s="154"/>
      <c r="U144" s="154"/>
      <c r="V144" s="154"/>
      <c r="W144" s="154"/>
      <c r="AB144" s="14"/>
    </row>
    <row r="145" spans="1:35" s="1" customFormat="1" ht="15" customHeight="1" x14ac:dyDescent="0.2">
      <c r="A145" s="36"/>
      <c r="B145" s="1439" t="s">
        <v>56</v>
      </c>
      <c r="C145" s="1440"/>
      <c r="D145" s="1440"/>
      <c r="E145" s="1440"/>
      <c r="F145" s="1440"/>
      <c r="G145" s="1440"/>
      <c r="H145" s="1440"/>
      <c r="I145" s="1440"/>
      <c r="J145" s="569">
        <f>SUMIF(I13:I131,"sb(sp)",J13:J131)</f>
        <v>350.3</v>
      </c>
      <c r="K145" s="568">
        <f>SUMIF(I13:I131,"sb(sp)",K13:K131)</f>
        <v>350.3</v>
      </c>
      <c r="L145" s="1122"/>
      <c r="M145" s="569">
        <f>SUMIF(I13:I131,"sb(sp)",M13:M131)</f>
        <v>350.3</v>
      </c>
      <c r="N145" s="568">
        <f>SUMIF(I13:I131,"sb(sp)",N13:N131)</f>
        <v>350.3</v>
      </c>
      <c r="O145" s="1136">
        <f>SUMIF(I13:I131,"sb(sp)",O13:O131)</f>
        <v>0</v>
      </c>
      <c r="P145" s="569">
        <f>SUMIF(I13:I131,"sb(sp)",P13:P131)</f>
        <v>350.3</v>
      </c>
      <c r="Q145" s="568">
        <f>SUMIF(I13:I131,"sb(sp)",Q13:Q131)</f>
        <v>350.3</v>
      </c>
      <c r="R145" s="721">
        <f>SUMIF(I13:I131,"sb(sp)",R13:R131)</f>
        <v>0</v>
      </c>
      <c r="S145" s="1082"/>
      <c r="T145" s="154"/>
      <c r="U145" s="154"/>
      <c r="V145" s="154"/>
      <c r="W145" s="154"/>
    </row>
    <row r="146" spans="1:35" s="1" customFormat="1" x14ac:dyDescent="0.2">
      <c r="A146" s="36"/>
      <c r="B146" s="1626" t="s">
        <v>58</v>
      </c>
      <c r="C146" s="1627"/>
      <c r="D146" s="1627"/>
      <c r="E146" s="1627"/>
      <c r="F146" s="1627"/>
      <c r="G146" s="1627"/>
      <c r="H146" s="1627"/>
      <c r="I146" s="1628"/>
      <c r="J146" s="573">
        <f t="shared" ref="J146:R146" si="44">SUM(J147:J147)</f>
        <v>18.600000000000001</v>
      </c>
      <c r="K146" s="572">
        <f t="shared" si="44"/>
        <v>18.600000000000001</v>
      </c>
      <c r="L146" s="572">
        <f t="shared" si="44"/>
        <v>0</v>
      </c>
      <c r="M146" s="573">
        <f t="shared" si="44"/>
        <v>1135.6999999999998</v>
      </c>
      <c r="N146" s="572">
        <f t="shared" si="44"/>
        <v>1135.6999999999998</v>
      </c>
      <c r="O146" s="1137">
        <f t="shared" si="44"/>
        <v>0</v>
      </c>
      <c r="P146" s="573">
        <f t="shared" si="44"/>
        <v>735.1</v>
      </c>
      <c r="Q146" s="572">
        <f t="shared" si="44"/>
        <v>735.1</v>
      </c>
      <c r="R146" s="723">
        <f t="shared" si="44"/>
        <v>0</v>
      </c>
      <c r="S146" s="39"/>
      <c r="T146" s="153"/>
      <c r="U146" s="153"/>
      <c r="V146" s="153"/>
      <c r="W146" s="153"/>
    </row>
    <row r="147" spans="1:35" s="1" customFormat="1" x14ac:dyDescent="0.2">
      <c r="A147" s="36"/>
      <c r="B147" s="1629" t="s">
        <v>60</v>
      </c>
      <c r="C147" s="1630"/>
      <c r="D147" s="1630"/>
      <c r="E147" s="1630"/>
      <c r="F147" s="1630"/>
      <c r="G147" s="1630"/>
      <c r="H147" s="1630"/>
      <c r="I147" s="1630"/>
      <c r="J147" s="576">
        <f>SUMIF(I13:I131,"lrvb",J13:J131)</f>
        <v>18.600000000000001</v>
      </c>
      <c r="K147" s="575">
        <f>SUMIF(I13:I131,"lrvb",K13:K131)</f>
        <v>18.600000000000001</v>
      </c>
      <c r="L147" s="1123">
        <f>+K147-J147</f>
        <v>0</v>
      </c>
      <c r="M147" s="576">
        <f>SUMIF(I13:I131,"lrvb",M13:M131)</f>
        <v>1135.6999999999998</v>
      </c>
      <c r="N147" s="575">
        <f>SUMIF(I13:I131,"lrvb",N13:N131)</f>
        <v>1135.6999999999998</v>
      </c>
      <c r="O147" s="1123">
        <f>SUMIF(I13:I131,"lrvb",O13:O131)</f>
        <v>0</v>
      </c>
      <c r="P147" s="576">
        <f>SUMIF(I13:I131,"lrvb",P13:P131)</f>
        <v>735.1</v>
      </c>
      <c r="Q147" s="575">
        <f>SUMIF(I13:I131,"lrvb",Q13:Q131)</f>
        <v>735.1</v>
      </c>
      <c r="R147" s="577">
        <f>SUMIF(I13:I131,"lrvb",R13:R131)</f>
        <v>0</v>
      </c>
      <c r="S147" s="1082"/>
      <c r="T147" s="154"/>
      <c r="U147" s="154"/>
      <c r="V147" s="154"/>
      <c r="W147" s="154"/>
      <c r="AC147" s="14"/>
      <c r="AI147" s="14"/>
    </row>
    <row r="148" spans="1:35" ht="13.5" thickBot="1" x14ac:dyDescent="0.25">
      <c r="A148" s="40"/>
      <c r="B148" s="1619" t="s">
        <v>18</v>
      </c>
      <c r="C148" s="1620"/>
      <c r="D148" s="1620"/>
      <c r="E148" s="1620"/>
      <c r="F148" s="1620"/>
      <c r="G148" s="1620"/>
      <c r="H148" s="1620"/>
      <c r="I148" s="1621"/>
      <c r="J148" s="508">
        <f t="shared" ref="J148:R148" si="45">J146+J138</f>
        <v>14498.4</v>
      </c>
      <c r="K148" s="509">
        <f t="shared" si="45"/>
        <v>14712.7</v>
      </c>
      <c r="L148" s="509">
        <f t="shared" si="45"/>
        <v>214.30000000000018</v>
      </c>
      <c r="M148" s="508">
        <f t="shared" si="45"/>
        <v>13597.399999999998</v>
      </c>
      <c r="N148" s="509">
        <f t="shared" si="45"/>
        <v>13686.599999999999</v>
      </c>
      <c r="O148" s="1117">
        <f t="shared" si="45"/>
        <v>89.2</v>
      </c>
      <c r="P148" s="508">
        <f t="shared" si="45"/>
        <v>11427.9</v>
      </c>
      <c r="Q148" s="509">
        <f t="shared" si="45"/>
        <v>11427.9</v>
      </c>
      <c r="R148" s="370">
        <f t="shared" si="45"/>
        <v>0</v>
      </c>
      <c r="S148" s="41"/>
      <c r="T148" s="152"/>
      <c r="U148" s="152"/>
      <c r="V148" s="152"/>
      <c r="W148" s="152"/>
    </row>
    <row r="149" spans="1:35" x14ac:dyDescent="0.2">
      <c r="J149" s="53"/>
      <c r="K149" s="53"/>
      <c r="L149" s="53"/>
      <c r="M149" s="53"/>
      <c r="N149" s="53"/>
      <c r="O149" s="53"/>
      <c r="P149" s="53"/>
      <c r="Q149" s="53"/>
      <c r="R149" s="53"/>
    </row>
    <row r="150" spans="1:35" x14ac:dyDescent="0.2">
      <c r="F150" s="1113" t="s">
        <v>137</v>
      </c>
      <c r="G150" s="1113"/>
      <c r="H150" s="1113"/>
      <c r="I150" s="1113"/>
      <c r="J150" s="1245"/>
      <c r="K150" s="1245"/>
      <c r="L150" s="1245"/>
      <c r="M150" s="1245"/>
      <c r="N150" s="1245"/>
      <c r="O150" s="1245"/>
      <c r="P150" s="1245"/>
      <c r="Q150" s="1245"/>
      <c r="R150" s="1245"/>
    </row>
    <row r="151" spans="1:35" x14ac:dyDescent="0.2">
      <c r="J151" s="53"/>
      <c r="K151" s="53"/>
      <c r="L151" s="53"/>
      <c r="M151" s="53"/>
      <c r="N151" s="53"/>
      <c r="O151" s="53"/>
      <c r="P151" s="53"/>
      <c r="Q151" s="53"/>
      <c r="R151" s="53"/>
    </row>
    <row r="152" spans="1:35" x14ac:dyDescent="0.2">
      <c r="J152" s="53"/>
      <c r="K152" s="53"/>
      <c r="L152" s="53"/>
      <c r="M152" s="53"/>
      <c r="N152" s="53"/>
      <c r="O152" s="53"/>
      <c r="P152" s="53"/>
      <c r="Q152" s="53"/>
      <c r="R152" s="53"/>
    </row>
    <row r="153" spans="1:35" x14ac:dyDescent="0.2">
      <c r="J153" s="53"/>
      <c r="K153" s="53"/>
      <c r="L153" s="53"/>
      <c r="M153" s="53"/>
      <c r="N153" s="53"/>
      <c r="O153" s="53"/>
      <c r="P153" s="53"/>
      <c r="Q153" s="53"/>
      <c r="R153" s="53"/>
    </row>
    <row r="154" spans="1:35" x14ac:dyDescent="0.2">
      <c r="J154" s="53"/>
      <c r="K154" s="53"/>
      <c r="L154" s="53"/>
      <c r="M154" s="53"/>
      <c r="N154" s="53"/>
      <c r="O154" s="53"/>
      <c r="P154" s="53"/>
      <c r="Q154" s="53"/>
      <c r="R154" s="53"/>
    </row>
    <row r="155" spans="1:35" x14ac:dyDescent="0.2">
      <c r="J155" s="53"/>
      <c r="K155" s="53"/>
      <c r="L155" s="53"/>
      <c r="M155" s="53"/>
      <c r="N155" s="53"/>
      <c r="O155" s="53"/>
      <c r="P155" s="53"/>
      <c r="Q155" s="53"/>
      <c r="R155" s="53"/>
    </row>
  </sheetData>
  <mergeCells count="168">
    <mergeCell ref="B145:I145"/>
    <mergeCell ref="B146:I146"/>
    <mergeCell ref="B147:I147"/>
    <mergeCell ref="B148:I148"/>
    <mergeCell ref="K6:K8"/>
    <mergeCell ref="V27:V28"/>
    <mergeCell ref="B138:I138"/>
    <mergeCell ref="B139:I139"/>
    <mergeCell ref="B140:I140"/>
    <mergeCell ref="B141:I141"/>
    <mergeCell ref="B142:I142"/>
    <mergeCell ref="B144:I144"/>
    <mergeCell ref="C133:I133"/>
    <mergeCell ref="S133:W133"/>
    <mergeCell ref="B134:I134"/>
    <mergeCell ref="B135:I135"/>
    <mergeCell ref="B137:I137"/>
    <mergeCell ref="B131:B132"/>
    <mergeCell ref="N6:N8"/>
    <mergeCell ref="O6:O8"/>
    <mergeCell ref="Q6:Q8"/>
    <mergeCell ref="C131:C132"/>
    <mergeCell ref="S131:S132"/>
    <mergeCell ref="E131:E132"/>
    <mergeCell ref="X127:X129"/>
    <mergeCell ref="C128:S128"/>
    <mergeCell ref="E129:E130"/>
    <mergeCell ref="S129:S130"/>
    <mergeCell ref="G121:G123"/>
    <mergeCell ref="F124:I124"/>
    <mergeCell ref="B125:B126"/>
    <mergeCell ref="C125:C126"/>
    <mergeCell ref="E125:E126"/>
    <mergeCell ref="F125:F126"/>
    <mergeCell ref="G125:G126"/>
    <mergeCell ref="F131:F132"/>
    <mergeCell ref="H131:H132"/>
    <mergeCell ref="E108:E111"/>
    <mergeCell ref="H125:H126"/>
    <mergeCell ref="S108:S110"/>
    <mergeCell ref="E112:E113"/>
    <mergeCell ref="G112:G113"/>
    <mergeCell ref="E83:E85"/>
    <mergeCell ref="G90:G91"/>
    <mergeCell ref="F91:F96"/>
    <mergeCell ref="S117:S118"/>
    <mergeCell ref="E119:E120"/>
    <mergeCell ref="S119:S120"/>
    <mergeCell ref="C127:I127"/>
    <mergeCell ref="S127:W127"/>
    <mergeCell ref="D99:D100"/>
    <mergeCell ref="E99:E100"/>
    <mergeCell ref="F99:F100"/>
    <mergeCell ref="E102:E103"/>
    <mergeCell ref="D102:D103"/>
    <mergeCell ref="D105:D106"/>
    <mergeCell ref="W99:W106"/>
    <mergeCell ref="S125:S126"/>
    <mergeCell ref="W125:W126"/>
    <mergeCell ref="C79:I79"/>
    <mergeCell ref="S79:W79"/>
    <mergeCell ref="C80:W80"/>
    <mergeCell ref="B81:B82"/>
    <mergeCell ref="C81:C82"/>
    <mergeCell ref="E81:E82"/>
    <mergeCell ref="H99:H100"/>
    <mergeCell ref="S99:S100"/>
    <mergeCell ref="E73:E74"/>
    <mergeCell ref="G73:G74"/>
    <mergeCell ref="E75:E76"/>
    <mergeCell ref="G75:G76"/>
    <mergeCell ref="E77:E78"/>
    <mergeCell ref="G77:G78"/>
    <mergeCell ref="E69:E70"/>
    <mergeCell ref="G69:G70"/>
    <mergeCell ref="S69:S70"/>
    <mergeCell ref="W31:W41"/>
    <mergeCell ref="E71:E72"/>
    <mergeCell ref="G71:G72"/>
    <mergeCell ref="S71:S72"/>
    <mergeCell ref="S77:S78"/>
    <mergeCell ref="E54:E55"/>
    <mergeCell ref="F54:F57"/>
    <mergeCell ref="E59:E60"/>
    <mergeCell ref="G59:G60"/>
    <mergeCell ref="E61:E62"/>
    <mergeCell ref="E67:E68"/>
    <mergeCell ref="W69:W70"/>
    <mergeCell ref="S67:S68"/>
    <mergeCell ref="E51:E52"/>
    <mergeCell ref="C27:C28"/>
    <mergeCell ref="E27:E28"/>
    <mergeCell ref="F27:F28"/>
    <mergeCell ref="G27:G28"/>
    <mergeCell ref="H27:H28"/>
    <mergeCell ref="S27:S28"/>
    <mergeCell ref="S22:S23"/>
    <mergeCell ref="C24:C26"/>
    <mergeCell ref="E24:E26"/>
    <mergeCell ref="F24:F26"/>
    <mergeCell ref="G24:G26"/>
    <mergeCell ref="W21:W23"/>
    <mergeCell ref="G21:G23"/>
    <mergeCell ref="H21:H23"/>
    <mergeCell ref="C29:I29"/>
    <mergeCell ref="S29:W29"/>
    <mergeCell ref="C30:W30"/>
    <mergeCell ref="S25:S26"/>
    <mergeCell ref="W24:W26"/>
    <mergeCell ref="C21:C23"/>
    <mergeCell ref="E21:E23"/>
    <mergeCell ref="F21:F23"/>
    <mergeCell ref="T27:T28"/>
    <mergeCell ref="U27:U28"/>
    <mergeCell ref="P1:W1"/>
    <mergeCell ref="A2:W2"/>
    <mergeCell ref="A3:W3"/>
    <mergeCell ref="A4:W4"/>
    <mergeCell ref="A6:A8"/>
    <mergeCell ref="B6:B8"/>
    <mergeCell ref="C6:C8"/>
    <mergeCell ref="E6:E8"/>
    <mergeCell ref="F6:F8"/>
    <mergeCell ref="G6:G8"/>
    <mergeCell ref="L6:L8"/>
    <mergeCell ref="T7:V7"/>
    <mergeCell ref="S6:V6"/>
    <mergeCell ref="W6:W8"/>
    <mergeCell ref="R6:R8"/>
    <mergeCell ref="B18:B20"/>
    <mergeCell ref="C18:C20"/>
    <mergeCell ref="E31:E32"/>
    <mergeCell ref="S31:S32"/>
    <mergeCell ref="E38:E39"/>
    <mergeCell ref="E45:E46"/>
    <mergeCell ref="E48:E49"/>
    <mergeCell ref="A27:A28"/>
    <mergeCell ref="B27:B28"/>
    <mergeCell ref="A24:A26"/>
    <mergeCell ref="B24:B26"/>
    <mergeCell ref="E18:E20"/>
    <mergeCell ref="F18:F20"/>
    <mergeCell ref="G18:G20"/>
    <mergeCell ref="A18:A20"/>
    <mergeCell ref="W110:W111"/>
    <mergeCell ref="W108:W109"/>
    <mergeCell ref="B136:R136"/>
    <mergeCell ref="B143:I143"/>
    <mergeCell ref="H6:H8"/>
    <mergeCell ref="I6:I8"/>
    <mergeCell ref="J6:J8"/>
    <mergeCell ref="M6:M8"/>
    <mergeCell ref="P6:P8"/>
    <mergeCell ref="S7:S8"/>
    <mergeCell ref="A9:W9"/>
    <mergeCell ref="A10:W10"/>
    <mergeCell ref="B11:W11"/>
    <mergeCell ref="C12:W12"/>
    <mergeCell ref="E13:E14"/>
    <mergeCell ref="F13:F17"/>
    <mergeCell ref="G13:G17"/>
    <mergeCell ref="H13:H17"/>
    <mergeCell ref="S16:S17"/>
    <mergeCell ref="H18:H20"/>
    <mergeCell ref="S19:S20"/>
    <mergeCell ref="A21:A23"/>
    <mergeCell ref="B21:B23"/>
    <mergeCell ref="W27:W28"/>
  </mergeCells>
  <printOptions horizontalCentered="1"/>
  <pageMargins left="0.31496062992125984" right="0.31496062992125984" top="0.74803149606299213" bottom="0.35433070866141736" header="0.31496062992125984" footer="0.31496062992125984"/>
  <pageSetup paperSize="9" scale="65" orientation="landscape" r:id="rId1"/>
  <rowBreaks count="3" manualBreakCount="3">
    <brk id="30" max="22" man="1"/>
    <brk id="90" max="22" man="1"/>
    <brk id="116" max="2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9"/>
  <sheetViews>
    <sheetView topLeftCell="A112" zoomScaleNormal="100" zoomScaleSheetLayoutView="70" workbookViewId="0">
      <selection activeCell="L123" sqref="L123"/>
    </sheetView>
  </sheetViews>
  <sheetFormatPr defaultColWidth="9.140625" defaultRowHeight="12.75" x14ac:dyDescent="0.2"/>
  <cols>
    <col min="1" max="1" width="3.140625" style="52" customWidth="1"/>
    <col min="2" max="4" width="3.140625" style="1019" customWidth="1"/>
    <col min="5" max="5" width="28.28515625" style="52" customWidth="1"/>
    <col min="6" max="6" width="3" style="52" customWidth="1"/>
    <col min="7" max="7" width="3" style="205" hidden="1" customWidth="1"/>
    <col min="8" max="8" width="3" style="1019" customWidth="1"/>
    <col min="9" max="9" width="16.42578125" style="762" customWidth="1"/>
    <col min="10" max="10" width="8.140625" style="52" customWidth="1"/>
    <col min="11" max="14" width="8.7109375" style="52" customWidth="1"/>
    <col min="15" max="15" width="24.7109375" style="52" customWidth="1"/>
    <col min="16" max="16" width="5.42578125" style="52" customWidth="1"/>
    <col min="17" max="19" width="5.42578125" style="1019" customWidth="1"/>
    <col min="20" max="21" width="10.28515625" style="52" bestFit="1" customWidth="1"/>
    <col min="22" max="16384" width="9.140625" style="52"/>
  </cols>
  <sheetData>
    <row r="1" spans="1:24" s="77" customFormat="1" ht="33.75" customHeight="1" x14ac:dyDescent="0.25">
      <c r="A1" s="74"/>
      <c r="B1" s="76"/>
      <c r="C1" s="76"/>
      <c r="D1" s="76"/>
      <c r="E1" s="74"/>
      <c r="F1" s="75"/>
      <c r="G1" s="196"/>
      <c r="H1" s="125"/>
      <c r="I1" s="1748" t="s">
        <v>138</v>
      </c>
      <c r="J1" s="1748"/>
      <c r="K1" s="1748"/>
      <c r="L1" s="1748"/>
      <c r="M1" s="1748"/>
      <c r="N1" s="1748"/>
      <c r="O1" s="1748"/>
      <c r="P1" s="1748"/>
      <c r="Q1" s="1748"/>
      <c r="R1" s="1748"/>
      <c r="S1" s="1748"/>
    </row>
    <row r="2" spans="1:24" s="1" customFormat="1" ht="14.25" customHeight="1" x14ac:dyDescent="0.2">
      <c r="A2" s="1490" t="s">
        <v>159</v>
      </c>
      <c r="B2" s="1490"/>
      <c r="C2" s="1490"/>
      <c r="D2" s="1490"/>
      <c r="E2" s="1490"/>
      <c r="F2" s="1490"/>
      <c r="G2" s="1490"/>
      <c r="H2" s="1490"/>
      <c r="I2" s="1490"/>
      <c r="J2" s="1490"/>
      <c r="K2" s="1490"/>
      <c r="L2" s="1490"/>
      <c r="M2" s="1490"/>
      <c r="N2" s="1490"/>
      <c r="O2" s="1490"/>
      <c r="P2" s="1490"/>
      <c r="Q2" s="1490"/>
      <c r="R2" s="1490"/>
      <c r="S2" s="1490"/>
      <c r="T2" s="50"/>
      <c r="U2" s="1" t="s">
        <v>67</v>
      </c>
    </row>
    <row r="3" spans="1:24" s="1" customFormat="1" ht="14.25" customHeight="1" x14ac:dyDescent="0.2">
      <c r="A3" s="1491" t="s">
        <v>0</v>
      </c>
      <c r="B3" s="1491"/>
      <c r="C3" s="1491"/>
      <c r="D3" s="1491"/>
      <c r="E3" s="1491"/>
      <c r="F3" s="1491"/>
      <c r="G3" s="1491"/>
      <c r="H3" s="1491"/>
      <c r="I3" s="1491"/>
      <c r="J3" s="1491"/>
      <c r="K3" s="1491"/>
      <c r="L3" s="1491"/>
      <c r="M3" s="1491"/>
      <c r="N3" s="1491"/>
      <c r="O3" s="1491"/>
      <c r="P3" s="1491"/>
      <c r="Q3" s="1491"/>
      <c r="R3" s="1491"/>
      <c r="S3" s="1491"/>
      <c r="T3" s="50"/>
    </row>
    <row r="4" spans="1:24" s="1" customFormat="1" ht="14.25" customHeight="1" x14ac:dyDescent="0.2">
      <c r="A4" s="1492" t="s">
        <v>1</v>
      </c>
      <c r="B4" s="1492"/>
      <c r="C4" s="1492"/>
      <c r="D4" s="1492"/>
      <c r="E4" s="1492"/>
      <c r="F4" s="1492"/>
      <c r="G4" s="1492"/>
      <c r="H4" s="1492"/>
      <c r="I4" s="1492"/>
      <c r="J4" s="1492"/>
      <c r="K4" s="1492"/>
      <c r="L4" s="1492"/>
      <c r="M4" s="1492"/>
      <c r="N4" s="1492"/>
      <c r="O4" s="1492"/>
      <c r="P4" s="1492"/>
      <c r="Q4" s="1492"/>
      <c r="R4" s="1492"/>
      <c r="S4" s="1492"/>
      <c r="T4" s="1083"/>
    </row>
    <row r="5" spans="1:24" s="1" customFormat="1" ht="13.5" thickBot="1" x14ac:dyDescent="0.25">
      <c r="A5" s="2"/>
      <c r="B5" s="2"/>
      <c r="C5" s="2"/>
      <c r="D5" s="2"/>
      <c r="E5" s="1088"/>
      <c r="F5" s="1088"/>
      <c r="G5" s="197"/>
      <c r="H5" s="1088"/>
      <c r="I5" s="728"/>
      <c r="J5" s="1088"/>
      <c r="K5" s="3"/>
      <c r="L5" s="3"/>
      <c r="M5" s="3"/>
      <c r="N5" s="3"/>
      <c r="O5" s="65"/>
      <c r="P5" s="1089"/>
      <c r="Q5" s="1088"/>
      <c r="R5" s="1088"/>
      <c r="S5" s="1088"/>
      <c r="T5" s="1088"/>
    </row>
    <row r="6" spans="1:24" s="1" customFormat="1" ht="22.5" customHeight="1" x14ac:dyDescent="0.2">
      <c r="A6" s="1493" t="s">
        <v>2</v>
      </c>
      <c r="B6" s="1496" t="s">
        <v>3</v>
      </c>
      <c r="C6" s="1496" t="s">
        <v>4</v>
      </c>
      <c r="D6" s="277"/>
      <c r="E6" s="1499" t="s">
        <v>5</v>
      </c>
      <c r="F6" s="1501" t="s">
        <v>6</v>
      </c>
      <c r="G6" s="1503" t="s">
        <v>132</v>
      </c>
      <c r="H6" s="1506" t="s">
        <v>7</v>
      </c>
      <c r="I6" s="1727" t="s">
        <v>130</v>
      </c>
      <c r="J6" s="1508" t="s">
        <v>8</v>
      </c>
      <c r="K6" s="1751" t="s">
        <v>219</v>
      </c>
      <c r="L6" s="1751" t="s">
        <v>163</v>
      </c>
      <c r="M6" s="1751" t="s">
        <v>142</v>
      </c>
      <c r="N6" s="1751" t="s">
        <v>143</v>
      </c>
      <c r="O6" s="1464" t="s">
        <v>9</v>
      </c>
      <c r="P6" s="1465"/>
      <c r="Q6" s="1465"/>
      <c r="R6" s="1465"/>
      <c r="S6" s="1466"/>
    </row>
    <row r="7" spans="1:24" s="1" customFormat="1" ht="16.5" customHeight="1" x14ac:dyDescent="0.2">
      <c r="A7" s="1494"/>
      <c r="B7" s="1497"/>
      <c r="C7" s="1497"/>
      <c r="D7" s="278"/>
      <c r="E7" s="1500"/>
      <c r="F7" s="1502"/>
      <c r="G7" s="1504"/>
      <c r="H7" s="1507"/>
      <c r="I7" s="1728"/>
      <c r="J7" s="1509"/>
      <c r="K7" s="1752"/>
      <c r="L7" s="1754"/>
      <c r="M7" s="1754"/>
      <c r="N7" s="1754"/>
      <c r="O7" s="1749" t="s">
        <v>5</v>
      </c>
      <c r="P7" s="1469" t="s">
        <v>10</v>
      </c>
      <c r="Q7" s="1470"/>
      <c r="R7" s="1470"/>
      <c r="S7" s="1471"/>
    </row>
    <row r="8" spans="1:24" s="1" customFormat="1" ht="76.5" customHeight="1" thickBot="1" x14ac:dyDescent="0.25">
      <c r="A8" s="1495"/>
      <c r="B8" s="1498"/>
      <c r="C8" s="1498"/>
      <c r="D8" s="278"/>
      <c r="E8" s="1500"/>
      <c r="F8" s="1502"/>
      <c r="G8" s="1505"/>
      <c r="H8" s="1507"/>
      <c r="I8" s="1729"/>
      <c r="J8" s="1510"/>
      <c r="K8" s="1753"/>
      <c r="L8" s="1755"/>
      <c r="M8" s="1755"/>
      <c r="N8" s="1755"/>
      <c r="O8" s="1750"/>
      <c r="P8" s="159" t="s">
        <v>76</v>
      </c>
      <c r="Q8" s="286" t="s">
        <v>144</v>
      </c>
      <c r="R8" s="287" t="s">
        <v>145</v>
      </c>
      <c r="S8" s="285" t="s">
        <v>146</v>
      </c>
    </row>
    <row r="9" spans="1:24" s="1" customFormat="1" ht="16.5" customHeight="1" thickBot="1" x14ac:dyDescent="0.25">
      <c r="A9" s="1730" t="s">
        <v>11</v>
      </c>
      <c r="B9" s="1731"/>
      <c r="C9" s="1731"/>
      <c r="D9" s="1731"/>
      <c r="E9" s="1731"/>
      <c r="F9" s="1731"/>
      <c r="G9" s="1731"/>
      <c r="H9" s="1731"/>
      <c r="I9" s="1732"/>
      <c r="J9" s="1732"/>
      <c r="K9" s="1732"/>
      <c r="L9" s="1732"/>
      <c r="M9" s="1732"/>
      <c r="N9" s="1732"/>
      <c r="O9" s="1731"/>
      <c r="P9" s="1731"/>
      <c r="Q9" s="1731"/>
      <c r="R9" s="1731"/>
      <c r="S9" s="1733"/>
    </row>
    <row r="10" spans="1:24" s="1" customFormat="1" ht="13.5" thickBot="1" x14ac:dyDescent="0.25">
      <c r="A10" s="1734" t="s">
        <v>12</v>
      </c>
      <c r="B10" s="1735"/>
      <c r="C10" s="1735"/>
      <c r="D10" s="1735"/>
      <c r="E10" s="1735"/>
      <c r="F10" s="1735"/>
      <c r="G10" s="1735"/>
      <c r="H10" s="1735"/>
      <c r="I10" s="1735"/>
      <c r="J10" s="1735"/>
      <c r="K10" s="1735"/>
      <c r="L10" s="1735"/>
      <c r="M10" s="1735"/>
      <c r="N10" s="1735"/>
      <c r="O10" s="1735"/>
      <c r="P10" s="1735"/>
      <c r="Q10" s="1735"/>
      <c r="R10" s="1735"/>
      <c r="S10" s="1736"/>
    </row>
    <row r="11" spans="1:24" s="1" customFormat="1" ht="15" customHeight="1" thickBot="1" x14ac:dyDescent="0.25">
      <c r="A11" s="126" t="s">
        <v>13</v>
      </c>
      <c r="B11" s="1737" t="s">
        <v>14</v>
      </c>
      <c r="C11" s="1737"/>
      <c r="D11" s="1737"/>
      <c r="E11" s="1737"/>
      <c r="F11" s="1737"/>
      <c r="G11" s="1737"/>
      <c r="H11" s="1737"/>
      <c r="I11" s="1737"/>
      <c r="J11" s="1737"/>
      <c r="K11" s="1738"/>
      <c r="L11" s="1738"/>
      <c r="M11" s="1738"/>
      <c r="N11" s="1738"/>
      <c r="O11" s="1738"/>
      <c r="P11" s="1738"/>
      <c r="Q11" s="1738"/>
      <c r="R11" s="1738"/>
      <c r="S11" s="1739"/>
    </row>
    <row r="12" spans="1:24" s="1" customFormat="1" ht="16.5" customHeight="1" thickBot="1" x14ac:dyDescent="0.25">
      <c r="A12" s="1055" t="s">
        <v>13</v>
      </c>
      <c r="B12" s="83" t="s">
        <v>13</v>
      </c>
      <c r="C12" s="1740" t="s">
        <v>15</v>
      </c>
      <c r="D12" s="1741"/>
      <c r="E12" s="1741"/>
      <c r="F12" s="1741"/>
      <c r="G12" s="1741"/>
      <c r="H12" s="1741"/>
      <c r="I12" s="1741"/>
      <c r="J12" s="1741"/>
      <c r="K12" s="1741"/>
      <c r="L12" s="1741"/>
      <c r="M12" s="1741"/>
      <c r="N12" s="1741"/>
      <c r="O12" s="1741"/>
      <c r="P12" s="1741"/>
      <c r="Q12" s="1741"/>
      <c r="R12" s="1741"/>
      <c r="S12" s="1742"/>
    </row>
    <row r="13" spans="1:24" s="1" customFormat="1" ht="28.5" customHeight="1" x14ac:dyDescent="0.2">
      <c r="A13" s="135" t="s">
        <v>13</v>
      </c>
      <c r="B13" s="872" t="s">
        <v>13</v>
      </c>
      <c r="C13" s="875" t="s">
        <v>13</v>
      </c>
      <c r="D13" s="447"/>
      <c r="E13" s="1448" t="s">
        <v>319</v>
      </c>
      <c r="F13" s="1450" t="s">
        <v>66</v>
      </c>
      <c r="G13" s="1453">
        <v>11020306</v>
      </c>
      <c r="H13" s="1456" t="s">
        <v>16</v>
      </c>
      <c r="I13" s="1065" t="s">
        <v>101</v>
      </c>
      <c r="J13" s="42" t="s">
        <v>17</v>
      </c>
      <c r="K13" s="461"/>
      <c r="L13" s="460">
        <v>4</v>
      </c>
      <c r="M13" s="219">
        <v>4</v>
      </c>
      <c r="N13" s="461">
        <v>4</v>
      </c>
      <c r="O13" s="265" t="s">
        <v>160</v>
      </c>
      <c r="P13" s="463"/>
      <c r="Q13" s="319">
        <v>60</v>
      </c>
      <c r="R13" s="320">
        <v>60</v>
      </c>
      <c r="S13" s="321">
        <v>60</v>
      </c>
    </row>
    <row r="14" spans="1:24" s="1" customFormat="1" ht="42" customHeight="1" x14ac:dyDescent="0.2">
      <c r="A14" s="136"/>
      <c r="B14" s="873"/>
      <c r="C14" s="876"/>
      <c r="D14" s="150"/>
      <c r="E14" s="1449"/>
      <c r="F14" s="1451"/>
      <c r="G14" s="1454"/>
      <c r="H14" s="1457"/>
      <c r="I14" s="729"/>
      <c r="J14" s="20" t="s">
        <v>17</v>
      </c>
      <c r="K14" s="658"/>
      <c r="L14" s="460">
        <v>44</v>
      </c>
      <c r="M14" s="219"/>
      <c r="N14" s="461"/>
      <c r="O14" s="464" t="s">
        <v>161</v>
      </c>
      <c r="P14" s="465"/>
      <c r="Q14" s="466">
        <v>1</v>
      </c>
      <c r="R14" s="355"/>
      <c r="S14" s="356"/>
      <c r="V14" s="14"/>
    </row>
    <row r="15" spans="1:24" s="1" customFormat="1" ht="30.75" customHeight="1" x14ac:dyDescent="0.2">
      <c r="A15" s="136"/>
      <c r="B15" s="873"/>
      <c r="C15" s="876"/>
      <c r="D15" s="150"/>
      <c r="E15" s="878"/>
      <c r="F15" s="1451"/>
      <c r="G15" s="1454"/>
      <c r="H15" s="1457"/>
      <c r="I15" s="729"/>
      <c r="J15" s="20" t="s">
        <v>17</v>
      </c>
      <c r="K15" s="658"/>
      <c r="L15" s="257"/>
      <c r="M15" s="258">
        <v>90</v>
      </c>
      <c r="N15" s="280"/>
      <c r="O15" s="1027" t="s">
        <v>147</v>
      </c>
      <c r="P15" s="162"/>
      <c r="Q15" s="354"/>
      <c r="R15" s="355">
        <v>1</v>
      </c>
      <c r="S15" s="356"/>
      <c r="V15" s="14"/>
    </row>
    <row r="16" spans="1:24" s="1" customFormat="1" ht="29.25" customHeight="1" thickBot="1" x14ac:dyDescent="0.25">
      <c r="A16" s="136"/>
      <c r="B16" s="873"/>
      <c r="C16" s="876"/>
      <c r="D16" s="150"/>
      <c r="E16" s="878"/>
      <c r="F16" s="1451"/>
      <c r="G16" s="1454"/>
      <c r="H16" s="1457"/>
      <c r="I16" s="730"/>
      <c r="J16" s="20" t="s">
        <v>17</v>
      </c>
      <c r="K16" s="461">
        <v>20.6</v>
      </c>
      <c r="L16" s="249"/>
      <c r="M16" s="836"/>
      <c r="N16" s="283">
        <v>20.6</v>
      </c>
      <c r="O16" s="459" t="s">
        <v>90</v>
      </c>
      <c r="P16" s="162">
        <v>1</v>
      </c>
      <c r="Q16" s="291"/>
      <c r="R16" s="292"/>
      <c r="S16" s="293">
        <v>1</v>
      </c>
      <c r="W16" s="14"/>
      <c r="X16" s="14"/>
    </row>
    <row r="17" spans="1:24" s="1" customFormat="1" ht="29.25" customHeight="1" x14ac:dyDescent="0.2">
      <c r="A17" s="136"/>
      <c r="B17" s="873"/>
      <c r="C17" s="876"/>
      <c r="D17" s="150"/>
      <c r="E17" s="878"/>
      <c r="F17" s="1451"/>
      <c r="G17" s="1454"/>
      <c r="H17" s="1457"/>
      <c r="I17" s="730"/>
      <c r="J17" s="4" t="s">
        <v>17</v>
      </c>
      <c r="K17" s="699">
        <v>4</v>
      </c>
      <c r="L17" s="366"/>
      <c r="M17" s="221"/>
      <c r="N17" s="281"/>
      <c r="O17" s="108" t="s">
        <v>112</v>
      </c>
      <c r="P17" s="160">
        <v>3</v>
      </c>
      <c r="Q17" s="766"/>
      <c r="R17" s="298"/>
      <c r="S17" s="299"/>
      <c r="W17" s="14"/>
      <c r="X17" s="14"/>
    </row>
    <row r="18" spans="1:24" s="1" customFormat="1" ht="29.25" customHeight="1" x14ac:dyDescent="0.2">
      <c r="A18" s="136"/>
      <c r="B18" s="873"/>
      <c r="C18" s="876"/>
      <c r="D18" s="150"/>
      <c r="E18" s="878"/>
      <c r="F18" s="1451"/>
      <c r="G18" s="1454"/>
      <c r="H18" s="1457"/>
      <c r="I18" s="730"/>
      <c r="J18" s="13"/>
      <c r="K18" s="660"/>
      <c r="L18" s="257"/>
      <c r="M18" s="258"/>
      <c r="N18" s="280"/>
      <c r="O18" s="1743" t="s">
        <v>69</v>
      </c>
      <c r="P18" s="161">
        <v>40</v>
      </c>
      <c r="Q18" s="838"/>
      <c r="R18" s="292"/>
      <c r="S18" s="293"/>
      <c r="W18" s="14"/>
      <c r="X18" s="14"/>
    </row>
    <row r="19" spans="1:24" s="1" customFormat="1" ht="15.75" customHeight="1" thickBot="1" x14ac:dyDescent="0.25">
      <c r="A19" s="137"/>
      <c r="B19" s="874"/>
      <c r="C19" s="877"/>
      <c r="D19" s="448"/>
      <c r="E19" s="879"/>
      <c r="F19" s="1452"/>
      <c r="G19" s="1455"/>
      <c r="H19" s="1458"/>
      <c r="I19" s="731"/>
      <c r="J19" s="5" t="s">
        <v>18</v>
      </c>
      <c r="K19" s="467">
        <f>SUM(K13:K18)</f>
        <v>24.6</v>
      </c>
      <c r="L19" s="209">
        <f>SUM(L13:L16)</f>
        <v>48</v>
      </c>
      <c r="M19" s="220">
        <f>SUM(M13:M16)</f>
        <v>94</v>
      </c>
      <c r="N19" s="216">
        <f>SUM(N13:N16)</f>
        <v>24.6</v>
      </c>
      <c r="O19" s="1762"/>
      <c r="P19" s="163"/>
      <c r="Q19" s="584"/>
      <c r="R19" s="295"/>
      <c r="S19" s="296"/>
      <c r="U19" s="14"/>
    </row>
    <row r="20" spans="1:24" s="1" customFormat="1" ht="27" customHeight="1" x14ac:dyDescent="0.2">
      <c r="A20" s="1484" t="s">
        <v>13</v>
      </c>
      <c r="B20" s="1487" t="s">
        <v>13</v>
      </c>
      <c r="C20" s="1479" t="s">
        <v>19</v>
      </c>
      <c r="D20" s="447"/>
      <c r="E20" s="1448" t="s">
        <v>64</v>
      </c>
      <c r="F20" s="1450"/>
      <c r="G20" s="1453">
        <v>11020307</v>
      </c>
      <c r="H20" s="1456" t="s">
        <v>16</v>
      </c>
      <c r="I20" s="1756" t="s">
        <v>101</v>
      </c>
      <c r="J20" s="4" t="s">
        <v>17</v>
      </c>
      <c r="K20" s="94">
        <v>25.9</v>
      </c>
      <c r="L20" s="366">
        <v>9</v>
      </c>
      <c r="M20" s="221">
        <v>9</v>
      </c>
      <c r="N20" s="366">
        <v>9</v>
      </c>
      <c r="O20" s="1038" t="s">
        <v>20</v>
      </c>
      <c r="P20" s="164">
        <v>20</v>
      </c>
      <c r="Q20" s="297">
        <v>20</v>
      </c>
      <c r="R20" s="298">
        <v>20</v>
      </c>
      <c r="S20" s="299">
        <v>20</v>
      </c>
    </row>
    <row r="21" spans="1:24" s="1" customFormat="1" ht="27" customHeight="1" x14ac:dyDescent="0.2">
      <c r="A21" s="1485"/>
      <c r="B21" s="1488"/>
      <c r="C21" s="1480"/>
      <c r="D21" s="150"/>
      <c r="E21" s="1449"/>
      <c r="F21" s="1451"/>
      <c r="G21" s="1454"/>
      <c r="H21" s="1457"/>
      <c r="I21" s="1757"/>
      <c r="J21" s="43" t="s">
        <v>79</v>
      </c>
      <c r="K21" s="691"/>
      <c r="L21" s="504">
        <v>6</v>
      </c>
      <c r="M21" s="502"/>
      <c r="N21" s="504"/>
      <c r="O21" s="92" t="s">
        <v>162</v>
      </c>
      <c r="P21" s="57"/>
      <c r="Q21" s="468">
        <v>300</v>
      </c>
      <c r="R21" s="317">
        <v>300</v>
      </c>
      <c r="S21" s="28">
        <v>300</v>
      </c>
    </row>
    <row r="22" spans="1:24" s="1" customFormat="1" ht="36" customHeight="1" x14ac:dyDescent="0.2">
      <c r="A22" s="1485"/>
      <c r="B22" s="1488"/>
      <c r="C22" s="1480"/>
      <c r="D22" s="150"/>
      <c r="E22" s="1449"/>
      <c r="F22" s="1451"/>
      <c r="G22" s="1454"/>
      <c r="H22" s="1457"/>
      <c r="I22" s="1757"/>
      <c r="J22" s="13"/>
      <c r="K22" s="692"/>
      <c r="L22" s="211"/>
      <c r="M22" s="222"/>
      <c r="N22" s="374"/>
      <c r="O22" s="1758" t="s">
        <v>117</v>
      </c>
      <c r="P22" s="162">
        <v>100</v>
      </c>
      <c r="Q22" s="300"/>
      <c r="R22" s="301"/>
      <c r="S22" s="302"/>
      <c r="X22" s="14"/>
    </row>
    <row r="23" spans="1:24" s="1" customFormat="1" ht="18.75" customHeight="1" thickBot="1" x14ac:dyDescent="0.25">
      <c r="A23" s="1486"/>
      <c r="B23" s="1489"/>
      <c r="C23" s="1480"/>
      <c r="D23" s="150"/>
      <c r="E23" s="1449"/>
      <c r="F23" s="1451"/>
      <c r="G23" s="1455"/>
      <c r="H23" s="1483"/>
      <c r="I23" s="731"/>
      <c r="J23" s="1018" t="s">
        <v>18</v>
      </c>
      <c r="K23" s="467">
        <f t="shared" ref="K23:N23" si="0">+K20</f>
        <v>25.9</v>
      </c>
      <c r="L23" s="209">
        <f>SUM(L20:L22)</f>
        <v>15</v>
      </c>
      <c r="M23" s="220">
        <f t="shared" si="0"/>
        <v>9</v>
      </c>
      <c r="N23" s="216">
        <f t="shared" si="0"/>
        <v>9</v>
      </c>
      <c r="O23" s="1759"/>
      <c r="P23" s="165"/>
      <c r="Q23" s="303"/>
      <c r="R23" s="304"/>
      <c r="S23" s="305"/>
      <c r="V23" s="14"/>
    </row>
    <row r="24" spans="1:24" s="1" customFormat="1" ht="30" customHeight="1" x14ac:dyDescent="0.2">
      <c r="A24" s="1484" t="s">
        <v>13</v>
      </c>
      <c r="B24" s="1487" t="s">
        <v>13</v>
      </c>
      <c r="C24" s="1479" t="s">
        <v>21</v>
      </c>
      <c r="D24" s="447"/>
      <c r="E24" s="1448" t="s">
        <v>167</v>
      </c>
      <c r="F24" s="1450"/>
      <c r="G24" s="1453">
        <v>11020310</v>
      </c>
      <c r="H24" s="1456" t="s">
        <v>16</v>
      </c>
      <c r="I24" s="732" t="s">
        <v>101</v>
      </c>
      <c r="J24" s="4" t="s">
        <v>17</v>
      </c>
      <c r="K24" s="94">
        <v>29.2</v>
      </c>
      <c r="L24" s="210">
        <v>10</v>
      </c>
      <c r="M24" s="221">
        <v>10</v>
      </c>
      <c r="N24" s="366">
        <v>10</v>
      </c>
      <c r="O24" s="580" t="s">
        <v>93</v>
      </c>
      <c r="P24" s="581">
        <v>851</v>
      </c>
      <c r="Q24" s="582">
        <v>200</v>
      </c>
      <c r="R24" s="307">
        <v>200</v>
      </c>
      <c r="S24" s="173">
        <v>200</v>
      </c>
    </row>
    <row r="25" spans="1:24" s="1" customFormat="1" ht="37.5" customHeight="1" x14ac:dyDescent="0.2">
      <c r="A25" s="1485"/>
      <c r="B25" s="1488"/>
      <c r="C25" s="1480"/>
      <c r="D25" s="150"/>
      <c r="E25" s="1449"/>
      <c r="F25" s="1451"/>
      <c r="G25" s="1454"/>
      <c r="H25" s="1457"/>
      <c r="I25" s="729"/>
      <c r="J25" s="853" t="s">
        <v>17</v>
      </c>
      <c r="K25" s="855"/>
      <c r="L25" s="460">
        <v>23.3</v>
      </c>
      <c r="M25" s="854">
        <f>+L25</f>
        <v>23.3</v>
      </c>
      <c r="N25" s="855">
        <f>+L25</f>
        <v>23.3</v>
      </c>
      <c r="O25" s="1459" t="s">
        <v>168</v>
      </c>
      <c r="P25" s="407"/>
      <c r="Q25" s="384">
        <v>32</v>
      </c>
      <c r="R25" s="309">
        <v>32</v>
      </c>
      <c r="S25" s="310">
        <v>32</v>
      </c>
      <c r="X25" s="14"/>
    </row>
    <row r="26" spans="1:24" s="1" customFormat="1" ht="18" customHeight="1" thickBot="1" x14ac:dyDescent="0.25">
      <c r="A26" s="1486"/>
      <c r="B26" s="1489"/>
      <c r="C26" s="1480"/>
      <c r="D26" s="150"/>
      <c r="E26" s="1449"/>
      <c r="F26" s="1451"/>
      <c r="G26" s="1455"/>
      <c r="H26" s="1483"/>
      <c r="I26" s="731"/>
      <c r="J26" s="1018" t="s">
        <v>18</v>
      </c>
      <c r="K26" s="467">
        <f t="shared" ref="K26" si="1">+K24</f>
        <v>29.2</v>
      </c>
      <c r="L26" s="209">
        <f>SUM(L24:L25)</f>
        <v>33.299999999999997</v>
      </c>
      <c r="M26" s="220">
        <f t="shared" ref="M26:N26" si="2">SUM(M24:M25)</f>
        <v>33.299999999999997</v>
      </c>
      <c r="N26" s="376">
        <f t="shared" si="2"/>
        <v>33.299999999999997</v>
      </c>
      <c r="O26" s="1460"/>
      <c r="P26" s="583"/>
      <c r="Q26" s="584"/>
      <c r="R26" s="295"/>
      <c r="S26" s="296"/>
    </row>
    <row r="27" spans="1:24" s="1" customFormat="1" ht="28.5" customHeight="1" x14ac:dyDescent="0.2">
      <c r="A27" s="1484" t="s">
        <v>13</v>
      </c>
      <c r="B27" s="1487" t="s">
        <v>13</v>
      </c>
      <c r="C27" s="1479" t="s">
        <v>34</v>
      </c>
      <c r="D27" s="447"/>
      <c r="E27" s="1448" t="s">
        <v>134</v>
      </c>
      <c r="F27" s="1450"/>
      <c r="G27" s="1453">
        <v>11020310</v>
      </c>
      <c r="H27" s="1059" t="s">
        <v>16</v>
      </c>
      <c r="I27" s="732" t="s">
        <v>101</v>
      </c>
      <c r="J27" s="6" t="s">
        <v>17</v>
      </c>
      <c r="K27" s="700">
        <v>113.8</v>
      </c>
      <c r="L27" s="248">
        <v>153</v>
      </c>
      <c r="M27" s="255">
        <v>153</v>
      </c>
      <c r="N27" s="375">
        <v>153</v>
      </c>
      <c r="O27" s="273" t="s">
        <v>125</v>
      </c>
      <c r="P27" s="274">
        <v>6880</v>
      </c>
      <c r="Q27" s="585">
        <v>10904</v>
      </c>
      <c r="R27" s="432">
        <v>10904</v>
      </c>
      <c r="S27" s="173">
        <v>10904</v>
      </c>
      <c r="W27" s="14"/>
    </row>
    <row r="28" spans="1:24" s="1" customFormat="1" ht="16.5" customHeight="1" x14ac:dyDescent="0.2">
      <c r="A28" s="1485"/>
      <c r="B28" s="1488"/>
      <c r="C28" s="1480"/>
      <c r="D28" s="150"/>
      <c r="E28" s="1449"/>
      <c r="F28" s="1451"/>
      <c r="G28" s="1454"/>
      <c r="H28" s="1060">
        <v>3</v>
      </c>
      <c r="I28" s="729"/>
      <c r="J28" s="13" t="s">
        <v>17</v>
      </c>
      <c r="K28" s="692">
        <v>5.7</v>
      </c>
      <c r="L28" s="257">
        <v>10.4</v>
      </c>
      <c r="M28" s="258">
        <v>10.4</v>
      </c>
      <c r="N28" s="374">
        <v>10.4</v>
      </c>
      <c r="O28" s="1700" t="s">
        <v>135</v>
      </c>
      <c r="P28" s="170">
        <v>64</v>
      </c>
      <c r="Q28" s="357">
        <v>88</v>
      </c>
      <c r="R28" s="1026">
        <v>88</v>
      </c>
      <c r="S28" s="170">
        <v>88</v>
      </c>
    </row>
    <row r="29" spans="1:24" s="1" customFormat="1" ht="15.75" customHeight="1" thickBot="1" x14ac:dyDescent="0.25">
      <c r="A29" s="1486"/>
      <c r="B29" s="1489"/>
      <c r="C29" s="1480"/>
      <c r="D29" s="448"/>
      <c r="E29" s="1449"/>
      <c r="F29" s="1451"/>
      <c r="G29" s="1455"/>
      <c r="H29" s="259"/>
      <c r="I29" s="731"/>
      <c r="J29" s="1018" t="s">
        <v>18</v>
      </c>
      <c r="K29" s="467">
        <f>SUM(K27:K28)</f>
        <v>119.5</v>
      </c>
      <c r="L29" s="209">
        <f t="shared" ref="L29:N29" si="3">SUM(L27:L28)</f>
        <v>163.4</v>
      </c>
      <c r="M29" s="220">
        <f t="shared" si="3"/>
        <v>163.4</v>
      </c>
      <c r="N29" s="376">
        <f t="shared" si="3"/>
        <v>163.4</v>
      </c>
      <c r="O29" s="1625"/>
      <c r="P29" s="165"/>
      <c r="Q29" s="314"/>
      <c r="R29" s="433"/>
      <c r="S29" s="434"/>
    </row>
    <row r="30" spans="1:24" s="617" customFormat="1" ht="30" customHeight="1" x14ac:dyDescent="0.2">
      <c r="A30" s="1484" t="s">
        <v>13</v>
      </c>
      <c r="B30" s="1487" t="s">
        <v>13</v>
      </c>
      <c r="C30" s="1479" t="s">
        <v>63</v>
      </c>
      <c r="D30" s="447"/>
      <c r="E30" s="1525" t="s">
        <v>320</v>
      </c>
      <c r="F30" s="1450"/>
      <c r="G30" s="1547">
        <v>11020310</v>
      </c>
      <c r="H30" s="1538" t="s">
        <v>16</v>
      </c>
      <c r="I30" s="1685" t="s">
        <v>101</v>
      </c>
      <c r="J30" s="621" t="s">
        <v>17</v>
      </c>
      <c r="K30" s="700"/>
      <c r="L30" s="255">
        <f>+K30+25</f>
        <v>25</v>
      </c>
      <c r="M30" s="542">
        <v>25</v>
      </c>
      <c r="N30" s="700">
        <v>25</v>
      </c>
      <c r="O30" s="1545" t="s">
        <v>321</v>
      </c>
      <c r="P30" s="1763"/>
      <c r="Q30" s="1765">
        <v>2</v>
      </c>
      <c r="R30" s="1543">
        <v>2</v>
      </c>
      <c r="S30" s="1531">
        <v>2</v>
      </c>
      <c r="T30" s="863"/>
    </row>
    <row r="31" spans="1:24" s="617" customFormat="1" ht="15.75" customHeight="1" thickBot="1" x14ac:dyDescent="0.25">
      <c r="A31" s="1486"/>
      <c r="B31" s="1489"/>
      <c r="C31" s="1480"/>
      <c r="D31" s="448"/>
      <c r="E31" s="1526"/>
      <c r="F31" s="1451"/>
      <c r="G31" s="1548"/>
      <c r="H31" s="1539"/>
      <c r="I31" s="1686"/>
      <c r="J31" s="1074" t="s">
        <v>18</v>
      </c>
      <c r="K31" s="467">
        <f>SUM(K30:K30)</f>
        <v>0</v>
      </c>
      <c r="L31" s="209">
        <f>SUM(L30:L30)</f>
        <v>25</v>
      </c>
      <c r="M31" s="220">
        <f>SUM(M30:M30)</f>
        <v>25</v>
      </c>
      <c r="N31" s="376">
        <f>SUM(N30:N30)</f>
        <v>25</v>
      </c>
      <c r="O31" s="1460"/>
      <c r="P31" s="1764"/>
      <c r="Q31" s="1766"/>
      <c r="R31" s="1544"/>
      <c r="S31" s="1532"/>
      <c r="T31" s="616"/>
    </row>
    <row r="32" spans="1:24" s="1" customFormat="1" ht="30.75" customHeight="1" x14ac:dyDescent="0.2">
      <c r="A32" s="1047"/>
      <c r="B32" s="1020"/>
      <c r="C32" s="1049"/>
      <c r="D32" s="447"/>
      <c r="E32" s="1057" t="s">
        <v>83</v>
      </c>
      <c r="F32" s="1041"/>
      <c r="G32" s="1453">
        <v>11020502</v>
      </c>
      <c r="H32" s="61">
        <v>3</v>
      </c>
      <c r="I32" s="1065"/>
      <c r="J32" s="6" t="s">
        <v>17</v>
      </c>
      <c r="K32" s="700">
        <f>39.8+40</f>
        <v>79.8</v>
      </c>
      <c r="L32" s="212"/>
      <c r="M32" s="372"/>
      <c r="N32" s="375"/>
      <c r="O32" s="48" t="s">
        <v>84</v>
      </c>
      <c r="P32" s="160">
        <v>100</v>
      </c>
      <c r="Q32" s="306"/>
      <c r="R32" s="307"/>
      <c r="S32" s="308"/>
      <c r="W32" s="14"/>
    </row>
    <row r="33" spans="1:24" s="1" customFormat="1" ht="30" customHeight="1" x14ac:dyDescent="0.2">
      <c r="A33" s="1055"/>
      <c r="B33" s="1056"/>
      <c r="C33" s="1050"/>
      <c r="D33" s="150"/>
      <c r="E33" s="1058"/>
      <c r="F33" s="1042"/>
      <c r="G33" s="1454"/>
      <c r="H33" s="1060"/>
      <c r="I33" s="730"/>
      <c r="J33" s="13" t="s">
        <v>17</v>
      </c>
      <c r="K33" s="461">
        <v>86.1</v>
      </c>
      <c r="L33" s="249"/>
      <c r="M33" s="836"/>
      <c r="N33" s="283"/>
      <c r="O33" s="1459" t="s">
        <v>91</v>
      </c>
      <c r="P33" s="162">
        <v>100</v>
      </c>
      <c r="Q33" s="291"/>
      <c r="R33" s="292"/>
      <c r="S33" s="293"/>
      <c r="U33" s="14"/>
    </row>
    <row r="34" spans="1:24" s="1" customFormat="1" ht="15.75" customHeight="1" x14ac:dyDescent="0.2">
      <c r="A34" s="1055"/>
      <c r="B34" s="1056"/>
      <c r="C34" s="1050"/>
      <c r="D34" s="150"/>
      <c r="E34" s="1058"/>
      <c r="F34" s="1042"/>
      <c r="G34" s="1043"/>
      <c r="H34" s="1060"/>
      <c r="I34" s="730"/>
      <c r="J34" s="43" t="s">
        <v>79</v>
      </c>
      <c r="K34" s="1078">
        <v>31.8</v>
      </c>
      <c r="L34" s="213"/>
      <c r="M34" s="223"/>
      <c r="N34" s="218"/>
      <c r="O34" s="1581"/>
      <c r="P34" s="161"/>
      <c r="Q34" s="1080"/>
      <c r="R34" s="309"/>
      <c r="S34" s="310"/>
      <c r="U34" s="14"/>
    </row>
    <row r="35" spans="1:24" s="1" customFormat="1" ht="43.5" customHeight="1" x14ac:dyDescent="0.2">
      <c r="A35" s="1055"/>
      <c r="B35" s="1056"/>
      <c r="C35" s="1050"/>
      <c r="D35" s="150"/>
      <c r="E35" s="1058"/>
      <c r="F35" s="1042"/>
      <c r="G35" s="1043"/>
      <c r="H35" s="1061">
        <v>2</v>
      </c>
      <c r="I35" s="733"/>
      <c r="J35" s="43" t="s">
        <v>17</v>
      </c>
      <c r="K35" s="461">
        <v>65</v>
      </c>
      <c r="L35" s="208"/>
      <c r="M35" s="219"/>
      <c r="N35" s="215"/>
      <c r="O35" s="1459" t="s">
        <v>92</v>
      </c>
      <c r="P35" s="162">
        <v>1</v>
      </c>
      <c r="Q35" s="291"/>
      <c r="R35" s="292"/>
      <c r="S35" s="293"/>
      <c r="V35" s="14"/>
    </row>
    <row r="36" spans="1:24" s="1" customFormat="1" ht="15.75" customHeight="1" thickBot="1" x14ac:dyDescent="0.25">
      <c r="A36" s="1048"/>
      <c r="B36" s="1021"/>
      <c r="C36" s="1087"/>
      <c r="D36" s="448"/>
      <c r="E36" s="124"/>
      <c r="F36" s="1063"/>
      <c r="G36" s="1029"/>
      <c r="H36" s="156"/>
      <c r="I36" s="734"/>
      <c r="J36" s="1074" t="s">
        <v>18</v>
      </c>
      <c r="K36" s="467">
        <f>SUM(K32:K35)</f>
        <v>262.7</v>
      </c>
      <c r="L36" s="214"/>
      <c r="M36" s="224"/>
      <c r="N36" s="282"/>
      <c r="O36" s="1460"/>
      <c r="P36" s="165"/>
      <c r="Q36" s="294"/>
      <c r="R36" s="295"/>
      <c r="S36" s="296"/>
    </row>
    <row r="37" spans="1:24" s="1" customFormat="1" ht="13.5" thickBot="1" x14ac:dyDescent="0.25">
      <c r="A37" s="127" t="s">
        <v>13</v>
      </c>
      <c r="B37" s="7" t="s">
        <v>13</v>
      </c>
      <c r="C37" s="1533" t="s">
        <v>22</v>
      </c>
      <c r="D37" s="1534"/>
      <c r="E37" s="1534"/>
      <c r="F37" s="1534"/>
      <c r="G37" s="1534"/>
      <c r="H37" s="1534"/>
      <c r="I37" s="1534"/>
      <c r="J37" s="1534"/>
      <c r="K37" s="687">
        <f>K36+K23+K19+K26+K29</f>
        <v>461.9</v>
      </c>
      <c r="L37" s="8">
        <f>L36+L23+L19+L26+L29+L31</f>
        <v>284.7</v>
      </c>
      <c r="M37" s="225">
        <f t="shared" ref="M37:N37" si="4">M36+M23+M19+M26+M29+M31</f>
        <v>324.70000000000005</v>
      </c>
      <c r="N37" s="555">
        <f t="shared" si="4"/>
        <v>255.3</v>
      </c>
      <c r="O37" s="1535"/>
      <c r="P37" s="1536"/>
      <c r="Q37" s="1536"/>
      <c r="R37" s="1536"/>
      <c r="S37" s="1537"/>
    </row>
    <row r="38" spans="1:24" s="1" customFormat="1" ht="13.5" thickBot="1" x14ac:dyDescent="0.25">
      <c r="A38" s="127" t="s">
        <v>13</v>
      </c>
      <c r="B38" s="9" t="s">
        <v>19</v>
      </c>
      <c r="C38" s="1527" t="s">
        <v>23</v>
      </c>
      <c r="D38" s="1528"/>
      <c r="E38" s="1528"/>
      <c r="F38" s="1528"/>
      <c r="G38" s="1528"/>
      <c r="H38" s="1528"/>
      <c r="I38" s="1528"/>
      <c r="J38" s="1528"/>
      <c r="K38" s="1528"/>
      <c r="L38" s="1528"/>
      <c r="M38" s="1528"/>
      <c r="N38" s="1528"/>
      <c r="O38" s="1528"/>
      <c r="P38" s="1528"/>
      <c r="Q38" s="1528"/>
      <c r="R38" s="1528"/>
      <c r="S38" s="1529"/>
    </row>
    <row r="39" spans="1:24" s="1" customFormat="1" ht="19.5" customHeight="1" x14ac:dyDescent="0.2">
      <c r="A39" s="128" t="s">
        <v>13</v>
      </c>
      <c r="B39" s="1020" t="s">
        <v>19</v>
      </c>
      <c r="C39" s="12" t="s">
        <v>13</v>
      </c>
      <c r="D39" s="447"/>
      <c r="E39" s="1520" t="s">
        <v>24</v>
      </c>
      <c r="F39" s="175"/>
      <c r="G39" s="198"/>
      <c r="H39" s="1024">
        <v>2</v>
      </c>
      <c r="I39" s="1687" t="s">
        <v>101</v>
      </c>
      <c r="J39" s="187" t="s">
        <v>25</v>
      </c>
      <c r="K39" s="94">
        <v>361.4</v>
      </c>
      <c r="L39" s="248">
        <v>350.3</v>
      </c>
      <c r="M39" s="255">
        <v>350.3</v>
      </c>
      <c r="N39" s="281">
        <v>350.3</v>
      </c>
      <c r="O39" s="1545" t="s">
        <v>31</v>
      </c>
      <c r="P39" s="590">
        <v>14.3</v>
      </c>
      <c r="Q39" s="594"/>
      <c r="R39" s="358"/>
      <c r="S39" s="359"/>
      <c r="T39" s="11"/>
      <c r="W39" s="14"/>
    </row>
    <row r="40" spans="1:24" s="1" customFormat="1" ht="21.75" customHeight="1" x14ac:dyDescent="0.2">
      <c r="A40" s="129"/>
      <c r="B40" s="1056"/>
      <c r="C40" s="12"/>
      <c r="D40" s="150"/>
      <c r="E40" s="1521"/>
      <c r="F40" s="175"/>
      <c r="G40" s="199"/>
      <c r="H40" s="1068"/>
      <c r="I40" s="1688"/>
      <c r="J40" s="189" t="s">
        <v>62</v>
      </c>
      <c r="K40" s="690">
        <v>50.9</v>
      </c>
      <c r="L40" s="435"/>
      <c r="M40" s="436"/>
      <c r="N40" s="226"/>
      <c r="O40" s="1546"/>
      <c r="P40" s="591"/>
      <c r="Q40" s="457"/>
      <c r="R40" s="309"/>
      <c r="S40" s="310"/>
      <c r="T40" s="11"/>
    </row>
    <row r="41" spans="1:24" s="1" customFormat="1" ht="30" customHeight="1" x14ac:dyDescent="0.2">
      <c r="A41" s="129"/>
      <c r="B41" s="1056"/>
      <c r="C41" s="12"/>
      <c r="D41" s="150"/>
      <c r="E41" s="1046"/>
      <c r="F41" s="175"/>
      <c r="G41" s="199"/>
      <c r="H41" s="1068"/>
      <c r="I41" s="735"/>
      <c r="J41" s="43"/>
      <c r="K41" s="691"/>
      <c r="L41" s="605"/>
      <c r="M41" s="606"/>
      <c r="N41" s="503"/>
      <c r="O41" s="1015" t="s">
        <v>26</v>
      </c>
      <c r="P41" s="525">
        <v>3023</v>
      </c>
      <c r="Q41" s="595">
        <v>3000</v>
      </c>
      <c r="R41" s="588">
        <v>3100</v>
      </c>
      <c r="S41" s="589">
        <v>3125</v>
      </c>
      <c r="T41" s="714"/>
    </row>
    <row r="42" spans="1:24" s="1" customFormat="1" ht="40.5" customHeight="1" x14ac:dyDescent="0.2">
      <c r="A42" s="129"/>
      <c r="B42" s="1056"/>
      <c r="C42" s="12"/>
      <c r="D42" s="150"/>
      <c r="E42" s="1046"/>
      <c r="F42" s="175"/>
      <c r="G42" s="199"/>
      <c r="H42" s="1068"/>
      <c r="I42" s="735"/>
      <c r="J42" s="13"/>
      <c r="K42" s="692"/>
      <c r="L42" s="435"/>
      <c r="M42" s="436"/>
      <c r="N42" s="474"/>
      <c r="O42" s="265" t="s">
        <v>169</v>
      </c>
      <c r="P42" s="592"/>
      <c r="Q42" s="595">
        <v>1794</v>
      </c>
      <c r="R42" s="586">
        <v>1828</v>
      </c>
      <c r="S42" s="587">
        <v>1842</v>
      </c>
      <c r="T42" s="11"/>
      <c r="W42" s="14"/>
    </row>
    <row r="43" spans="1:24" s="1" customFormat="1" ht="30" customHeight="1" x14ac:dyDescent="0.2">
      <c r="A43" s="129"/>
      <c r="B43" s="1056"/>
      <c r="C43" s="12"/>
      <c r="D43" s="150"/>
      <c r="E43" s="1046"/>
      <c r="F43" s="175"/>
      <c r="G43" s="199"/>
      <c r="H43" s="1068"/>
      <c r="I43" s="735"/>
      <c r="J43" s="13"/>
      <c r="K43" s="692"/>
      <c r="L43" s="435"/>
      <c r="M43" s="436"/>
      <c r="N43" s="474"/>
      <c r="O43" s="265" t="s">
        <v>170</v>
      </c>
      <c r="P43" s="592"/>
      <c r="Q43" s="595">
        <v>265</v>
      </c>
      <c r="R43" s="586">
        <v>271</v>
      </c>
      <c r="S43" s="587">
        <v>277</v>
      </c>
      <c r="T43" s="11"/>
      <c r="X43" s="14"/>
    </row>
    <row r="44" spans="1:24" s="1" customFormat="1" ht="30" customHeight="1" x14ac:dyDescent="0.2">
      <c r="A44" s="129"/>
      <c r="B44" s="1056"/>
      <c r="C44" s="12"/>
      <c r="D44" s="150"/>
      <c r="E44" s="1046"/>
      <c r="F44" s="175"/>
      <c r="G44" s="199"/>
      <c r="H44" s="1068"/>
      <c r="I44" s="735"/>
      <c r="J44" s="20"/>
      <c r="K44" s="693"/>
      <c r="L44" s="602"/>
      <c r="M44" s="603"/>
      <c r="N44" s="604"/>
      <c r="O44" s="47" t="s">
        <v>94</v>
      </c>
      <c r="P44" s="592">
        <v>35</v>
      </c>
      <c r="Q44" s="595">
        <v>114</v>
      </c>
      <c r="R44" s="586">
        <v>116</v>
      </c>
      <c r="S44" s="587">
        <v>118</v>
      </c>
      <c r="T44" s="11"/>
      <c r="W44" s="14"/>
    </row>
    <row r="45" spans="1:24" s="1" customFormat="1" ht="28.5" customHeight="1" x14ac:dyDescent="0.2">
      <c r="A45" s="129"/>
      <c r="B45" s="1056"/>
      <c r="C45" s="12"/>
      <c r="D45" s="449" t="s">
        <v>13</v>
      </c>
      <c r="E45" s="1044" t="s">
        <v>27</v>
      </c>
      <c r="F45" s="175"/>
      <c r="G45" s="445">
        <v>11030201</v>
      </c>
      <c r="H45" s="1068"/>
      <c r="I45" s="736"/>
      <c r="J45" s="480" t="s">
        <v>17</v>
      </c>
      <c r="K45" s="1078">
        <v>1558.8</v>
      </c>
      <c r="L45" s="481">
        <f>1661.3-71.6</f>
        <v>1589.7</v>
      </c>
      <c r="M45" s="836">
        <f>1686-65+105.7-71.6</f>
        <v>1655.1000000000001</v>
      </c>
      <c r="N45" s="928">
        <f>1626.7+65+34.6-71.6</f>
        <v>1654.7</v>
      </c>
      <c r="O45" s="272" t="s">
        <v>315</v>
      </c>
      <c r="P45" s="116"/>
      <c r="Q45" s="595">
        <v>812</v>
      </c>
      <c r="R45" s="588">
        <v>840</v>
      </c>
      <c r="S45" s="589">
        <v>870</v>
      </c>
      <c r="T45" s="257"/>
      <c r="U45" s="280"/>
      <c r="W45" s="14"/>
    </row>
    <row r="46" spans="1:24" s="1" customFormat="1" ht="28.5" customHeight="1" x14ac:dyDescent="0.2">
      <c r="A46" s="129"/>
      <c r="B46" s="1056"/>
      <c r="C46" s="12"/>
      <c r="D46" s="150"/>
      <c r="E46" s="1045"/>
      <c r="F46" s="175"/>
      <c r="G46" s="199"/>
      <c r="H46" s="1068"/>
      <c r="I46" s="735"/>
      <c r="J46" s="270"/>
      <c r="K46" s="694"/>
      <c r="L46" s="665"/>
      <c r="M46" s="666"/>
      <c r="N46" s="667"/>
      <c r="O46" s="265" t="s">
        <v>171</v>
      </c>
      <c r="P46" s="463"/>
      <c r="Q46" s="595"/>
      <c r="R46" s="882"/>
      <c r="S46" s="589">
        <v>1</v>
      </c>
      <c r="T46" s="11"/>
      <c r="W46" s="14"/>
    </row>
    <row r="47" spans="1:24" s="1" customFormat="1" ht="18" customHeight="1" x14ac:dyDescent="0.2">
      <c r="A47" s="129"/>
      <c r="B47" s="1056"/>
      <c r="C47" s="12"/>
      <c r="D47" s="150"/>
      <c r="E47" s="1045"/>
      <c r="F47" s="175"/>
      <c r="G47" s="199"/>
      <c r="H47" s="1068"/>
      <c r="I47" s="735"/>
      <c r="J47" s="270"/>
      <c r="K47" s="694"/>
      <c r="L47" s="665"/>
      <c r="M47" s="666"/>
      <c r="N47" s="667"/>
      <c r="O47" s="265" t="s">
        <v>172</v>
      </c>
      <c r="P47" s="116"/>
      <c r="Q47" s="595">
        <v>12</v>
      </c>
      <c r="R47" s="588">
        <v>12</v>
      </c>
      <c r="S47" s="883">
        <v>12</v>
      </c>
      <c r="T47" s="11"/>
      <c r="W47" s="14"/>
    </row>
    <row r="48" spans="1:24" s="1" customFormat="1" ht="28.5" customHeight="1" x14ac:dyDescent="0.2">
      <c r="A48" s="129"/>
      <c r="B48" s="1056"/>
      <c r="C48" s="12"/>
      <c r="D48" s="150"/>
      <c r="E48" s="1045"/>
      <c r="F48" s="175"/>
      <c r="G48" s="199"/>
      <c r="H48" s="1068"/>
      <c r="I48" s="735"/>
      <c r="J48" s="270"/>
      <c r="K48" s="694"/>
      <c r="L48" s="665"/>
      <c r="M48" s="666"/>
      <c r="N48" s="667"/>
      <c r="O48" s="265" t="s">
        <v>173</v>
      </c>
      <c r="P48" s="116"/>
      <c r="Q48" s="595">
        <v>1</v>
      </c>
      <c r="R48" s="588">
        <v>1</v>
      </c>
      <c r="S48" s="883">
        <v>1</v>
      </c>
      <c r="T48" s="11"/>
      <c r="W48" s="14"/>
    </row>
    <row r="49" spans="1:24" s="1" customFormat="1" ht="16.5" customHeight="1" x14ac:dyDescent="0.2">
      <c r="A49" s="129"/>
      <c r="B49" s="1056"/>
      <c r="C49" s="12"/>
      <c r="D49" s="150"/>
      <c r="E49" s="1045"/>
      <c r="F49" s="175"/>
      <c r="G49" s="199"/>
      <c r="H49" s="1068"/>
      <c r="I49" s="735"/>
      <c r="J49" s="270"/>
      <c r="K49" s="694"/>
      <c r="L49" s="665"/>
      <c r="M49" s="666"/>
      <c r="N49" s="667"/>
      <c r="O49" s="265" t="s">
        <v>174</v>
      </c>
      <c r="P49" s="116"/>
      <c r="Q49" s="869"/>
      <c r="R49" s="588">
        <v>1</v>
      </c>
      <c r="S49" s="883"/>
      <c r="T49" s="11"/>
      <c r="W49" s="14"/>
    </row>
    <row r="50" spans="1:24" s="1" customFormat="1" ht="28.5" customHeight="1" x14ac:dyDescent="0.2">
      <c r="A50" s="129"/>
      <c r="B50" s="1056"/>
      <c r="C50" s="12"/>
      <c r="D50" s="150"/>
      <c r="E50" s="1045"/>
      <c r="F50" s="175"/>
      <c r="G50" s="199"/>
      <c r="H50" s="1068"/>
      <c r="I50" s="735"/>
      <c r="J50" s="270"/>
      <c r="K50" s="694"/>
      <c r="L50" s="665"/>
      <c r="M50" s="666"/>
      <c r="N50" s="667"/>
      <c r="O50" s="265" t="s">
        <v>175</v>
      </c>
      <c r="P50" s="116"/>
      <c r="Q50" s="595">
        <v>1</v>
      </c>
      <c r="R50" s="588"/>
      <c r="S50" s="883">
        <v>1</v>
      </c>
      <c r="T50" s="11"/>
      <c r="W50" s="14"/>
    </row>
    <row r="51" spans="1:24" s="1" customFormat="1" ht="30" customHeight="1" x14ac:dyDescent="0.2">
      <c r="A51" s="129"/>
      <c r="B51" s="1056"/>
      <c r="C51" s="12"/>
      <c r="D51" s="150"/>
      <c r="E51" s="1045"/>
      <c r="F51" s="175"/>
      <c r="G51" s="199"/>
      <c r="H51" s="1068"/>
      <c r="I51" s="735"/>
      <c r="J51" s="270"/>
      <c r="K51" s="694"/>
      <c r="L51" s="665"/>
      <c r="M51" s="666"/>
      <c r="N51" s="667"/>
      <c r="O51" s="265" t="s">
        <v>332</v>
      </c>
      <c r="P51" s="116"/>
      <c r="Q51" s="595"/>
      <c r="R51" s="588">
        <v>1</v>
      </c>
      <c r="S51" s="883"/>
      <c r="T51" s="11"/>
      <c r="W51" s="14"/>
    </row>
    <row r="52" spans="1:24" s="1" customFormat="1" ht="29.25" customHeight="1" x14ac:dyDescent="0.2">
      <c r="A52" s="129"/>
      <c r="B52" s="1056"/>
      <c r="C52" s="12"/>
      <c r="D52" s="150"/>
      <c r="E52" s="1045"/>
      <c r="F52" s="175"/>
      <c r="G52" s="199"/>
      <c r="H52" s="1068"/>
      <c r="I52" s="735"/>
      <c r="J52" s="270"/>
      <c r="K52" s="694"/>
      <c r="L52" s="665"/>
      <c r="M52" s="666"/>
      <c r="N52" s="667"/>
      <c r="O52" s="265" t="s">
        <v>333</v>
      </c>
      <c r="P52" s="116"/>
      <c r="Q52" s="595"/>
      <c r="R52" s="588">
        <v>1</v>
      </c>
      <c r="S52" s="883"/>
      <c r="T52" s="11"/>
      <c r="W52" s="14"/>
    </row>
    <row r="53" spans="1:24" s="1" customFormat="1" ht="18" customHeight="1" x14ac:dyDescent="0.2">
      <c r="A53" s="129"/>
      <c r="B53" s="1056"/>
      <c r="C53" s="12"/>
      <c r="D53" s="150"/>
      <c r="E53" s="1045"/>
      <c r="F53" s="175"/>
      <c r="G53" s="199"/>
      <c r="H53" s="1068"/>
      <c r="I53" s="735"/>
      <c r="J53" s="270"/>
      <c r="K53" s="694"/>
      <c r="L53" s="665"/>
      <c r="M53" s="666"/>
      <c r="N53" s="667"/>
      <c r="O53" s="265" t="s">
        <v>176</v>
      </c>
      <c r="P53" s="116"/>
      <c r="Q53" s="595">
        <v>1</v>
      </c>
      <c r="R53" s="588">
        <v>1</v>
      </c>
      <c r="S53" s="883">
        <v>1</v>
      </c>
      <c r="T53" s="11"/>
      <c r="W53" s="14"/>
      <c r="X53" s="14"/>
    </row>
    <row r="54" spans="1:24" s="1" customFormat="1" ht="18" customHeight="1" x14ac:dyDescent="0.2">
      <c r="A54" s="129"/>
      <c r="B54" s="1056"/>
      <c r="C54" s="12"/>
      <c r="D54" s="150"/>
      <c r="E54" s="1045"/>
      <c r="F54" s="175"/>
      <c r="G54" s="199"/>
      <c r="H54" s="1068"/>
      <c r="I54" s="735"/>
      <c r="J54" s="270"/>
      <c r="K54" s="694"/>
      <c r="L54" s="665"/>
      <c r="M54" s="666"/>
      <c r="N54" s="667"/>
      <c r="O54" s="265" t="s">
        <v>177</v>
      </c>
      <c r="P54" s="116"/>
      <c r="Q54" s="595">
        <v>1</v>
      </c>
      <c r="R54" s="588"/>
      <c r="S54" s="883">
        <v>1</v>
      </c>
      <c r="T54" s="11"/>
      <c r="W54" s="14"/>
      <c r="X54" s="14"/>
    </row>
    <row r="55" spans="1:24" s="1" customFormat="1" ht="18" customHeight="1" x14ac:dyDescent="0.2">
      <c r="A55" s="129"/>
      <c r="B55" s="1056"/>
      <c r="C55" s="12"/>
      <c r="D55" s="150"/>
      <c r="E55" s="1045"/>
      <c r="F55" s="175"/>
      <c r="G55" s="199"/>
      <c r="H55" s="1068"/>
      <c r="I55" s="735"/>
      <c r="J55" s="270"/>
      <c r="K55" s="694"/>
      <c r="L55" s="665"/>
      <c r="M55" s="666"/>
      <c r="N55" s="667"/>
      <c r="O55" s="265" t="s">
        <v>178</v>
      </c>
      <c r="P55" s="870"/>
      <c r="Q55" s="595">
        <v>1</v>
      </c>
      <c r="R55" s="588">
        <v>1</v>
      </c>
      <c r="S55" s="883">
        <v>1</v>
      </c>
      <c r="T55" s="11"/>
      <c r="W55" s="14"/>
      <c r="X55" s="14"/>
    </row>
    <row r="56" spans="1:24" s="1" customFormat="1" ht="27.75" customHeight="1" x14ac:dyDescent="0.2">
      <c r="A56" s="129"/>
      <c r="B56" s="1056"/>
      <c r="C56" s="12"/>
      <c r="D56" s="150"/>
      <c r="E56" s="1045"/>
      <c r="F56" s="175"/>
      <c r="G56" s="199"/>
      <c r="H56" s="1068"/>
      <c r="I56" s="735"/>
      <c r="J56" s="270"/>
      <c r="K56" s="694"/>
      <c r="L56" s="665"/>
      <c r="M56" s="666"/>
      <c r="N56" s="667"/>
      <c r="O56" s="265" t="s">
        <v>322</v>
      </c>
      <c r="P56" s="870"/>
      <c r="Q56" s="595"/>
      <c r="R56" s="588">
        <v>1</v>
      </c>
      <c r="S56" s="883"/>
      <c r="T56" s="11"/>
      <c r="W56" s="14"/>
      <c r="X56" s="14"/>
    </row>
    <row r="57" spans="1:24" s="1" customFormat="1" ht="28.5" customHeight="1" x14ac:dyDescent="0.2">
      <c r="A57" s="129"/>
      <c r="B57" s="1056"/>
      <c r="C57" s="12"/>
      <c r="D57" s="150"/>
      <c r="E57" s="1045"/>
      <c r="F57" s="175"/>
      <c r="G57" s="199"/>
      <c r="H57" s="1068"/>
      <c r="I57" s="735"/>
      <c r="J57" s="270"/>
      <c r="K57" s="694"/>
      <c r="L57" s="665"/>
      <c r="M57" s="666"/>
      <c r="N57" s="667"/>
      <c r="O57" s="265" t="s">
        <v>180</v>
      </c>
      <c r="P57" s="870"/>
      <c r="Q57" s="595">
        <v>11607</v>
      </c>
      <c r="R57" s="586">
        <v>11607</v>
      </c>
      <c r="S57" s="599">
        <v>11607</v>
      </c>
      <c r="T57" s="11"/>
      <c r="W57" s="14"/>
    </row>
    <row r="58" spans="1:24" s="1" customFormat="1" ht="30" customHeight="1" x14ac:dyDescent="0.2">
      <c r="A58" s="129"/>
      <c r="B58" s="1056"/>
      <c r="C58" s="12"/>
      <c r="D58" s="449" t="s">
        <v>19</v>
      </c>
      <c r="E58" s="1044" t="s">
        <v>28</v>
      </c>
      <c r="F58" s="175"/>
      <c r="G58" s="199">
        <v>11030301</v>
      </c>
      <c r="H58" s="1068"/>
      <c r="I58" s="735"/>
      <c r="J58" s="480" t="s">
        <v>17</v>
      </c>
      <c r="K58" s="1078">
        <f>673.2-90.8</f>
        <v>582.40000000000009</v>
      </c>
      <c r="L58" s="481">
        <f>684.2-19.7</f>
        <v>664.5</v>
      </c>
      <c r="M58" s="836">
        <f>718.7+11.1-19.7</f>
        <v>710.1</v>
      </c>
      <c r="N58" s="928">
        <f>676.1+52.2-19.7</f>
        <v>708.6</v>
      </c>
      <c r="O58" s="265" t="s">
        <v>315</v>
      </c>
      <c r="P58" s="870"/>
      <c r="Q58" s="595">
        <v>545</v>
      </c>
      <c r="R58" s="586">
        <v>557</v>
      </c>
      <c r="S58" s="599">
        <v>575</v>
      </c>
      <c r="T58" s="11"/>
      <c r="V58" s="14"/>
    </row>
    <row r="59" spans="1:24" s="1" customFormat="1" ht="30" customHeight="1" x14ac:dyDescent="0.2">
      <c r="A59" s="129"/>
      <c r="B59" s="1056"/>
      <c r="C59" s="12"/>
      <c r="D59" s="150"/>
      <c r="E59" s="1045"/>
      <c r="F59" s="175"/>
      <c r="G59" s="199"/>
      <c r="H59" s="1068"/>
      <c r="I59" s="735"/>
      <c r="J59" s="270"/>
      <c r="K59" s="694"/>
      <c r="L59" s="257"/>
      <c r="M59" s="258"/>
      <c r="N59" s="473"/>
      <c r="O59" s="495" t="s">
        <v>182</v>
      </c>
      <c r="P59" s="116"/>
      <c r="Q59" s="387">
        <v>1</v>
      </c>
      <c r="R59" s="320"/>
      <c r="S59" s="28"/>
      <c r="T59" s="11"/>
      <c r="V59" s="14"/>
    </row>
    <row r="60" spans="1:24" s="1" customFormat="1" ht="42.75" customHeight="1" x14ac:dyDescent="0.2">
      <c r="A60" s="129"/>
      <c r="B60" s="1056"/>
      <c r="C60" s="12"/>
      <c r="D60" s="150"/>
      <c r="E60" s="1045"/>
      <c r="F60" s="175"/>
      <c r="G60" s="199"/>
      <c r="H60" s="1068"/>
      <c r="I60" s="735"/>
      <c r="J60" s="270"/>
      <c r="K60" s="694"/>
      <c r="L60" s="257"/>
      <c r="M60" s="258"/>
      <c r="N60" s="473"/>
      <c r="O60" s="272" t="s">
        <v>183</v>
      </c>
      <c r="P60" s="871"/>
      <c r="Q60" s="597">
        <v>3</v>
      </c>
      <c r="R60" s="336"/>
      <c r="S60" s="310"/>
      <c r="T60" s="11"/>
      <c r="V60" s="14"/>
    </row>
    <row r="61" spans="1:24" s="1" customFormat="1" ht="31.5" customHeight="1" x14ac:dyDescent="0.2">
      <c r="A61" s="129"/>
      <c r="B61" s="1056"/>
      <c r="C61" s="12"/>
      <c r="D61" s="150"/>
      <c r="E61" s="1045"/>
      <c r="F61" s="175"/>
      <c r="G61" s="199"/>
      <c r="H61" s="1068"/>
      <c r="I61" s="735"/>
      <c r="J61" s="270"/>
      <c r="K61" s="694"/>
      <c r="L61" s="257"/>
      <c r="M61" s="258"/>
      <c r="N61" s="473"/>
      <c r="O61" s="495" t="s">
        <v>181</v>
      </c>
      <c r="P61" s="116"/>
      <c r="Q61" s="595"/>
      <c r="R61" s="586">
        <v>1</v>
      </c>
      <c r="S61" s="28"/>
      <c r="T61" s="11"/>
      <c r="V61" s="14"/>
    </row>
    <row r="62" spans="1:24" s="1" customFormat="1" ht="29.25" customHeight="1" x14ac:dyDescent="0.2">
      <c r="A62" s="129"/>
      <c r="B62" s="1056"/>
      <c r="C62" s="12"/>
      <c r="D62" s="150"/>
      <c r="E62" s="1045"/>
      <c r="F62" s="175"/>
      <c r="G62" s="199"/>
      <c r="H62" s="1068"/>
      <c r="I62" s="735"/>
      <c r="J62" s="270"/>
      <c r="K62" s="694"/>
      <c r="L62" s="257"/>
      <c r="M62" s="258"/>
      <c r="N62" s="280"/>
      <c r="O62" s="495" t="s">
        <v>334</v>
      </c>
      <c r="P62" s="885"/>
      <c r="Q62" s="884"/>
      <c r="R62" s="472">
        <v>1</v>
      </c>
      <c r="S62" s="885"/>
      <c r="T62" s="11"/>
      <c r="V62" s="14"/>
    </row>
    <row r="63" spans="1:24" s="1" customFormat="1" ht="16.5" customHeight="1" x14ac:dyDescent="0.2">
      <c r="A63" s="129"/>
      <c r="B63" s="1056"/>
      <c r="C63" s="12"/>
      <c r="D63" s="607"/>
      <c r="E63" s="1045"/>
      <c r="F63" s="175"/>
      <c r="G63" s="199"/>
      <c r="H63" s="1068"/>
      <c r="I63" s="735"/>
      <c r="J63" s="184"/>
      <c r="K63" s="1079"/>
      <c r="L63" s="479"/>
      <c r="M63" s="837"/>
      <c r="N63" s="267"/>
      <c r="O63" s="495" t="s">
        <v>184</v>
      </c>
      <c r="P63" s="538"/>
      <c r="Q63" s="363"/>
      <c r="R63" s="312">
        <v>1</v>
      </c>
      <c r="S63" s="59"/>
      <c r="T63" s="11"/>
      <c r="V63" s="14"/>
    </row>
    <row r="64" spans="1:24" s="1" customFormat="1" ht="31.5" customHeight="1" x14ac:dyDescent="0.2">
      <c r="A64" s="129"/>
      <c r="B64" s="1056"/>
      <c r="C64" s="12"/>
      <c r="D64" s="449" t="s">
        <v>21</v>
      </c>
      <c r="E64" s="1518" t="s">
        <v>29</v>
      </c>
      <c r="F64" s="175"/>
      <c r="G64" s="200">
        <v>11030401</v>
      </c>
      <c r="H64" s="1068"/>
      <c r="I64" s="735"/>
      <c r="J64" s="480" t="s">
        <v>17</v>
      </c>
      <c r="K64" s="1078">
        <v>500.2</v>
      </c>
      <c r="L64" s="481">
        <f>479.6-12</f>
        <v>467.6</v>
      </c>
      <c r="M64" s="836">
        <f>411.6-12</f>
        <v>399.6</v>
      </c>
      <c r="N64" s="928">
        <f>411.6+10-12</f>
        <v>409.6</v>
      </c>
      <c r="O64" s="265" t="s">
        <v>315</v>
      </c>
      <c r="P64" s="538"/>
      <c r="Q64" s="364">
        <v>550</v>
      </c>
      <c r="R64" s="320">
        <v>600</v>
      </c>
      <c r="S64" s="318">
        <v>680</v>
      </c>
      <c r="T64" s="11"/>
      <c r="U64" s="14"/>
      <c r="W64" s="14"/>
      <c r="X64" s="14"/>
    </row>
    <row r="65" spans="1:27" s="1" customFormat="1" ht="40.5" customHeight="1" x14ac:dyDescent="0.2">
      <c r="A65" s="129"/>
      <c r="B65" s="1056"/>
      <c r="C65" s="12"/>
      <c r="D65" s="150"/>
      <c r="E65" s="1519"/>
      <c r="F65" s="175"/>
      <c r="G65" s="200"/>
      <c r="H65" s="1068"/>
      <c r="I65" s="735"/>
      <c r="J65" s="270"/>
      <c r="K65" s="694"/>
      <c r="L65" s="257"/>
      <c r="M65" s="258"/>
      <c r="N65" s="473"/>
      <c r="O65" s="272" t="s">
        <v>183</v>
      </c>
      <c r="P65" s="600"/>
      <c r="Q65" s="364">
        <v>1</v>
      </c>
      <c r="R65" s="320"/>
      <c r="S65" s="318"/>
      <c r="T65" s="11"/>
      <c r="U65" s="14"/>
      <c r="W65" s="14"/>
      <c r="X65" s="14"/>
    </row>
    <row r="66" spans="1:27" s="1" customFormat="1" ht="28.5" customHeight="1" x14ac:dyDescent="0.2">
      <c r="A66" s="129"/>
      <c r="B66" s="1056"/>
      <c r="C66" s="12"/>
      <c r="D66" s="150"/>
      <c r="E66" s="1045"/>
      <c r="F66" s="175"/>
      <c r="G66" s="200"/>
      <c r="H66" s="1068"/>
      <c r="I66" s="735"/>
      <c r="J66" s="270"/>
      <c r="K66" s="694"/>
      <c r="L66" s="257"/>
      <c r="M66" s="258"/>
      <c r="N66" s="473"/>
      <c r="O66" s="265" t="s">
        <v>185</v>
      </c>
      <c r="P66" s="600"/>
      <c r="Q66" s="364">
        <v>1</v>
      </c>
      <c r="R66" s="320"/>
      <c r="S66" s="318"/>
      <c r="T66" s="11"/>
      <c r="U66" s="14"/>
      <c r="W66" s="14"/>
      <c r="X66" s="14"/>
    </row>
    <row r="67" spans="1:27" s="1" customFormat="1" ht="28.5" customHeight="1" x14ac:dyDescent="0.2">
      <c r="A67" s="129"/>
      <c r="B67" s="1056"/>
      <c r="C67" s="12"/>
      <c r="D67" s="150"/>
      <c r="E67" s="1045"/>
      <c r="F67" s="175"/>
      <c r="G67" s="200"/>
      <c r="H67" s="1068"/>
      <c r="I67" s="735"/>
      <c r="J67" s="270"/>
      <c r="K67" s="694"/>
      <c r="L67" s="257"/>
      <c r="M67" s="258"/>
      <c r="N67" s="473"/>
      <c r="O67" s="265" t="s">
        <v>323</v>
      </c>
      <c r="P67" s="600"/>
      <c r="Q67" s="364"/>
      <c r="R67" s="320">
        <v>1</v>
      </c>
      <c r="S67" s="318"/>
      <c r="T67" s="11"/>
      <c r="U67" s="14"/>
      <c r="W67" s="14"/>
      <c r="X67" s="14"/>
    </row>
    <row r="68" spans="1:27" s="1" customFormat="1" ht="28.5" customHeight="1" x14ac:dyDescent="0.2">
      <c r="A68" s="129"/>
      <c r="B68" s="1056"/>
      <c r="C68" s="12"/>
      <c r="D68" s="150"/>
      <c r="E68" s="1045"/>
      <c r="F68" s="175"/>
      <c r="G68" s="200"/>
      <c r="H68" s="1068"/>
      <c r="I68" s="735"/>
      <c r="J68" s="270"/>
      <c r="K68" s="694"/>
      <c r="L68" s="257"/>
      <c r="M68" s="258"/>
      <c r="N68" s="473"/>
      <c r="O68" s="265" t="s">
        <v>180</v>
      </c>
      <c r="P68" s="600"/>
      <c r="Q68" s="609">
        <v>6402</v>
      </c>
      <c r="R68" s="586">
        <v>6415</v>
      </c>
      <c r="S68" s="599">
        <v>6430</v>
      </c>
      <c r="T68" s="11"/>
      <c r="U68" s="14"/>
      <c r="W68" s="14"/>
      <c r="X68" s="14"/>
    </row>
    <row r="69" spans="1:27" s="1" customFormat="1" ht="18" customHeight="1" x14ac:dyDescent="0.2">
      <c r="A69" s="129"/>
      <c r="B69" s="1056"/>
      <c r="C69" s="12"/>
      <c r="D69" s="150"/>
      <c r="E69" s="1045"/>
      <c r="F69" s="175"/>
      <c r="G69" s="200"/>
      <c r="H69" s="1068"/>
      <c r="I69" s="735"/>
      <c r="J69" s="184"/>
      <c r="K69" s="1079"/>
      <c r="L69" s="479"/>
      <c r="M69" s="837"/>
      <c r="N69" s="267"/>
      <c r="O69" s="92" t="s">
        <v>116</v>
      </c>
      <c r="P69" s="593">
        <v>1</v>
      </c>
      <c r="Q69" s="609"/>
      <c r="R69" s="586"/>
      <c r="S69" s="599"/>
      <c r="T69" s="11"/>
      <c r="U69" s="14"/>
      <c r="W69" s="14"/>
      <c r="X69" s="14"/>
    </row>
    <row r="70" spans="1:27" s="1" customFormat="1" ht="29.25" customHeight="1" x14ac:dyDescent="0.2">
      <c r="A70" s="129"/>
      <c r="B70" s="1056"/>
      <c r="C70" s="12"/>
      <c r="D70" s="449" t="s">
        <v>34</v>
      </c>
      <c r="E70" s="1044" t="s">
        <v>30</v>
      </c>
      <c r="F70" s="175"/>
      <c r="G70" s="200">
        <v>11030501</v>
      </c>
      <c r="H70" s="1068"/>
      <c r="I70" s="735"/>
      <c r="J70" s="480" t="s">
        <v>17</v>
      </c>
      <c r="K70" s="1078">
        <v>499</v>
      </c>
      <c r="L70" s="249">
        <f>544.2-12.8</f>
        <v>531.40000000000009</v>
      </c>
      <c r="M70" s="836">
        <f>544.2-12.8</f>
        <v>531.40000000000009</v>
      </c>
      <c r="N70" s="482">
        <f>544.2-12.8</f>
        <v>531.40000000000009</v>
      </c>
      <c r="O70" s="265" t="s">
        <v>315</v>
      </c>
      <c r="P70" s="849"/>
      <c r="Q70" s="850">
        <v>690</v>
      </c>
      <c r="R70" s="472">
        <v>700</v>
      </c>
      <c r="S70" s="57">
        <v>710</v>
      </c>
      <c r="T70" s="11"/>
      <c r="Y70" s="14"/>
      <c r="AA70" s="14"/>
    </row>
    <row r="71" spans="1:27" s="1" customFormat="1" ht="29.25" customHeight="1" x14ac:dyDescent="0.2">
      <c r="A71" s="129"/>
      <c r="B71" s="1056"/>
      <c r="C71" s="12"/>
      <c r="D71" s="150"/>
      <c r="E71" s="1051"/>
      <c r="F71" s="175"/>
      <c r="G71" s="200"/>
      <c r="H71" s="1068"/>
      <c r="I71" s="735"/>
      <c r="J71" s="270"/>
      <c r="K71" s="694"/>
      <c r="L71" s="257"/>
      <c r="M71" s="258"/>
      <c r="N71" s="280"/>
      <c r="O71" s="92" t="s">
        <v>179</v>
      </c>
      <c r="P71" s="593"/>
      <c r="Q71" s="596">
        <v>6411</v>
      </c>
      <c r="R71" s="317">
        <v>6500</v>
      </c>
      <c r="S71" s="318">
        <v>6500</v>
      </c>
      <c r="T71" s="11"/>
      <c r="W71" s="14"/>
      <c r="Y71" s="14"/>
      <c r="AA71" s="14"/>
    </row>
    <row r="72" spans="1:27" s="1" customFormat="1" ht="27" customHeight="1" x14ac:dyDescent="0.2">
      <c r="A72" s="129"/>
      <c r="B72" s="1056"/>
      <c r="C72" s="12"/>
      <c r="D72" s="449" t="s">
        <v>63</v>
      </c>
      <c r="E72" s="1518" t="s">
        <v>77</v>
      </c>
      <c r="F72" s="271"/>
      <c r="G72" s="200">
        <v>11030801</v>
      </c>
      <c r="H72" s="1068"/>
      <c r="I72" s="736"/>
      <c r="J72" s="480" t="s">
        <v>17</v>
      </c>
      <c r="K72" s="1078">
        <v>660.1</v>
      </c>
      <c r="L72" s="481">
        <f>781.4-18.3</f>
        <v>763.1</v>
      </c>
      <c r="M72" s="836">
        <f>776.4+50-18.3</f>
        <v>808.1</v>
      </c>
      <c r="N72" s="928">
        <f>776.4+50-18.3</f>
        <v>808.1</v>
      </c>
      <c r="O72" s="265" t="s">
        <v>315</v>
      </c>
      <c r="P72" s="593"/>
      <c r="Q72" s="850">
        <v>320</v>
      </c>
      <c r="R72" s="472">
        <v>320</v>
      </c>
      <c r="S72" s="57">
        <v>330</v>
      </c>
      <c r="T72" s="11"/>
      <c r="U72" s="14"/>
      <c r="W72" s="14"/>
    </row>
    <row r="73" spans="1:27" s="1" customFormat="1" ht="17.25" customHeight="1" x14ac:dyDescent="0.2">
      <c r="A73" s="129"/>
      <c r="B73" s="1056"/>
      <c r="C73" s="12"/>
      <c r="D73" s="150"/>
      <c r="E73" s="1519"/>
      <c r="F73" s="610"/>
      <c r="G73" s="445"/>
      <c r="H73" s="1068"/>
      <c r="I73" s="735"/>
      <c r="J73" s="270"/>
      <c r="K73" s="694"/>
      <c r="L73" s="257"/>
      <c r="M73" s="258"/>
      <c r="N73" s="280"/>
      <c r="O73" s="265" t="s">
        <v>316</v>
      </c>
      <c r="P73" s="406"/>
      <c r="Q73" s="609">
        <v>20</v>
      </c>
      <c r="R73" s="851">
        <v>21</v>
      </c>
      <c r="S73" s="852">
        <v>22</v>
      </c>
      <c r="T73" s="11"/>
      <c r="U73" s="14"/>
      <c r="W73" s="14"/>
    </row>
    <row r="74" spans="1:27" s="1" customFormat="1" ht="16.5" customHeight="1" x14ac:dyDescent="0.2">
      <c r="A74" s="129"/>
      <c r="B74" s="1056"/>
      <c r="C74" s="12"/>
      <c r="D74" s="150"/>
      <c r="E74" s="1519"/>
      <c r="F74" s="610"/>
      <c r="G74" s="445"/>
      <c r="H74" s="1068"/>
      <c r="I74" s="735"/>
      <c r="J74" s="270"/>
      <c r="K74" s="694"/>
      <c r="L74" s="231"/>
      <c r="M74" s="240"/>
      <c r="N74" s="284"/>
      <c r="O74" s="272" t="s">
        <v>335</v>
      </c>
      <c r="P74" s="600"/>
      <c r="Q74" s="609">
        <v>1</v>
      </c>
      <c r="R74" s="317"/>
      <c r="S74" s="310"/>
      <c r="T74" s="11"/>
      <c r="U74" s="14"/>
      <c r="W74" s="14"/>
    </row>
    <row r="75" spans="1:27" s="1" customFormat="1" ht="30" customHeight="1" x14ac:dyDescent="0.2">
      <c r="A75" s="129"/>
      <c r="B75" s="1056"/>
      <c r="C75" s="12"/>
      <c r="D75" s="150"/>
      <c r="E75" s="1519"/>
      <c r="F75" s="610"/>
      <c r="G75" s="445"/>
      <c r="H75" s="1068"/>
      <c r="I75" s="735"/>
      <c r="J75" s="270"/>
      <c r="K75" s="694"/>
      <c r="L75" s="231"/>
      <c r="M75" s="240"/>
      <c r="N75" s="284"/>
      <c r="O75" s="272" t="s">
        <v>186</v>
      </c>
      <c r="P75" s="600"/>
      <c r="Q75" s="609">
        <v>1</v>
      </c>
      <c r="R75" s="309"/>
      <c r="S75" s="28"/>
      <c r="T75" s="11"/>
      <c r="U75" s="14"/>
      <c r="W75" s="14"/>
    </row>
    <row r="76" spans="1:27" s="1" customFormat="1" ht="29.25" customHeight="1" x14ac:dyDescent="0.2">
      <c r="A76" s="129"/>
      <c r="B76" s="1056"/>
      <c r="C76" s="12"/>
      <c r="D76" s="150"/>
      <c r="E76" s="1045"/>
      <c r="F76" s="610"/>
      <c r="G76" s="445"/>
      <c r="H76" s="1068"/>
      <c r="I76" s="735"/>
      <c r="J76" s="270"/>
      <c r="K76" s="694"/>
      <c r="L76" s="231"/>
      <c r="M76" s="240"/>
      <c r="N76" s="284"/>
      <c r="O76" s="272" t="s">
        <v>187</v>
      </c>
      <c r="P76" s="600"/>
      <c r="Q76" s="609">
        <v>1</v>
      </c>
      <c r="R76" s="317"/>
      <c r="S76" s="318"/>
      <c r="T76" s="11"/>
      <c r="U76" s="14"/>
    </row>
    <row r="77" spans="1:27" s="1" customFormat="1" ht="15" customHeight="1" x14ac:dyDescent="0.2">
      <c r="A77" s="129"/>
      <c r="B77" s="1056"/>
      <c r="C77" s="12"/>
      <c r="D77" s="150"/>
      <c r="E77" s="1045"/>
      <c r="F77" s="610"/>
      <c r="G77" s="445"/>
      <c r="H77" s="1068"/>
      <c r="I77" s="735"/>
      <c r="J77" s="270"/>
      <c r="K77" s="694"/>
      <c r="L77" s="231"/>
      <c r="M77" s="240"/>
      <c r="N77" s="284"/>
      <c r="O77" s="272" t="s">
        <v>188</v>
      </c>
      <c r="P77" s="600"/>
      <c r="Q77" s="609">
        <v>1</v>
      </c>
      <c r="R77" s="309"/>
      <c r="S77" s="310"/>
      <c r="T77" s="11"/>
      <c r="U77" s="14"/>
      <c r="W77" s="14"/>
    </row>
    <row r="78" spans="1:27" s="1" customFormat="1" ht="15" customHeight="1" x14ac:dyDescent="0.2">
      <c r="A78" s="129"/>
      <c r="B78" s="1056"/>
      <c r="C78" s="12"/>
      <c r="D78" s="150"/>
      <c r="E78" s="1045"/>
      <c r="F78" s="610"/>
      <c r="G78" s="445"/>
      <c r="H78" s="1068"/>
      <c r="I78" s="735"/>
      <c r="J78" s="270"/>
      <c r="K78" s="694"/>
      <c r="L78" s="231"/>
      <c r="M78" s="240"/>
      <c r="N78" s="284"/>
      <c r="O78" s="272" t="s">
        <v>189</v>
      </c>
      <c r="P78" s="600"/>
      <c r="Q78" s="609">
        <v>2</v>
      </c>
      <c r="R78" s="317"/>
      <c r="S78" s="318"/>
      <c r="T78" s="11"/>
      <c r="U78" s="14"/>
    </row>
    <row r="79" spans="1:27" s="1" customFormat="1" ht="29.25" customHeight="1" x14ac:dyDescent="0.2">
      <c r="A79" s="129"/>
      <c r="B79" s="1056"/>
      <c r="C79" s="12"/>
      <c r="D79" s="150"/>
      <c r="E79" s="1045"/>
      <c r="F79" s="610"/>
      <c r="G79" s="445"/>
      <c r="H79" s="1068"/>
      <c r="I79" s="736"/>
      <c r="J79" s="270"/>
      <c r="K79" s="694"/>
      <c r="L79" s="231"/>
      <c r="M79" s="240"/>
      <c r="N79" s="529"/>
      <c r="O79" s="378" t="s">
        <v>190</v>
      </c>
      <c r="P79" s="405"/>
      <c r="Q79" s="772">
        <v>1</v>
      </c>
      <c r="R79" s="292"/>
      <c r="S79" s="293"/>
      <c r="T79" s="11"/>
      <c r="U79" s="14"/>
    </row>
    <row r="80" spans="1:27" s="1" customFormat="1" ht="54" customHeight="1" x14ac:dyDescent="0.2">
      <c r="A80" s="129"/>
      <c r="B80" s="1056"/>
      <c r="C80" s="12"/>
      <c r="D80" s="449" t="s">
        <v>156</v>
      </c>
      <c r="E80" s="1016" t="s">
        <v>70</v>
      </c>
      <c r="F80" s="175"/>
      <c r="G80" s="1560">
        <v>11020101</v>
      </c>
      <c r="H80" s="1068"/>
      <c r="I80" s="735"/>
      <c r="J80" s="183" t="s">
        <v>38</v>
      </c>
      <c r="K80" s="608">
        <v>25</v>
      </c>
      <c r="L80" s="230"/>
      <c r="M80" s="239"/>
      <c r="N80" s="367"/>
      <c r="O80" s="47" t="s">
        <v>128</v>
      </c>
      <c r="P80" s="430">
        <v>100</v>
      </c>
      <c r="Q80" s="596"/>
      <c r="R80" s="317"/>
      <c r="S80" s="318"/>
      <c r="U80" s="14"/>
      <c r="V80" s="14"/>
      <c r="W80" s="14"/>
    </row>
    <row r="81" spans="1:25" s="1" customFormat="1" ht="15" customHeight="1" x14ac:dyDescent="0.2">
      <c r="A81" s="129"/>
      <c r="B81" s="1056"/>
      <c r="C81" s="12"/>
      <c r="D81" s="150"/>
      <c r="E81" s="1017"/>
      <c r="F81" s="175"/>
      <c r="G81" s="1603"/>
      <c r="H81" s="1068"/>
      <c r="I81" s="735"/>
      <c r="J81" s="480" t="s">
        <v>17</v>
      </c>
      <c r="K81" s="1078">
        <v>150</v>
      </c>
      <c r="L81" s="481">
        <f>724.6-40-27.6</f>
        <v>657</v>
      </c>
      <c r="M81" s="836">
        <f>657+40-51.5-27.6</f>
        <v>617.9</v>
      </c>
      <c r="N81" s="659">
        <f>651-51.5-27.6</f>
        <v>571.9</v>
      </c>
      <c r="O81" s="272" t="s">
        <v>317</v>
      </c>
      <c r="P81" s="592">
        <v>3</v>
      </c>
      <c r="Q81" s="595">
        <v>13</v>
      </c>
      <c r="R81" s="586">
        <v>15</v>
      </c>
      <c r="S81" s="587">
        <v>16</v>
      </c>
      <c r="U81" s="14"/>
      <c r="V81" s="14"/>
    </row>
    <row r="82" spans="1:25" s="1" customFormat="1" ht="15" customHeight="1" x14ac:dyDescent="0.2">
      <c r="A82" s="129"/>
      <c r="B82" s="1056"/>
      <c r="C82" s="12"/>
      <c r="D82" s="150"/>
      <c r="E82" s="1017"/>
      <c r="F82" s="175"/>
      <c r="G82" s="1072"/>
      <c r="H82" s="1068"/>
      <c r="I82" s="735"/>
      <c r="J82" s="270"/>
      <c r="K82" s="694"/>
      <c r="L82" s="231"/>
      <c r="M82" s="240"/>
      <c r="N82" s="529"/>
      <c r="O82" s="611" t="s">
        <v>136</v>
      </c>
      <c r="P82" s="592">
        <v>3</v>
      </c>
      <c r="Q82" s="364">
        <v>13</v>
      </c>
      <c r="R82" s="320"/>
      <c r="S82" s="321"/>
      <c r="U82" s="14"/>
      <c r="V82" s="14"/>
    </row>
    <row r="83" spans="1:25" s="1" customFormat="1" ht="29.25" customHeight="1" x14ac:dyDescent="0.2">
      <c r="A83" s="129"/>
      <c r="B83" s="1056"/>
      <c r="C83" s="12"/>
      <c r="D83" s="150"/>
      <c r="E83" s="1017"/>
      <c r="F83" s="175"/>
      <c r="G83" s="1072"/>
      <c r="H83" s="1068"/>
      <c r="I83" s="735"/>
      <c r="J83" s="270"/>
      <c r="K83" s="694"/>
      <c r="L83" s="231"/>
      <c r="M83" s="240"/>
      <c r="N83" s="529"/>
      <c r="O83" s="612" t="s">
        <v>337</v>
      </c>
      <c r="P83" s="601"/>
      <c r="Q83" s="387">
        <v>1</v>
      </c>
      <c r="R83" s="320"/>
      <c r="S83" s="321"/>
      <c r="U83" s="14"/>
      <c r="V83" s="14"/>
      <c r="W83" s="14"/>
      <c r="Y83" s="14"/>
    </row>
    <row r="84" spans="1:25" s="1" customFormat="1" ht="29.25" customHeight="1" x14ac:dyDescent="0.2">
      <c r="A84" s="129"/>
      <c r="B84" s="1056"/>
      <c r="C84" s="12"/>
      <c r="D84" s="150"/>
      <c r="E84" s="1017"/>
      <c r="F84" s="175"/>
      <c r="G84" s="1072"/>
      <c r="H84" s="1068"/>
      <c r="I84" s="735"/>
      <c r="J84" s="270"/>
      <c r="K84" s="694"/>
      <c r="L84" s="231"/>
      <c r="M84" s="240"/>
      <c r="N84" s="529"/>
      <c r="O84" s="880" t="s">
        <v>192</v>
      </c>
      <c r="P84" s="601"/>
      <c r="Q84" s="387">
        <v>1</v>
      </c>
      <c r="R84" s="320"/>
      <c r="S84" s="321"/>
      <c r="U84" s="14"/>
      <c r="V84" s="14"/>
      <c r="X84" s="14"/>
    </row>
    <row r="85" spans="1:25" s="1" customFormat="1" ht="16.5" customHeight="1" x14ac:dyDescent="0.2">
      <c r="A85" s="129"/>
      <c r="B85" s="1056"/>
      <c r="C85" s="12"/>
      <c r="D85" s="150"/>
      <c r="E85" s="1017"/>
      <c r="F85" s="175"/>
      <c r="G85" s="1072"/>
      <c r="H85" s="1068"/>
      <c r="I85" s="735"/>
      <c r="J85" s="270"/>
      <c r="K85" s="694"/>
      <c r="L85" s="231"/>
      <c r="M85" s="240"/>
      <c r="N85" s="529"/>
      <c r="O85" s="611" t="s">
        <v>193</v>
      </c>
      <c r="P85" s="592"/>
      <c r="Q85" s="387">
        <v>1</v>
      </c>
      <c r="R85" s="320"/>
      <c r="S85" s="321"/>
      <c r="U85" s="14"/>
      <c r="V85" s="14"/>
    </row>
    <row r="86" spans="1:25" s="1" customFormat="1" ht="15.75" customHeight="1" x14ac:dyDescent="0.2">
      <c r="A86" s="129"/>
      <c r="B86" s="1056"/>
      <c r="C86" s="12"/>
      <c r="D86" s="150"/>
      <c r="E86" s="1017"/>
      <c r="F86" s="175"/>
      <c r="G86" s="1072"/>
      <c r="H86" s="1068"/>
      <c r="I86" s="735"/>
      <c r="J86" s="270"/>
      <c r="K86" s="694"/>
      <c r="L86" s="231"/>
      <c r="M86" s="240"/>
      <c r="N86" s="529"/>
      <c r="O86" s="611" t="s">
        <v>194</v>
      </c>
      <c r="P86" s="592"/>
      <c r="Q86" s="387">
        <v>1</v>
      </c>
      <c r="R86" s="320"/>
      <c r="S86" s="321"/>
      <c r="U86" s="14"/>
      <c r="V86" s="14"/>
      <c r="Y86" s="14"/>
    </row>
    <row r="87" spans="1:25" s="1" customFormat="1" ht="29.25" customHeight="1" x14ac:dyDescent="0.2">
      <c r="A87" s="129"/>
      <c r="B87" s="1056"/>
      <c r="C87" s="12"/>
      <c r="D87" s="150"/>
      <c r="E87" s="1017"/>
      <c r="F87" s="175"/>
      <c r="G87" s="1072"/>
      <c r="H87" s="1068"/>
      <c r="I87" s="735"/>
      <c r="J87" s="270"/>
      <c r="K87" s="694"/>
      <c r="L87" s="231"/>
      <c r="M87" s="240"/>
      <c r="N87" s="529"/>
      <c r="O87" s="611" t="s">
        <v>191</v>
      </c>
      <c r="P87" s="601"/>
      <c r="Q87" s="387"/>
      <c r="R87" s="320">
        <v>1</v>
      </c>
      <c r="S87" s="321"/>
      <c r="U87" s="14"/>
      <c r="V87" s="14"/>
    </row>
    <row r="88" spans="1:25" s="1" customFormat="1" ht="29.25" customHeight="1" x14ac:dyDescent="0.2">
      <c r="A88" s="129"/>
      <c r="B88" s="1056"/>
      <c r="C88" s="12"/>
      <c r="D88" s="446" t="s">
        <v>157</v>
      </c>
      <c r="E88" s="106" t="s">
        <v>123</v>
      </c>
      <c r="F88" s="175"/>
      <c r="G88" s="199">
        <v>11020102</v>
      </c>
      <c r="H88" s="1068"/>
      <c r="I88" s="735"/>
      <c r="J88" s="881" t="s">
        <v>17</v>
      </c>
      <c r="K88" s="461">
        <f>573.3-150</f>
        <v>423.29999999999995</v>
      </c>
      <c r="L88" s="208">
        <v>100</v>
      </c>
      <c r="M88" s="219">
        <v>100</v>
      </c>
      <c r="N88" s="268">
        <v>100</v>
      </c>
      <c r="O88" s="47" t="s">
        <v>339</v>
      </c>
      <c r="P88" s="592"/>
      <c r="Q88" s="597">
        <v>4</v>
      </c>
      <c r="R88" s="320">
        <v>4</v>
      </c>
      <c r="S88" s="116">
        <v>4</v>
      </c>
      <c r="U88" s="14"/>
      <c r="V88" s="14"/>
    </row>
    <row r="89" spans="1:25" s="1" customFormat="1" ht="29.25" customHeight="1" x14ac:dyDescent="0.2">
      <c r="A89" s="129"/>
      <c r="B89" s="1056"/>
      <c r="C89" s="12"/>
      <c r="D89" s="150" t="s">
        <v>158</v>
      </c>
      <c r="E89" s="1558" t="s">
        <v>74</v>
      </c>
      <c r="F89" s="175"/>
      <c r="G89" s="1560">
        <v>11031001</v>
      </c>
      <c r="H89" s="437"/>
      <c r="I89" s="737"/>
      <c r="J89" s="66" t="s">
        <v>17</v>
      </c>
      <c r="K89" s="461">
        <v>10</v>
      </c>
      <c r="L89" s="257">
        <v>10</v>
      </c>
      <c r="M89" s="258">
        <v>10</v>
      </c>
      <c r="N89" s="280">
        <v>10</v>
      </c>
      <c r="O89" s="72" t="s">
        <v>121</v>
      </c>
      <c r="P89" s="380">
        <v>6</v>
      </c>
      <c r="Q89" s="457">
        <v>6</v>
      </c>
      <c r="R89" s="309">
        <v>6</v>
      </c>
      <c r="S89" s="310">
        <v>6</v>
      </c>
      <c r="U89" s="14"/>
      <c r="V89" s="14"/>
      <c r="W89" s="14"/>
      <c r="X89" s="14"/>
    </row>
    <row r="90" spans="1:25" s="1" customFormat="1" ht="15.75" customHeight="1" thickBot="1" x14ac:dyDescent="0.25">
      <c r="A90" s="130"/>
      <c r="B90" s="1021"/>
      <c r="C90" s="15"/>
      <c r="D90" s="448"/>
      <c r="E90" s="1559"/>
      <c r="F90" s="176"/>
      <c r="G90" s="1561"/>
      <c r="H90" s="438"/>
      <c r="I90" s="738"/>
      <c r="J90" s="16" t="s">
        <v>18</v>
      </c>
      <c r="K90" s="497">
        <f>SUM(K39:K89)</f>
        <v>4821.1000000000004</v>
      </c>
      <c r="L90" s="886">
        <f>SUM(L39:L89)</f>
        <v>5133.6000000000004</v>
      </c>
      <c r="M90" s="241">
        <f>SUM(M39:M89)</f>
        <v>5182.5</v>
      </c>
      <c r="N90" s="368">
        <f>SUM(N39:N89)</f>
        <v>5144.5999999999995</v>
      </c>
      <c r="O90" s="89"/>
      <c r="P90" s="583"/>
      <c r="Q90" s="584"/>
      <c r="R90" s="295"/>
      <c r="S90" s="296"/>
      <c r="T90" s="11"/>
    </row>
    <row r="91" spans="1:25" s="1" customFormat="1" ht="17.25" customHeight="1" x14ac:dyDescent="0.2">
      <c r="A91" s="131" t="s">
        <v>13</v>
      </c>
      <c r="B91" s="1020" t="s">
        <v>19</v>
      </c>
      <c r="C91" s="10" t="s">
        <v>19</v>
      </c>
      <c r="D91" s="447"/>
      <c r="E91" s="1562" t="s">
        <v>324</v>
      </c>
      <c r="F91" s="177"/>
      <c r="G91" s="192"/>
      <c r="H91" s="439" t="s">
        <v>16</v>
      </c>
      <c r="I91" s="1725" t="s">
        <v>101</v>
      </c>
      <c r="J91" s="17"/>
      <c r="K91" s="695"/>
      <c r="L91" s="233"/>
      <c r="M91" s="242"/>
      <c r="N91" s="499"/>
      <c r="O91" s="1038" t="s">
        <v>325</v>
      </c>
      <c r="P91" s="1052">
        <v>80</v>
      </c>
      <c r="Q91" s="766">
        <v>100</v>
      </c>
      <c r="R91" s="298">
        <v>110</v>
      </c>
      <c r="S91" s="299">
        <v>115</v>
      </c>
      <c r="U91" s="14"/>
      <c r="V91" s="14"/>
    </row>
    <row r="92" spans="1:25" s="1" customFormat="1" ht="17.25" customHeight="1" x14ac:dyDescent="0.2">
      <c r="A92" s="132"/>
      <c r="B92" s="1056"/>
      <c r="C92" s="12"/>
      <c r="D92" s="150"/>
      <c r="E92" s="1563"/>
      <c r="F92" s="178"/>
      <c r="G92" s="193"/>
      <c r="H92" s="440"/>
      <c r="I92" s="1689"/>
      <c r="J92" s="20"/>
      <c r="K92" s="693"/>
      <c r="L92" s="846"/>
      <c r="M92" s="847"/>
      <c r="N92" s="848"/>
      <c r="O92" s="1054"/>
      <c r="P92" s="59"/>
      <c r="Q92" s="458"/>
      <c r="R92" s="322"/>
      <c r="S92" s="323"/>
      <c r="U92" s="14"/>
    </row>
    <row r="93" spans="1:25" s="1" customFormat="1" ht="30.75" customHeight="1" x14ac:dyDescent="0.2">
      <c r="A93" s="133"/>
      <c r="B93" s="84"/>
      <c r="C93" s="18"/>
      <c r="D93" s="449" t="s">
        <v>13</v>
      </c>
      <c r="E93" s="493" t="s">
        <v>32</v>
      </c>
      <c r="F93" s="178"/>
      <c r="G93" s="1693">
        <v>11030608</v>
      </c>
      <c r="H93" s="441"/>
      <c r="I93" s="1689"/>
      <c r="J93" s="42" t="s">
        <v>17</v>
      </c>
      <c r="K93" s="608">
        <v>355.6</v>
      </c>
      <c r="L93" s="249">
        <v>433.4</v>
      </c>
      <c r="M93" s="836">
        <v>433.4</v>
      </c>
      <c r="N93" s="482">
        <v>433.4</v>
      </c>
      <c r="O93" s="47" t="s">
        <v>113</v>
      </c>
      <c r="P93" s="28">
        <v>170</v>
      </c>
      <c r="Q93" s="364">
        <v>210</v>
      </c>
      <c r="R93" s="592">
        <v>210</v>
      </c>
      <c r="S93" s="116">
        <v>210</v>
      </c>
      <c r="W93" s="14"/>
      <c r="X93" s="14"/>
    </row>
    <row r="94" spans="1:25" s="1" customFormat="1" ht="29.25" customHeight="1" x14ac:dyDescent="0.2">
      <c r="A94" s="133"/>
      <c r="B94" s="84"/>
      <c r="C94" s="18"/>
      <c r="D94" s="607"/>
      <c r="E94" s="109" t="s">
        <v>103</v>
      </c>
      <c r="F94" s="178"/>
      <c r="G94" s="1694"/>
      <c r="H94" s="441"/>
      <c r="I94" s="739"/>
      <c r="J94" s="13" t="s">
        <v>17</v>
      </c>
      <c r="K94" s="1079">
        <v>17.8</v>
      </c>
      <c r="L94" s="962"/>
      <c r="M94" s="839"/>
      <c r="N94" s="963"/>
      <c r="O94" s="1054" t="s">
        <v>115</v>
      </c>
      <c r="P94" s="59">
        <v>190</v>
      </c>
      <c r="Q94" s="458"/>
      <c r="R94" s="317"/>
      <c r="S94" s="318"/>
      <c r="V94" s="14"/>
      <c r="W94" s="14"/>
    </row>
    <row r="95" spans="1:25" s="1" customFormat="1" ht="30" customHeight="1" x14ac:dyDescent="0.2">
      <c r="A95" s="132"/>
      <c r="B95" s="1056"/>
      <c r="C95" s="12"/>
      <c r="D95" s="449" t="s">
        <v>19</v>
      </c>
      <c r="E95" s="109" t="s">
        <v>195</v>
      </c>
      <c r="F95" s="178"/>
      <c r="G95" s="206">
        <v>1102020101</v>
      </c>
      <c r="H95" s="440"/>
      <c r="I95" s="740"/>
      <c r="J95" s="42" t="s">
        <v>17</v>
      </c>
      <c r="K95" s="1691">
        <v>120</v>
      </c>
      <c r="L95" s="213">
        <v>210</v>
      </c>
      <c r="M95" s="223">
        <v>210</v>
      </c>
      <c r="N95" s="218">
        <v>210</v>
      </c>
      <c r="O95" s="107" t="s">
        <v>112</v>
      </c>
      <c r="P95" s="28"/>
      <c r="Q95" s="596">
        <v>40</v>
      </c>
      <c r="R95" s="317">
        <v>40</v>
      </c>
      <c r="S95" s="324">
        <v>40</v>
      </c>
      <c r="U95" s="14"/>
      <c r="V95" s="14" t="s">
        <v>67</v>
      </c>
      <c r="W95" s="14"/>
      <c r="X95" s="14"/>
    </row>
    <row r="96" spans="1:25" s="1" customFormat="1" ht="30" customHeight="1" x14ac:dyDescent="0.2">
      <c r="A96" s="132"/>
      <c r="B96" s="1056"/>
      <c r="C96" s="12"/>
      <c r="D96" s="446" t="s">
        <v>21</v>
      </c>
      <c r="E96" s="493" t="s">
        <v>196</v>
      </c>
      <c r="F96" s="178"/>
      <c r="G96" s="613"/>
      <c r="H96" s="440"/>
      <c r="I96" s="740"/>
      <c r="J96" s="43" t="s">
        <v>17</v>
      </c>
      <c r="K96" s="1692"/>
      <c r="L96" s="231"/>
      <c r="M96" s="240"/>
      <c r="N96" s="529"/>
      <c r="O96" s="107" t="s">
        <v>112</v>
      </c>
      <c r="P96" s="25">
        <v>60</v>
      </c>
      <c r="Q96" s="838">
        <v>30</v>
      </c>
      <c r="R96" s="292">
        <v>30</v>
      </c>
      <c r="S96" s="290">
        <v>30</v>
      </c>
      <c r="U96" s="14"/>
      <c r="V96" s="14"/>
      <c r="W96" s="14"/>
      <c r="X96" s="14"/>
    </row>
    <row r="97" spans="1:25" s="1" customFormat="1" ht="28.5" customHeight="1" x14ac:dyDescent="0.2">
      <c r="A97" s="132"/>
      <c r="B97" s="1056"/>
      <c r="C97" s="12"/>
      <c r="D97" s="449" t="s">
        <v>34</v>
      </c>
      <c r="E97" s="493" t="s">
        <v>197</v>
      </c>
      <c r="F97" s="179"/>
      <c r="G97" s="1693">
        <v>11020204</v>
      </c>
      <c r="H97" s="440"/>
      <c r="I97" s="741"/>
      <c r="J97" s="43" t="s">
        <v>17</v>
      </c>
      <c r="K97" s="696">
        <f>50-7.4</f>
        <v>42.6</v>
      </c>
      <c r="L97" s="505"/>
      <c r="M97" s="506"/>
      <c r="N97" s="507"/>
      <c r="O97" s="1015" t="s">
        <v>341</v>
      </c>
      <c r="P97" s="25">
        <v>6</v>
      </c>
      <c r="Q97" s="838">
        <v>11</v>
      </c>
      <c r="R97" s="292">
        <v>12</v>
      </c>
      <c r="S97" s="293">
        <v>13</v>
      </c>
      <c r="V97" s="14"/>
      <c r="X97" s="14"/>
    </row>
    <row r="98" spans="1:25" s="1" customFormat="1" ht="28.5" customHeight="1" x14ac:dyDescent="0.2">
      <c r="A98" s="132"/>
      <c r="B98" s="1056"/>
      <c r="C98" s="12"/>
      <c r="D98" s="150"/>
      <c r="E98" s="109" t="s">
        <v>103</v>
      </c>
      <c r="F98" s="179"/>
      <c r="G98" s="1694"/>
      <c r="H98" s="440"/>
      <c r="I98" s="741"/>
      <c r="J98" s="42" t="s">
        <v>17</v>
      </c>
      <c r="K98" s="608">
        <v>20</v>
      </c>
      <c r="L98" s="234"/>
      <c r="M98" s="243"/>
      <c r="N98" s="491"/>
      <c r="O98" s="1054" t="s">
        <v>115</v>
      </c>
      <c r="P98" s="59">
        <v>748</v>
      </c>
      <c r="Q98" s="458"/>
      <c r="R98" s="322"/>
      <c r="S98" s="323"/>
      <c r="V98" s="14"/>
      <c r="W98" s="14"/>
    </row>
    <row r="99" spans="1:25" s="1" customFormat="1" ht="29.25" customHeight="1" x14ac:dyDescent="0.2">
      <c r="A99" s="132"/>
      <c r="B99" s="1056"/>
      <c r="C99" s="12"/>
      <c r="D99" s="449" t="s">
        <v>63</v>
      </c>
      <c r="E99" s="1067" t="s">
        <v>33</v>
      </c>
      <c r="F99" s="179"/>
      <c r="G99" s="1760">
        <v>11020202</v>
      </c>
      <c r="H99" s="440"/>
      <c r="I99" s="740"/>
      <c r="J99" s="13" t="s">
        <v>17</v>
      </c>
      <c r="K99" s="1079">
        <v>20</v>
      </c>
      <c r="L99" s="213">
        <v>27</v>
      </c>
      <c r="M99" s="223">
        <v>27</v>
      </c>
      <c r="N99" s="500">
        <v>27</v>
      </c>
      <c r="O99" s="72" t="s">
        <v>342</v>
      </c>
      <c r="P99" s="88">
        <v>237</v>
      </c>
      <c r="Q99" s="457">
        <v>313</v>
      </c>
      <c r="R99" s="309">
        <v>320</v>
      </c>
      <c r="S99" s="310">
        <v>320</v>
      </c>
      <c r="V99" s="14"/>
    </row>
    <row r="100" spans="1:25" s="1" customFormat="1" ht="18.75" customHeight="1" x14ac:dyDescent="0.2">
      <c r="A100" s="132"/>
      <c r="B100" s="1056"/>
      <c r="C100" s="12"/>
      <c r="D100" s="150"/>
      <c r="E100" s="1550" t="s">
        <v>103</v>
      </c>
      <c r="F100" s="179"/>
      <c r="G100" s="1761"/>
      <c r="H100" s="440"/>
      <c r="I100" s="740"/>
      <c r="J100" s="43" t="s">
        <v>17</v>
      </c>
      <c r="K100" s="608">
        <v>2</v>
      </c>
      <c r="L100" s="234"/>
      <c r="M100" s="243"/>
      <c r="N100" s="491"/>
      <c r="O100" s="1062" t="s">
        <v>115</v>
      </c>
      <c r="P100" s="88">
        <v>87</v>
      </c>
      <c r="Q100" s="457"/>
      <c r="R100" s="309"/>
      <c r="S100" s="310"/>
      <c r="V100" s="14"/>
      <c r="W100" s="14"/>
    </row>
    <row r="101" spans="1:25" s="1" customFormat="1" ht="16.5" customHeight="1" x14ac:dyDescent="0.2">
      <c r="A101" s="132"/>
      <c r="B101" s="1056"/>
      <c r="C101" s="12"/>
      <c r="D101" s="150"/>
      <c r="E101" s="1550"/>
      <c r="F101" s="180"/>
      <c r="G101" s="201"/>
      <c r="H101" s="440"/>
      <c r="I101" s="740"/>
      <c r="J101" s="42" t="s">
        <v>43</v>
      </c>
      <c r="K101" s="608">
        <v>17</v>
      </c>
      <c r="L101" s="230">
        <v>18.600000000000001</v>
      </c>
      <c r="M101" s="239">
        <v>18.600000000000001</v>
      </c>
      <c r="N101" s="227">
        <v>18.600000000000001</v>
      </c>
      <c r="O101" s="113"/>
      <c r="P101" s="63"/>
      <c r="Q101" s="964"/>
      <c r="R101" s="325"/>
      <c r="S101" s="326"/>
      <c r="W101" s="1" t="s">
        <v>67</v>
      </c>
    </row>
    <row r="102" spans="1:25" s="1" customFormat="1" ht="15.75" customHeight="1" thickBot="1" x14ac:dyDescent="0.25">
      <c r="A102" s="134"/>
      <c r="B102" s="1021"/>
      <c r="C102" s="15"/>
      <c r="D102" s="448"/>
      <c r="E102" s="1023"/>
      <c r="F102" s="181"/>
      <c r="G102" s="1040"/>
      <c r="H102" s="442"/>
      <c r="I102" s="742"/>
      <c r="J102" s="1018" t="s">
        <v>18</v>
      </c>
      <c r="K102" s="511">
        <f>SUM(K93:K101)</f>
        <v>595</v>
      </c>
      <c r="L102" s="235">
        <f>SUM(L92:L101)</f>
        <v>689</v>
      </c>
      <c r="M102" s="244">
        <f t="shared" ref="M102" si="5">SUM(M92:M101)</f>
        <v>689</v>
      </c>
      <c r="N102" s="228">
        <f>SUM(N92:N101)</f>
        <v>689</v>
      </c>
      <c r="O102" s="1036"/>
      <c r="P102" s="167"/>
      <c r="Q102" s="584"/>
      <c r="R102" s="295"/>
      <c r="S102" s="296"/>
      <c r="V102" s="14"/>
      <c r="W102" s="14"/>
    </row>
    <row r="103" spans="1:25" s="1" customFormat="1" ht="27" customHeight="1" x14ac:dyDescent="0.2">
      <c r="A103" s="135" t="s">
        <v>13</v>
      </c>
      <c r="B103" s="1020" t="s">
        <v>19</v>
      </c>
      <c r="C103" s="1049" t="s">
        <v>21</v>
      </c>
      <c r="D103" s="447"/>
      <c r="E103" s="1549" t="s">
        <v>198</v>
      </c>
      <c r="F103" s="21"/>
      <c r="G103" s="1556">
        <v>11020205</v>
      </c>
      <c r="H103" s="439" t="s">
        <v>16</v>
      </c>
      <c r="I103" s="1725" t="s">
        <v>101</v>
      </c>
      <c r="J103" s="6" t="s">
        <v>17</v>
      </c>
      <c r="K103" s="697">
        <v>576.29999999999995</v>
      </c>
      <c r="L103" s="236">
        <v>583.79999999999995</v>
      </c>
      <c r="M103" s="245">
        <v>600</v>
      </c>
      <c r="N103" s="369">
        <v>604</v>
      </c>
      <c r="O103" s="1545" t="s">
        <v>223</v>
      </c>
      <c r="P103" s="695">
        <v>2.9</v>
      </c>
      <c r="Q103" s="843">
        <v>2.9</v>
      </c>
      <c r="R103" s="844">
        <v>3</v>
      </c>
      <c r="S103" s="845">
        <v>3</v>
      </c>
    </row>
    <row r="104" spans="1:25" s="1" customFormat="1" ht="15.75" customHeight="1" thickBot="1" x14ac:dyDescent="0.25">
      <c r="A104" s="137"/>
      <c r="B104" s="1021"/>
      <c r="C104" s="1087"/>
      <c r="D104" s="448"/>
      <c r="E104" s="1553"/>
      <c r="F104" s="22"/>
      <c r="G104" s="1557"/>
      <c r="H104" s="442"/>
      <c r="I104" s="1690"/>
      <c r="J104" s="1077" t="s">
        <v>18</v>
      </c>
      <c r="K104" s="511">
        <f t="shared" ref="K104:N104" si="6">+K103</f>
        <v>576.29999999999995</v>
      </c>
      <c r="L104" s="235">
        <f t="shared" si="6"/>
        <v>583.79999999999995</v>
      </c>
      <c r="M104" s="224">
        <f t="shared" si="6"/>
        <v>600</v>
      </c>
      <c r="N104" s="216">
        <f t="shared" si="6"/>
        <v>604</v>
      </c>
      <c r="O104" s="1460"/>
      <c r="P104" s="167"/>
      <c r="Q104" s="294"/>
      <c r="R104" s="295"/>
      <c r="S104" s="296"/>
    </row>
    <row r="105" spans="1:25" s="617" customFormat="1" ht="17.25" customHeight="1" x14ac:dyDescent="0.2">
      <c r="A105" s="136" t="s">
        <v>13</v>
      </c>
      <c r="B105" s="1056" t="s">
        <v>19</v>
      </c>
      <c r="C105" s="1050" t="s">
        <v>34</v>
      </c>
      <c r="D105" s="150"/>
      <c r="E105" s="1525" t="s">
        <v>199</v>
      </c>
      <c r="F105" s="614"/>
      <c r="G105" s="1551">
        <v>11020406</v>
      </c>
      <c r="H105" s="1024">
        <v>2</v>
      </c>
      <c r="I105" s="1771" t="s">
        <v>131</v>
      </c>
      <c r="J105" s="621" t="s">
        <v>17</v>
      </c>
      <c r="K105" s="697"/>
      <c r="L105" s="929">
        <f>156.5-63.5</f>
        <v>93</v>
      </c>
      <c r="M105" s="245">
        <v>156.5</v>
      </c>
      <c r="N105" s="422">
        <v>156.5</v>
      </c>
      <c r="O105" s="1545" t="s">
        <v>200</v>
      </c>
      <c r="P105" s="615"/>
      <c r="Q105" s="384">
        <v>2019</v>
      </c>
      <c r="R105" s="309">
        <v>2058</v>
      </c>
      <c r="S105" s="310">
        <v>2060</v>
      </c>
      <c r="T105" s="616"/>
      <c r="X105" s="618"/>
      <c r="Y105" s="616"/>
    </row>
    <row r="106" spans="1:25" s="617" customFormat="1" ht="15.75" customHeight="1" thickBot="1" x14ac:dyDescent="0.25">
      <c r="A106" s="136"/>
      <c r="B106" s="1056"/>
      <c r="C106" s="1050"/>
      <c r="D106" s="150"/>
      <c r="E106" s="1526"/>
      <c r="F106" s="619"/>
      <c r="G106" s="1552"/>
      <c r="H106" s="1025"/>
      <c r="I106" s="1772"/>
      <c r="J106" s="1074" t="s">
        <v>18</v>
      </c>
      <c r="K106" s="698">
        <f>SUM(K105:K105)</f>
        <v>0</v>
      </c>
      <c r="L106" s="486">
        <f>+L105</f>
        <v>93</v>
      </c>
      <c r="M106" s="485">
        <f>+M105</f>
        <v>156.5</v>
      </c>
      <c r="N106" s="487">
        <f>+N105</f>
        <v>156.5</v>
      </c>
      <c r="O106" s="1460"/>
      <c r="P106" s="615"/>
      <c r="Q106" s="384"/>
      <c r="R106" s="309"/>
      <c r="S106" s="310"/>
      <c r="X106" s="618"/>
      <c r="Y106" s="616"/>
    </row>
    <row r="107" spans="1:25" s="617" customFormat="1" ht="21" customHeight="1" x14ac:dyDescent="0.2">
      <c r="A107" s="135" t="s">
        <v>13</v>
      </c>
      <c r="B107" s="1020" t="s">
        <v>19</v>
      </c>
      <c r="C107" s="1049" t="s">
        <v>63</v>
      </c>
      <c r="D107" s="447"/>
      <c r="E107" s="1549" t="s">
        <v>201</v>
      </c>
      <c r="F107" s="620"/>
      <c r="G107" s="1554">
        <v>11020205</v>
      </c>
      <c r="H107" s="1024" t="s">
        <v>16</v>
      </c>
      <c r="I107" s="1687" t="s">
        <v>101</v>
      </c>
      <c r="J107" s="621" t="s">
        <v>17</v>
      </c>
      <c r="K107" s="697"/>
      <c r="L107" s="236">
        <v>5.4</v>
      </c>
      <c r="M107" s="245">
        <v>5.4</v>
      </c>
      <c r="N107" s="369">
        <v>5.4</v>
      </c>
      <c r="O107" s="48" t="s">
        <v>202</v>
      </c>
      <c r="P107" s="622"/>
      <c r="Q107" s="582">
        <v>18</v>
      </c>
      <c r="R107" s="307">
        <v>18</v>
      </c>
      <c r="S107" s="173">
        <v>18</v>
      </c>
      <c r="T107" s="616"/>
      <c r="V107" s="842"/>
      <c r="Y107" s="616"/>
    </row>
    <row r="108" spans="1:25" s="617" customFormat="1" ht="18" customHeight="1" thickBot="1" x14ac:dyDescent="0.25">
      <c r="A108" s="137"/>
      <c r="B108" s="1021"/>
      <c r="C108" s="1087"/>
      <c r="D108" s="448"/>
      <c r="E108" s="1553"/>
      <c r="F108" s="623"/>
      <c r="G108" s="1555"/>
      <c r="H108" s="1025"/>
      <c r="I108" s="1745"/>
      <c r="J108" s="624" t="s">
        <v>18</v>
      </c>
      <c r="K108" s="543">
        <f>+K107</f>
        <v>0</v>
      </c>
      <c r="L108" s="214">
        <f>+L107</f>
        <v>5.4</v>
      </c>
      <c r="M108" s="224">
        <f>+M107</f>
        <v>5.4</v>
      </c>
      <c r="N108" s="376">
        <f>+N107</f>
        <v>5.4</v>
      </c>
      <c r="O108" s="625" t="s">
        <v>203</v>
      </c>
      <c r="P108" s="626"/>
      <c r="Q108" s="627">
        <v>120</v>
      </c>
      <c r="R108" s="628">
        <v>130</v>
      </c>
      <c r="S108" s="629">
        <v>140</v>
      </c>
      <c r="Y108" s="616"/>
    </row>
    <row r="109" spans="1:25" s="617" customFormat="1" ht="27" customHeight="1" x14ac:dyDescent="0.2">
      <c r="A109" s="135" t="s">
        <v>13</v>
      </c>
      <c r="B109" s="1020" t="s">
        <v>19</v>
      </c>
      <c r="C109" s="1049" t="s">
        <v>156</v>
      </c>
      <c r="D109" s="447"/>
      <c r="E109" s="1549" t="s">
        <v>165</v>
      </c>
      <c r="F109" s="620"/>
      <c r="G109" s="1554">
        <v>11020205</v>
      </c>
      <c r="H109" s="1024">
        <v>1</v>
      </c>
      <c r="I109" s="1687" t="s">
        <v>106</v>
      </c>
      <c r="J109" s="621" t="s">
        <v>17</v>
      </c>
      <c r="K109" s="697"/>
      <c r="L109" s="279">
        <v>12.6</v>
      </c>
      <c r="M109" s="373">
        <v>30</v>
      </c>
      <c r="N109" s="369">
        <v>30</v>
      </c>
      <c r="O109" s="510" t="s">
        <v>318</v>
      </c>
      <c r="P109" s="168"/>
      <c r="Q109" s="338">
        <v>100</v>
      </c>
      <c r="R109" s="298">
        <v>100</v>
      </c>
      <c r="S109" s="1052">
        <v>100</v>
      </c>
      <c r="T109" s="616"/>
      <c r="Y109" s="616"/>
    </row>
    <row r="110" spans="1:25" s="617" customFormat="1" ht="18" customHeight="1" thickBot="1" x14ac:dyDescent="0.25">
      <c r="A110" s="137"/>
      <c r="B110" s="1021"/>
      <c r="C110" s="1087"/>
      <c r="D110" s="448"/>
      <c r="E110" s="1553"/>
      <c r="F110" s="623"/>
      <c r="G110" s="1555"/>
      <c r="H110" s="1025"/>
      <c r="I110" s="1745"/>
      <c r="J110" s="624" t="s">
        <v>18</v>
      </c>
      <c r="K110" s="543">
        <f>+K109</f>
        <v>0</v>
      </c>
      <c r="L110" s="209">
        <f>+L109</f>
        <v>12.6</v>
      </c>
      <c r="M110" s="220">
        <f>+M109</f>
        <v>30</v>
      </c>
      <c r="N110" s="376">
        <f>+N109</f>
        <v>30</v>
      </c>
      <c r="O110" s="89"/>
      <c r="P110" s="840"/>
      <c r="Q110" s="841"/>
      <c r="R110" s="295"/>
      <c r="S110" s="1053"/>
      <c r="Y110" s="616"/>
    </row>
    <row r="111" spans="1:25" s="1" customFormat="1" ht="15.75" customHeight="1" x14ac:dyDescent="0.2">
      <c r="A111" s="135" t="s">
        <v>13</v>
      </c>
      <c r="B111" s="1020" t="s">
        <v>19</v>
      </c>
      <c r="C111" s="1049" t="s">
        <v>157</v>
      </c>
      <c r="D111" s="150"/>
      <c r="E111" s="1572" t="s">
        <v>124</v>
      </c>
      <c r="F111" s="115"/>
      <c r="G111" s="1574">
        <v>11020406</v>
      </c>
      <c r="H111" s="444">
        <v>2</v>
      </c>
      <c r="I111" s="1689"/>
      <c r="J111" s="42" t="s">
        <v>17</v>
      </c>
      <c r="K111" s="662">
        <v>19.2</v>
      </c>
      <c r="L111" s="237"/>
      <c r="M111" s="246"/>
      <c r="N111" s="229"/>
      <c r="O111" s="1459" t="s">
        <v>122</v>
      </c>
      <c r="P111" s="169">
        <v>2</v>
      </c>
      <c r="Q111" s="291">
        <v>2</v>
      </c>
      <c r="R111" s="292"/>
      <c r="S111" s="293"/>
    </row>
    <row r="112" spans="1:25" s="1" customFormat="1" ht="15.75" customHeight="1" x14ac:dyDescent="0.2">
      <c r="A112" s="136"/>
      <c r="B112" s="1056"/>
      <c r="C112" s="1050"/>
      <c r="D112" s="150"/>
      <c r="E112" s="1775"/>
      <c r="F112" s="115"/>
      <c r="G112" s="1586"/>
      <c r="H112" s="440"/>
      <c r="I112" s="1689"/>
      <c r="J112" s="43" t="s">
        <v>79</v>
      </c>
      <c r="K112" s="662"/>
      <c r="L112" s="237">
        <v>17.7</v>
      </c>
      <c r="M112" s="246"/>
      <c r="N112" s="229"/>
      <c r="O112" s="1581"/>
      <c r="P112" s="857"/>
      <c r="Q112" s="1080"/>
      <c r="R112" s="309"/>
      <c r="S112" s="310"/>
    </row>
    <row r="113" spans="1:26" s="1" customFormat="1" ht="15.75" customHeight="1" thickBot="1" x14ac:dyDescent="0.25">
      <c r="A113" s="137"/>
      <c r="B113" s="1021"/>
      <c r="C113" s="1087"/>
      <c r="D113" s="448"/>
      <c r="E113" s="1573"/>
      <c r="F113" s="22"/>
      <c r="G113" s="1575"/>
      <c r="H113" s="442"/>
      <c r="I113" s="1690"/>
      <c r="J113" s="1018" t="s">
        <v>18</v>
      </c>
      <c r="K113" s="511">
        <f>SUM(K111:K111)</f>
        <v>19.2</v>
      </c>
      <c r="L113" s="235">
        <f>SUM(L111:L112)</f>
        <v>17.7</v>
      </c>
      <c r="M113" s="244"/>
      <c r="N113" s="512"/>
      <c r="O113" s="1460"/>
      <c r="P113" s="167"/>
      <c r="Q113" s="294"/>
      <c r="R113" s="295"/>
      <c r="S113" s="296"/>
    </row>
    <row r="114" spans="1:26" s="1" customFormat="1" ht="36" customHeight="1" x14ac:dyDescent="0.2">
      <c r="A114" s="135"/>
      <c r="B114" s="1020"/>
      <c r="C114" s="1049"/>
      <c r="D114" s="447"/>
      <c r="E114" s="1549" t="s">
        <v>109</v>
      </c>
      <c r="F114" s="90" t="s">
        <v>36</v>
      </c>
      <c r="G114" s="1699">
        <v>11020206</v>
      </c>
      <c r="H114" s="443">
        <v>1</v>
      </c>
      <c r="I114" s="1725"/>
      <c r="J114" s="6" t="s">
        <v>17</v>
      </c>
      <c r="K114" s="697">
        <v>30</v>
      </c>
      <c r="L114" s="279"/>
      <c r="M114" s="373"/>
      <c r="N114" s="369"/>
      <c r="O114" s="1545" t="s">
        <v>110</v>
      </c>
      <c r="P114" s="168">
        <v>2</v>
      </c>
      <c r="Q114" s="297"/>
      <c r="R114" s="298"/>
      <c r="S114" s="299"/>
      <c r="V114" s="14"/>
    </row>
    <row r="115" spans="1:26" s="1" customFormat="1" ht="17.25" customHeight="1" thickBot="1" x14ac:dyDescent="0.25">
      <c r="A115" s="137"/>
      <c r="B115" s="1021"/>
      <c r="C115" s="1087"/>
      <c r="D115" s="448"/>
      <c r="E115" s="1553"/>
      <c r="F115" s="864"/>
      <c r="G115" s="1575"/>
      <c r="H115" s="442"/>
      <c r="I115" s="1690"/>
      <c r="J115" s="1077" t="s">
        <v>18</v>
      </c>
      <c r="K115" s="511">
        <f>+K114</f>
        <v>30</v>
      </c>
      <c r="L115" s="508"/>
      <c r="M115" s="509"/>
      <c r="N115" s="370"/>
      <c r="O115" s="1460"/>
      <c r="P115" s="167"/>
      <c r="Q115" s="294"/>
      <c r="R115" s="295"/>
      <c r="S115" s="296"/>
    </row>
    <row r="116" spans="1:26" s="1" customFormat="1" ht="13.5" thickBot="1" x14ac:dyDescent="0.25">
      <c r="A116" s="1048" t="s">
        <v>13</v>
      </c>
      <c r="B116" s="1021" t="s">
        <v>19</v>
      </c>
      <c r="C116" s="1568" t="s">
        <v>22</v>
      </c>
      <c r="D116" s="1568"/>
      <c r="E116" s="1568"/>
      <c r="F116" s="1568"/>
      <c r="G116" s="1568"/>
      <c r="H116" s="1568"/>
      <c r="I116" s="1568"/>
      <c r="J116" s="1568"/>
      <c r="K116" s="664">
        <f>+K113+K104+K115+K102+K90+K106+K108</f>
        <v>6041.6</v>
      </c>
      <c r="L116" s="238">
        <f>+L113+L104+L115+L102+L90+L106+L108+L110</f>
        <v>6535.1</v>
      </c>
      <c r="M116" s="247">
        <f>+M113+M104+M115+M102+M90+M106+M108+M110</f>
        <v>6663.4</v>
      </c>
      <c r="N116" s="371">
        <f>+N113+N104+N115+N102+N90+N106+N108+N110</f>
        <v>6629.4999999999991</v>
      </c>
      <c r="O116" s="1569"/>
      <c r="P116" s="1570"/>
      <c r="Q116" s="1570"/>
      <c r="R116" s="1570"/>
      <c r="S116" s="1571"/>
      <c r="W116" s="14"/>
    </row>
    <row r="117" spans="1:26" s="1" customFormat="1" ht="15.75" customHeight="1" thickBot="1" x14ac:dyDescent="0.25">
      <c r="A117" s="138" t="s">
        <v>13</v>
      </c>
      <c r="B117" s="23" t="s">
        <v>21</v>
      </c>
      <c r="C117" s="1528" t="s">
        <v>35</v>
      </c>
      <c r="D117" s="1528"/>
      <c r="E117" s="1528"/>
      <c r="F117" s="1528"/>
      <c r="G117" s="1564"/>
      <c r="H117" s="1564"/>
      <c r="I117" s="1564"/>
      <c r="J117" s="1564"/>
      <c r="K117" s="1564"/>
      <c r="L117" s="1564"/>
      <c r="M117" s="1564"/>
      <c r="N117" s="1564"/>
      <c r="O117" s="1528"/>
      <c r="P117" s="1528"/>
      <c r="Q117" s="1528"/>
      <c r="R117" s="1528"/>
      <c r="S117" s="1529"/>
      <c r="W117" s="14"/>
    </row>
    <row r="118" spans="1:26" s="617" customFormat="1" ht="27" customHeight="1" x14ac:dyDescent="0.2">
      <c r="A118" s="131" t="s">
        <v>13</v>
      </c>
      <c r="B118" s="1487" t="s">
        <v>21</v>
      </c>
      <c r="C118" s="1565" t="s">
        <v>13</v>
      </c>
      <c r="D118" s="1032"/>
      <c r="E118" s="1549" t="s">
        <v>204</v>
      </c>
      <c r="F118" s="668"/>
      <c r="G118" s="669"/>
      <c r="H118" s="630">
        <v>2</v>
      </c>
      <c r="I118" s="1746"/>
      <c r="J118" s="631" t="s">
        <v>17</v>
      </c>
      <c r="K118" s="670"/>
      <c r="L118" s="369">
        <v>18</v>
      </c>
      <c r="M118" s="632"/>
      <c r="N118" s="633"/>
      <c r="O118" s="634" t="s">
        <v>205</v>
      </c>
      <c r="P118" s="671"/>
      <c r="Q118" s="338">
        <v>1</v>
      </c>
      <c r="R118" s="339"/>
      <c r="S118" s="340"/>
      <c r="T118" s="616"/>
    </row>
    <row r="119" spans="1:26" s="617" customFormat="1" ht="16.5" customHeight="1" thickBot="1" x14ac:dyDescent="0.25">
      <c r="A119" s="134"/>
      <c r="B119" s="1489"/>
      <c r="C119" s="1566"/>
      <c r="D119" s="1032"/>
      <c r="E119" s="1553"/>
      <c r="F119" s="672"/>
      <c r="G119" s="673"/>
      <c r="H119" s="674"/>
      <c r="I119" s="1747"/>
      <c r="J119" s="1073" t="s">
        <v>18</v>
      </c>
      <c r="K119" s="497"/>
      <c r="L119" s="635">
        <f>+L118</f>
        <v>18</v>
      </c>
      <c r="M119" s="241"/>
      <c r="N119" s="497"/>
      <c r="O119" s="675"/>
      <c r="P119" s="676"/>
      <c r="Q119" s="314"/>
      <c r="R119" s="315"/>
      <c r="S119" s="316"/>
      <c r="T119" s="616"/>
    </row>
    <row r="120" spans="1:26" s="1" customFormat="1" ht="15.75" customHeight="1" x14ac:dyDescent="0.2">
      <c r="A120" s="139" t="s">
        <v>13</v>
      </c>
      <c r="B120" s="86" t="s">
        <v>21</v>
      </c>
      <c r="C120" s="24" t="s">
        <v>19</v>
      </c>
      <c r="D120" s="450"/>
      <c r="E120" s="1562" t="s">
        <v>39</v>
      </c>
      <c r="F120" s="68"/>
      <c r="G120" s="202"/>
      <c r="H120" s="56"/>
      <c r="I120" s="743"/>
      <c r="J120" s="996"/>
      <c r="K120" s="715"/>
      <c r="L120" s="279"/>
      <c r="M120" s="373"/>
      <c r="N120" s="657"/>
      <c r="O120" s="260"/>
      <c r="P120" s="1052"/>
      <c r="Q120" s="382"/>
      <c r="R120" s="327"/>
      <c r="S120" s="328"/>
      <c r="U120" s="14"/>
      <c r="V120" s="14"/>
    </row>
    <row r="121" spans="1:26" s="1" customFormat="1" ht="15.75" customHeight="1" x14ac:dyDescent="0.2">
      <c r="A121" s="140"/>
      <c r="B121" s="1085"/>
      <c r="C121" s="1069"/>
      <c r="D121" s="1032"/>
      <c r="E121" s="1567"/>
      <c r="F121" s="69"/>
      <c r="G121" s="203"/>
      <c r="H121" s="122"/>
      <c r="I121" s="744"/>
      <c r="J121" s="363"/>
      <c r="K121" s="995"/>
      <c r="L121" s="537"/>
      <c r="M121" s="535"/>
      <c r="N121" s="952"/>
      <c r="O121" s="261"/>
      <c r="P121" s="88"/>
      <c r="Q121" s="383"/>
      <c r="R121" s="360"/>
      <c r="S121" s="361"/>
      <c r="U121" s="14"/>
      <c r="V121" s="14"/>
    </row>
    <row r="122" spans="1:26" s="1" customFormat="1" ht="29.25" customHeight="1" x14ac:dyDescent="0.2">
      <c r="A122" s="136"/>
      <c r="B122" s="1056"/>
      <c r="C122" s="1069"/>
      <c r="D122" s="1031" t="s">
        <v>13</v>
      </c>
      <c r="E122" s="1033" t="s">
        <v>88</v>
      </c>
      <c r="F122" s="997" t="s">
        <v>36</v>
      </c>
      <c r="G122" s="1574">
        <v>1101012101</v>
      </c>
      <c r="H122" s="174">
        <v>5</v>
      </c>
      <c r="I122" s="745" t="s">
        <v>87</v>
      </c>
      <c r="J122" s="183"/>
      <c r="K122" s="716"/>
      <c r="L122" s="717"/>
      <c r="M122" s="254"/>
      <c r="N122" s="718"/>
      <c r="O122" s="190"/>
      <c r="P122" s="172"/>
      <c r="Q122" s="385"/>
      <c r="R122" s="329"/>
      <c r="S122" s="330"/>
      <c r="T122" s="110"/>
      <c r="U122" s="93"/>
      <c r="V122" s="111"/>
      <c r="W122" s="157"/>
      <c r="X122" s="158"/>
      <c r="Y122" s="111"/>
      <c r="Z122" s="111"/>
    </row>
    <row r="123" spans="1:26" s="1" customFormat="1" ht="15.75" customHeight="1" x14ac:dyDescent="0.2">
      <c r="A123" s="136"/>
      <c r="B123" s="1056"/>
      <c r="C123" s="1069"/>
      <c r="D123" s="1032"/>
      <c r="E123" s="104" t="s">
        <v>86</v>
      </c>
      <c r="F123" s="1587" t="s">
        <v>42</v>
      </c>
      <c r="G123" s="1586"/>
      <c r="H123" s="26"/>
      <c r="I123" s="746"/>
      <c r="J123" s="183" t="s">
        <v>79</v>
      </c>
      <c r="K123" s="767">
        <v>372.4</v>
      </c>
      <c r="L123" s="717"/>
      <c r="M123" s="677"/>
      <c r="N123" s="718"/>
      <c r="O123" s="263" t="s">
        <v>40</v>
      </c>
      <c r="P123" s="276">
        <v>10</v>
      </c>
      <c r="Q123" s="377">
        <v>50</v>
      </c>
      <c r="R123" s="331">
        <v>100</v>
      </c>
      <c r="S123" s="276"/>
      <c r="U123" s="112"/>
      <c r="V123" s="311"/>
      <c r="W123" s="515"/>
      <c r="X123" s="835"/>
      <c r="Y123" s="111"/>
      <c r="Z123" s="111"/>
    </row>
    <row r="124" spans="1:26" s="1" customFormat="1" ht="15.75" customHeight="1" x14ac:dyDescent="0.2">
      <c r="A124" s="136"/>
      <c r="B124" s="1056"/>
      <c r="C124" s="1069"/>
      <c r="D124" s="1032"/>
      <c r="E124" s="105"/>
      <c r="F124" s="1669"/>
      <c r="G124" s="1586"/>
      <c r="H124" s="26"/>
      <c r="I124" s="746"/>
      <c r="J124" s="480" t="s">
        <v>17</v>
      </c>
      <c r="K124" s="767"/>
      <c r="L124" s="717">
        <v>409.6</v>
      </c>
      <c r="M124" s="677"/>
      <c r="N124" s="718"/>
      <c r="O124" s="264"/>
      <c r="P124" s="171"/>
      <c r="Q124" s="377"/>
      <c r="R124" s="331"/>
      <c r="S124" s="171"/>
      <c r="T124" s="991"/>
      <c r="U124" s="991"/>
      <c r="V124" s="991"/>
      <c r="W124" s="515"/>
      <c r="X124" s="835"/>
      <c r="Y124" s="111"/>
      <c r="Z124" s="111"/>
    </row>
    <row r="125" spans="1:26" s="1" customFormat="1" ht="15.75" customHeight="1" x14ac:dyDescent="0.2">
      <c r="A125" s="136"/>
      <c r="B125" s="1056"/>
      <c r="C125" s="1069"/>
      <c r="D125" s="1032"/>
      <c r="E125" s="105"/>
      <c r="F125" s="1669"/>
      <c r="G125" s="1586"/>
      <c r="H125" s="26"/>
      <c r="I125" s="746"/>
      <c r="J125" s="480" t="s">
        <v>225</v>
      </c>
      <c r="K125" s="767"/>
      <c r="L125" s="717">
        <v>1500</v>
      </c>
      <c r="M125" s="677">
        <v>1913.5</v>
      </c>
      <c r="N125" s="718"/>
      <c r="O125" s="264"/>
      <c r="P125" s="171"/>
      <c r="Q125" s="377"/>
      <c r="R125" s="331"/>
      <c r="S125" s="171"/>
      <c r="T125" s="991"/>
      <c r="U125" s="991"/>
      <c r="V125" s="991"/>
      <c r="W125" s="515"/>
      <c r="X125" s="835"/>
      <c r="Y125" s="111"/>
      <c r="Z125" s="111"/>
    </row>
    <row r="126" spans="1:26" s="1" customFormat="1" ht="15.75" customHeight="1" x14ac:dyDescent="0.2">
      <c r="A126" s="136"/>
      <c r="B126" s="1056"/>
      <c r="C126" s="1069"/>
      <c r="D126" s="1032"/>
      <c r="E126" s="105"/>
      <c r="F126" s="1669"/>
      <c r="G126" s="1586"/>
      <c r="H126" s="26"/>
      <c r="I126" s="746"/>
      <c r="J126" s="649" t="s">
        <v>43</v>
      </c>
      <c r="K126" s="767">
        <v>42.3</v>
      </c>
      <c r="L126" s="93"/>
      <c r="M126" s="1112"/>
      <c r="N126" s="718"/>
      <c r="O126" s="264"/>
      <c r="P126" s="171"/>
      <c r="Q126" s="377"/>
      <c r="R126" s="331"/>
      <c r="S126" s="171"/>
      <c r="T126" s="991"/>
      <c r="U126" s="991"/>
      <c r="V126" s="991"/>
      <c r="W126" s="834"/>
      <c r="X126" s="158"/>
      <c r="Y126" s="111"/>
      <c r="Z126" s="111"/>
    </row>
    <row r="127" spans="1:26" s="1" customFormat="1" ht="15.75" customHeight="1" x14ac:dyDescent="0.2">
      <c r="A127" s="136"/>
      <c r="B127" s="1105"/>
      <c r="C127" s="1107"/>
      <c r="D127" s="1106"/>
      <c r="E127" s="105"/>
      <c r="F127" s="1669"/>
      <c r="G127" s="1104"/>
      <c r="H127" s="26"/>
      <c r="I127" s="746"/>
      <c r="J127" s="649" t="s">
        <v>37</v>
      </c>
      <c r="K127" s="768"/>
      <c r="L127" s="717">
        <v>51.5</v>
      </c>
      <c r="M127" s="1110">
        <v>54.9</v>
      </c>
      <c r="N127" s="718"/>
      <c r="O127" s="264"/>
      <c r="P127" s="171"/>
      <c r="Q127" s="386"/>
      <c r="R127" s="332"/>
      <c r="S127" s="171"/>
      <c r="T127" s="991"/>
      <c r="U127" s="991"/>
      <c r="V127" s="991"/>
      <c r="W127" s="834"/>
      <c r="X127" s="158"/>
      <c r="Y127" s="111"/>
      <c r="Z127" s="111"/>
    </row>
    <row r="128" spans="1:26" s="1" customFormat="1" ht="15.75" customHeight="1" x14ac:dyDescent="0.2">
      <c r="A128" s="136"/>
      <c r="B128" s="1056"/>
      <c r="C128" s="1069"/>
      <c r="D128" s="1032"/>
      <c r="E128" s="105"/>
      <c r="F128" s="1669"/>
      <c r="G128" s="194"/>
      <c r="H128" s="26"/>
      <c r="I128" s="746"/>
      <c r="J128" s="480" t="s">
        <v>41</v>
      </c>
      <c r="K128" s="768">
        <v>478.9</v>
      </c>
      <c r="L128" s="717"/>
      <c r="M128" s="1110"/>
      <c r="N128" s="718"/>
      <c r="O128" s="264"/>
      <c r="P128" s="171"/>
      <c r="Q128" s="386"/>
      <c r="R128" s="332"/>
      <c r="S128" s="171"/>
      <c r="T128" s="991"/>
      <c r="U128" s="991"/>
      <c r="V128" s="991"/>
      <c r="W128" s="157"/>
      <c r="X128" s="158"/>
      <c r="Y128" s="111"/>
      <c r="Z128" s="111"/>
    </row>
    <row r="129" spans="1:27" s="1" customFormat="1" ht="15.75" customHeight="1" x14ac:dyDescent="0.2">
      <c r="A129" s="136"/>
      <c r="B129" s="1105"/>
      <c r="C129" s="1107"/>
      <c r="D129" s="1106"/>
      <c r="E129" s="105"/>
      <c r="F129" s="1669"/>
      <c r="G129" s="194"/>
      <c r="H129" s="26"/>
      <c r="I129" s="746"/>
      <c r="J129" s="480" t="s">
        <v>81</v>
      </c>
      <c r="K129" s="768"/>
      <c r="L129" s="717">
        <v>583.20000000000005</v>
      </c>
      <c r="M129" s="1110">
        <v>621.70000000000005</v>
      </c>
      <c r="N129" s="718"/>
      <c r="O129" s="264"/>
      <c r="P129" s="171"/>
      <c r="Q129" s="386"/>
      <c r="R129" s="332"/>
      <c r="S129" s="171"/>
      <c r="T129" s="991"/>
      <c r="U129" s="991"/>
      <c r="V129" s="991"/>
      <c r="W129" s="157"/>
      <c r="X129" s="158"/>
      <c r="Y129" s="111"/>
      <c r="Z129" s="111"/>
    </row>
    <row r="130" spans="1:27" s="1" customFormat="1" ht="15.75" customHeight="1" x14ac:dyDescent="0.2">
      <c r="A130" s="136"/>
      <c r="B130" s="1056"/>
      <c r="C130" s="1069"/>
      <c r="D130" s="1032"/>
      <c r="E130" s="104" t="s">
        <v>108</v>
      </c>
      <c r="F130" s="1669"/>
      <c r="G130" s="194"/>
      <c r="H130" s="26"/>
      <c r="I130" s="746"/>
      <c r="J130" s="183" t="s">
        <v>79</v>
      </c>
      <c r="K130" s="767">
        <v>565.79999999999995</v>
      </c>
      <c r="L130" s="717"/>
      <c r="M130" s="254"/>
      <c r="N130" s="718"/>
      <c r="O130" s="263" t="s">
        <v>40</v>
      </c>
      <c r="P130" s="276">
        <v>10</v>
      </c>
      <c r="Q130" s="649"/>
      <c r="R130" s="527"/>
      <c r="S130" s="276">
        <v>80</v>
      </c>
      <c r="T130" s="991"/>
      <c r="U130" s="991"/>
      <c r="V130" s="991"/>
      <c r="W130" s="112"/>
      <c r="X130" s="112"/>
      <c r="Y130" s="111"/>
      <c r="Z130" s="111"/>
    </row>
    <row r="131" spans="1:27" s="1" customFormat="1" ht="15.75" customHeight="1" x14ac:dyDescent="0.2">
      <c r="A131" s="136"/>
      <c r="B131" s="1056"/>
      <c r="C131" s="1069"/>
      <c r="D131" s="1032"/>
      <c r="E131" s="105"/>
      <c r="F131" s="1030"/>
      <c r="G131" s="194"/>
      <c r="H131" s="26"/>
      <c r="I131" s="746"/>
      <c r="J131" s="480" t="s">
        <v>17</v>
      </c>
      <c r="K131" s="768"/>
      <c r="L131" s="516"/>
      <c r="M131" s="865"/>
      <c r="N131" s="865">
        <v>4000</v>
      </c>
      <c r="O131" s="264"/>
      <c r="P131" s="171"/>
      <c r="Q131" s="386"/>
      <c r="R131" s="332"/>
      <c r="S131" s="333"/>
      <c r="T131" s="992"/>
      <c r="U131" s="993"/>
      <c r="V131" s="993"/>
      <c r="W131" s="112"/>
      <c r="X131" s="112"/>
      <c r="Y131" s="111"/>
      <c r="Z131" s="111"/>
    </row>
    <row r="132" spans="1:27" s="1" customFormat="1" ht="17.25" customHeight="1" x14ac:dyDescent="0.2">
      <c r="A132" s="136"/>
      <c r="B132" s="1056"/>
      <c r="C132" s="1069"/>
      <c r="D132" s="1671" t="s">
        <v>19</v>
      </c>
      <c r="E132" s="1672" t="s">
        <v>222</v>
      </c>
      <c r="F132" s="1673" t="s">
        <v>36</v>
      </c>
      <c r="G132" s="861">
        <v>11010116</v>
      </c>
      <c r="H132" s="1668">
        <v>5</v>
      </c>
      <c r="I132" s="1773" t="s">
        <v>87</v>
      </c>
      <c r="J132" s="183" t="s">
        <v>17</v>
      </c>
      <c r="K132" s="768">
        <v>589.6</v>
      </c>
      <c r="L132" s="774">
        <v>384.3</v>
      </c>
      <c r="M132" s="253">
        <v>500</v>
      </c>
      <c r="N132" s="251"/>
      <c r="O132" s="1700" t="s">
        <v>44</v>
      </c>
      <c r="P132" s="276">
        <v>40</v>
      </c>
      <c r="Q132" s="362">
        <v>60</v>
      </c>
      <c r="R132" s="334">
        <v>100</v>
      </c>
      <c r="S132" s="335"/>
      <c r="T132" s="110"/>
      <c r="U132" s="93"/>
      <c r="V132" s="111"/>
      <c r="W132" s="93"/>
      <c r="X132" s="111"/>
      <c r="Y132" s="93"/>
      <c r="Z132" s="93"/>
    </row>
    <row r="133" spans="1:27" s="1" customFormat="1" ht="17.25" customHeight="1" x14ac:dyDescent="0.2">
      <c r="A133" s="136"/>
      <c r="B133" s="1056"/>
      <c r="C133" s="1069"/>
      <c r="D133" s="1589"/>
      <c r="E133" s="1591"/>
      <c r="F133" s="1593"/>
      <c r="G133" s="862"/>
      <c r="H133" s="1594"/>
      <c r="I133" s="1774"/>
      <c r="J133" s="183" t="s">
        <v>79</v>
      </c>
      <c r="K133" s="768"/>
      <c r="L133" s="1090">
        <v>544.79999999999995</v>
      </c>
      <c r="M133" s="253"/>
      <c r="N133" s="251"/>
      <c r="O133" s="1769"/>
      <c r="P133" s="171"/>
      <c r="Q133" s="384"/>
      <c r="R133" s="312"/>
      <c r="S133" s="313"/>
      <c r="T133" s="110"/>
      <c r="U133" s="93"/>
      <c r="V133" s="111"/>
      <c r="W133" s="93"/>
      <c r="X133" s="111"/>
      <c r="Y133" s="93"/>
      <c r="Z133" s="93"/>
    </row>
    <row r="134" spans="1:27" s="1" customFormat="1" ht="17.25" customHeight="1" x14ac:dyDescent="0.2">
      <c r="A134" s="136"/>
      <c r="B134" s="1056"/>
      <c r="C134" s="1069"/>
      <c r="D134" s="858"/>
      <c r="E134" s="1034"/>
      <c r="F134" s="860"/>
      <c r="G134" s="773"/>
      <c r="H134" s="1035"/>
      <c r="I134" s="859"/>
      <c r="J134" s="183" t="s">
        <v>43</v>
      </c>
      <c r="K134" s="767"/>
      <c r="L134" s="866">
        <v>100</v>
      </c>
      <c r="M134" s="254"/>
      <c r="N134" s="718"/>
      <c r="O134" s="1084"/>
      <c r="P134" s="533"/>
      <c r="Q134" s="363"/>
      <c r="R134" s="336"/>
      <c r="S134" s="337"/>
      <c r="T134" s="110"/>
      <c r="U134" s="93"/>
      <c r="V134" s="111"/>
      <c r="W134" s="93"/>
      <c r="X134" s="111"/>
      <c r="Y134" s="93"/>
      <c r="Z134" s="93"/>
    </row>
    <row r="135" spans="1:27" s="1" customFormat="1" ht="38.25" customHeight="1" x14ac:dyDescent="0.2">
      <c r="A135" s="136"/>
      <c r="B135" s="1056"/>
      <c r="C135" s="1705"/>
      <c r="D135" s="1032" t="s">
        <v>21</v>
      </c>
      <c r="E135" s="1591" t="s">
        <v>114</v>
      </c>
      <c r="F135" s="123" t="s">
        <v>36</v>
      </c>
      <c r="G135" s="1770">
        <v>11010135</v>
      </c>
      <c r="H135" s="275">
        <v>5</v>
      </c>
      <c r="I135" s="1706" t="s">
        <v>89</v>
      </c>
      <c r="J135" s="270" t="s">
        <v>17</v>
      </c>
      <c r="K135" s="769">
        <v>82</v>
      </c>
      <c r="L135" s="519"/>
      <c r="M135" s="520"/>
      <c r="N135" s="521">
        <f>2000-500-1000</f>
        <v>500</v>
      </c>
      <c r="O135" s="266" t="s">
        <v>75</v>
      </c>
      <c r="P135" s="171">
        <v>1</v>
      </c>
      <c r="Q135" s="377"/>
      <c r="R135" s="331"/>
      <c r="S135" s="171"/>
      <c r="T135" s="70"/>
      <c r="V135" s="14"/>
      <c r="X135" s="14"/>
    </row>
    <row r="136" spans="1:27" s="1" customFormat="1" ht="26.25" customHeight="1" x14ac:dyDescent="0.2">
      <c r="A136" s="136"/>
      <c r="B136" s="1056"/>
      <c r="C136" s="1705"/>
      <c r="D136" s="858"/>
      <c r="E136" s="1591"/>
      <c r="F136" s="390"/>
      <c r="G136" s="1770"/>
      <c r="H136" s="395"/>
      <c r="I136" s="1707"/>
      <c r="J136" s="270"/>
      <c r="K136" s="658"/>
      <c r="L136" s="479"/>
      <c r="M136" s="837"/>
      <c r="N136" s="478"/>
      <c r="O136" s="654" t="s">
        <v>166</v>
      </c>
      <c r="P136" s="172"/>
      <c r="Q136" s="385"/>
      <c r="R136" s="329"/>
      <c r="S136" s="330">
        <v>10</v>
      </c>
      <c r="T136" s="70"/>
      <c r="W136" s="14"/>
    </row>
    <row r="137" spans="1:27" s="1" customFormat="1" ht="14.25" customHeight="1" x14ac:dyDescent="0.2">
      <c r="A137" s="136"/>
      <c r="B137" s="1056"/>
      <c r="C137" s="1069"/>
      <c r="D137" s="1031" t="s">
        <v>34</v>
      </c>
      <c r="E137" s="1595" t="s">
        <v>148</v>
      </c>
      <c r="F137" s="1717" t="s">
        <v>36</v>
      </c>
      <c r="G137" s="397"/>
      <c r="H137" s="1719">
        <v>5</v>
      </c>
      <c r="I137" s="1070"/>
      <c r="J137" s="480" t="s">
        <v>17</v>
      </c>
      <c r="K137" s="659"/>
      <c r="L137" s="249"/>
      <c r="M137" s="867"/>
      <c r="N137" s="868"/>
      <c r="O137" s="378" t="s">
        <v>150</v>
      </c>
      <c r="P137" s="276"/>
      <c r="Q137" s="409"/>
      <c r="R137" s="527">
        <v>50</v>
      </c>
      <c r="S137" s="276">
        <v>100</v>
      </c>
    </row>
    <row r="138" spans="1:27" s="1" customFormat="1" ht="14.25" customHeight="1" x14ac:dyDescent="0.2">
      <c r="A138" s="136"/>
      <c r="B138" s="1056"/>
      <c r="C138" s="1069"/>
      <c r="D138" s="858"/>
      <c r="E138" s="1596"/>
      <c r="F138" s="1718"/>
      <c r="G138" s="397"/>
      <c r="H138" s="1720"/>
      <c r="I138" s="1070"/>
      <c r="J138" s="480" t="s">
        <v>43</v>
      </c>
      <c r="K138" s="659"/>
      <c r="L138" s="249"/>
      <c r="M138" s="856">
        <f>916.5+200.6</f>
        <v>1117.0999999999999</v>
      </c>
      <c r="N138" s="678">
        <f>916.5-200</f>
        <v>716.5</v>
      </c>
      <c r="O138" s="495"/>
      <c r="P138" s="533"/>
      <c r="Q138" s="655"/>
      <c r="R138" s="531"/>
      <c r="S138" s="533"/>
      <c r="T138" s="70"/>
      <c r="W138" s="14"/>
      <c r="X138" s="14"/>
    </row>
    <row r="139" spans="1:27" s="1" customFormat="1" ht="43.5" customHeight="1" x14ac:dyDescent="0.2">
      <c r="A139" s="136"/>
      <c r="B139" s="1056"/>
      <c r="C139" s="1069"/>
      <c r="D139" s="27" t="s">
        <v>63</v>
      </c>
      <c r="E139" s="1039" t="s">
        <v>220</v>
      </c>
      <c r="F139" s="123" t="s">
        <v>36</v>
      </c>
      <c r="G139" s="397"/>
      <c r="H139" s="275">
        <v>5</v>
      </c>
      <c r="I139" s="733"/>
      <c r="J139" s="480"/>
      <c r="K139" s="659"/>
      <c r="L139" s="249"/>
      <c r="M139" s="679"/>
      <c r="N139" s="680"/>
      <c r="O139" s="495" t="s">
        <v>221</v>
      </c>
      <c r="P139" s="533"/>
      <c r="Q139" s="655"/>
      <c r="R139" s="531"/>
      <c r="S139" s="533"/>
      <c r="T139" s="70"/>
      <c r="W139" s="14"/>
      <c r="AA139" s="14"/>
    </row>
    <row r="140" spans="1:27" s="1" customFormat="1" ht="56.25" customHeight="1" thickBot="1" x14ac:dyDescent="0.25">
      <c r="A140" s="136"/>
      <c r="B140" s="1056"/>
      <c r="C140" s="1069"/>
      <c r="D140" s="1031" t="s">
        <v>156</v>
      </c>
      <c r="E140" s="493" t="s">
        <v>149</v>
      </c>
      <c r="F140" s="398" t="s">
        <v>152</v>
      </c>
      <c r="G140" s="397"/>
      <c r="H140" s="1076">
        <v>5</v>
      </c>
      <c r="I140" s="745"/>
      <c r="J140" s="480"/>
      <c r="K140" s="659"/>
      <c r="L140" s="249"/>
      <c r="M140" s="836"/>
      <c r="N140" s="482"/>
      <c r="O140" s="378" t="s">
        <v>151</v>
      </c>
      <c r="P140" s="166"/>
      <c r="Q140" s="389"/>
      <c r="R140" s="334"/>
      <c r="S140" s="276"/>
      <c r="T140" s="70"/>
      <c r="W140" s="14"/>
    </row>
    <row r="141" spans="1:27" s="1" customFormat="1" ht="48.75" customHeight="1" x14ac:dyDescent="0.2">
      <c r="A141" s="140"/>
      <c r="B141" s="1085"/>
      <c r="C141" s="763"/>
      <c r="D141" s="27"/>
      <c r="E141" s="1549" t="s">
        <v>127</v>
      </c>
      <c r="F141" s="513" t="s">
        <v>36</v>
      </c>
      <c r="G141" s="1721">
        <v>11020309</v>
      </c>
      <c r="H141" s="764">
        <v>5</v>
      </c>
      <c r="I141" s="1723" t="s">
        <v>87</v>
      </c>
      <c r="J141" s="469" t="s">
        <v>79</v>
      </c>
      <c r="K141" s="771">
        <v>33.9</v>
      </c>
      <c r="L141" s="547"/>
      <c r="M141" s="545"/>
      <c r="N141" s="546"/>
      <c r="O141" s="510" t="s">
        <v>68</v>
      </c>
      <c r="P141" s="765">
        <v>2</v>
      </c>
      <c r="Q141" s="766"/>
      <c r="R141" s="298"/>
      <c r="S141" s="299"/>
      <c r="U141" s="14"/>
      <c r="X141" s="1" t="s">
        <v>67</v>
      </c>
    </row>
    <row r="142" spans="1:27" s="1" customFormat="1" ht="15" customHeight="1" x14ac:dyDescent="0.2">
      <c r="A142" s="140"/>
      <c r="B142" s="1085"/>
      <c r="C142" s="1069"/>
      <c r="D142" s="27"/>
      <c r="E142" s="1550"/>
      <c r="F142" s="1075"/>
      <c r="G142" s="1714"/>
      <c r="H142" s="26"/>
      <c r="I142" s="1706"/>
      <c r="J142" s="270"/>
      <c r="K142" s="769"/>
      <c r="L142" s="519"/>
      <c r="M142" s="520"/>
      <c r="N142" s="521"/>
      <c r="O142" s="72"/>
      <c r="P142" s="151"/>
      <c r="Q142" s="457"/>
      <c r="R142" s="309"/>
      <c r="S142" s="310"/>
      <c r="W142" s="14"/>
    </row>
    <row r="143" spans="1:27" s="1" customFormat="1" ht="15" customHeight="1" x14ac:dyDescent="0.2">
      <c r="A143" s="140"/>
      <c r="B143" s="1085"/>
      <c r="C143" s="1069"/>
      <c r="D143" s="27"/>
      <c r="E143" s="1596"/>
      <c r="F143" s="456"/>
      <c r="G143" s="1722"/>
      <c r="H143" s="149"/>
      <c r="I143" s="1071"/>
      <c r="J143" s="184"/>
      <c r="K143" s="770"/>
      <c r="L143" s="522"/>
      <c r="M143" s="523"/>
      <c r="N143" s="524"/>
      <c r="O143" s="262"/>
      <c r="P143" s="67"/>
      <c r="Q143" s="458"/>
      <c r="R143" s="322"/>
      <c r="S143" s="323"/>
      <c r="W143" s="14"/>
    </row>
    <row r="144" spans="1:27" s="1" customFormat="1" ht="13.5" customHeight="1" x14ac:dyDescent="0.2">
      <c r="A144" s="140"/>
      <c r="B144" s="1085"/>
      <c r="C144" s="1069"/>
      <c r="D144" s="27"/>
      <c r="E144" s="1710" t="s">
        <v>65</v>
      </c>
      <c r="F144" s="1711" t="s">
        <v>36</v>
      </c>
      <c r="G144" s="1713">
        <v>11010111</v>
      </c>
      <c r="H144" s="1081">
        <v>5</v>
      </c>
      <c r="I144" s="1715" t="s">
        <v>85</v>
      </c>
      <c r="J144" s="363" t="s">
        <v>17</v>
      </c>
      <c r="K144" s="658">
        <v>1103.5</v>
      </c>
      <c r="L144" s="208"/>
      <c r="M144" s="219"/>
      <c r="N144" s="215"/>
      <c r="O144" s="1584" t="s">
        <v>40</v>
      </c>
      <c r="P144" s="170">
        <v>100</v>
      </c>
      <c r="Q144" s="384"/>
      <c r="R144" s="312"/>
      <c r="S144" s="313"/>
      <c r="T144" s="70"/>
      <c r="U144" s="70"/>
      <c r="V144" s="70"/>
      <c r="W144" s="14"/>
      <c r="Y144" s="14"/>
    </row>
    <row r="145" spans="1:35" s="1" customFormat="1" ht="13.5" customHeight="1" x14ac:dyDescent="0.2">
      <c r="A145" s="140"/>
      <c r="B145" s="1085"/>
      <c r="C145" s="1069"/>
      <c r="D145" s="27"/>
      <c r="E145" s="1710"/>
      <c r="F145" s="1712"/>
      <c r="G145" s="1714"/>
      <c r="H145" s="1081"/>
      <c r="I145" s="1715"/>
      <c r="J145" s="364" t="s">
        <v>81</v>
      </c>
      <c r="K145" s="461">
        <v>609.29999999999995</v>
      </c>
      <c r="L145" s="208"/>
      <c r="M145" s="219"/>
      <c r="N145" s="215"/>
      <c r="O145" s="1584"/>
      <c r="P145" s="170"/>
      <c r="Q145" s="384"/>
      <c r="R145" s="312"/>
      <c r="S145" s="313"/>
      <c r="T145" s="70"/>
      <c r="U145" s="71"/>
      <c r="V145" s="70"/>
      <c r="W145" s="14"/>
      <c r="X145" s="14"/>
    </row>
    <row r="146" spans="1:35" s="1" customFormat="1" ht="13.5" customHeight="1" x14ac:dyDescent="0.2">
      <c r="A146" s="140"/>
      <c r="B146" s="1085"/>
      <c r="C146" s="1069"/>
      <c r="D146" s="27"/>
      <c r="E146" s="1710"/>
      <c r="F146" s="1712"/>
      <c r="G146" s="1714"/>
      <c r="H146" s="1081"/>
      <c r="I146" s="1715"/>
      <c r="J146" s="364" t="s">
        <v>37</v>
      </c>
      <c r="K146" s="461">
        <v>53.8</v>
      </c>
      <c r="L146" s="208"/>
      <c r="M146" s="219"/>
      <c r="N146" s="215"/>
      <c r="O146" s="1584"/>
      <c r="P146" s="170"/>
      <c r="Q146" s="384"/>
      <c r="R146" s="312"/>
      <c r="S146" s="313"/>
      <c r="T146" s="70"/>
      <c r="U146" s="70"/>
      <c r="V146" s="70"/>
      <c r="W146" s="14"/>
      <c r="X146" s="14"/>
      <c r="Y146" s="14"/>
    </row>
    <row r="147" spans="1:35" s="1" customFormat="1" ht="13.5" customHeight="1" x14ac:dyDescent="0.2">
      <c r="A147" s="148"/>
      <c r="B147" s="87"/>
      <c r="C147" s="27"/>
      <c r="D147" s="27"/>
      <c r="E147" s="1710"/>
      <c r="F147" s="1712"/>
      <c r="G147" s="1714"/>
      <c r="H147" s="1081"/>
      <c r="I147" s="1716"/>
      <c r="J147" s="364" t="s">
        <v>38</v>
      </c>
      <c r="K147" s="461">
        <v>2.2999999999999998</v>
      </c>
      <c r="L147" s="208"/>
      <c r="M147" s="219"/>
      <c r="N147" s="215"/>
      <c r="O147" s="1584"/>
      <c r="P147" s="170"/>
      <c r="Q147" s="384"/>
      <c r="R147" s="312"/>
      <c r="S147" s="313"/>
      <c r="T147" s="70"/>
      <c r="U147" s="70"/>
      <c r="V147" s="71"/>
      <c r="W147" s="14"/>
      <c r="X147" s="14"/>
      <c r="Y147" s="14"/>
    </row>
    <row r="148" spans="1:35" s="1" customFormat="1" ht="15.75" customHeight="1" thickBot="1" x14ac:dyDescent="0.25">
      <c r="A148" s="141"/>
      <c r="B148" s="85"/>
      <c r="C148" s="44"/>
      <c r="D148" s="44"/>
      <c r="E148" s="1023"/>
      <c r="F148" s="656"/>
      <c r="G148" s="391"/>
      <c r="H148" s="396"/>
      <c r="I148" s="1582" t="s">
        <v>45</v>
      </c>
      <c r="J148" s="1583"/>
      <c r="K148" s="497">
        <f>SUM(K123:K147)</f>
        <v>3933.8</v>
      </c>
      <c r="L148" s="232">
        <f>SUM(L122:L147)</f>
        <v>3573.4000000000005</v>
      </c>
      <c r="M148" s="241">
        <f>SUM(M122:M147)</f>
        <v>4207.2000000000007</v>
      </c>
      <c r="N148" s="368">
        <f>SUM(N122:N147)</f>
        <v>5216.5</v>
      </c>
      <c r="O148" s="269"/>
      <c r="P148" s="91"/>
      <c r="Q148" s="388"/>
      <c r="R148" s="315"/>
      <c r="S148" s="316"/>
      <c r="T148" s="70"/>
      <c r="U148" s="70"/>
      <c r="V148" s="70"/>
    </row>
    <row r="149" spans="1:35" s="1" customFormat="1" ht="43.5" customHeight="1" x14ac:dyDescent="0.2">
      <c r="A149" s="139" t="s">
        <v>13</v>
      </c>
      <c r="B149" s="86" t="s">
        <v>21</v>
      </c>
      <c r="C149" s="24" t="s">
        <v>21</v>
      </c>
      <c r="D149" s="450"/>
      <c r="E149" s="95" t="s">
        <v>46</v>
      </c>
      <c r="F149" s="182"/>
      <c r="G149" s="195"/>
      <c r="H149" s="392"/>
      <c r="I149" s="747"/>
      <c r="J149" s="17" t="s">
        <v>17</v>
      </c>
      <c r="K149" s="661"/>
      <c r="L149" s="645"/>
      <c r="M149" s="646"/>
      <c r="N149" s="647"/>
      <c r="O149" s="273"/>
      <c r="P149" s="399"/>
      <c r="Q149" s="408"/>
      <c r="R149" s="307"/>
      <c r="S149" s="308"/>
      <c r="W149" s="14"/>
      <c r="X149" s="14"/>
    </row>
    <row r="150" spans="1:35" s="1" customFormat="1" ht="29.25" customHeight="1" x14ac:dyDescent="0.2">
      <c r="A150" s="140"/>
      <c r="B150" s="1085"/>
      <c r="C150" s="1069"/>
      <c r="D150" s="1031" t="s">
        <v>13</v>
      </c>
      <c r="E150" s="1576" t="s">
        <v>71</v>
      </c>
      <c r="F150" s="101"/>
      <c r="G150" s="1724">
        <v>11010130</v>
      </c>
      <c r="H150" s="393">
        <v>2</v>
      </c>
      <c r="I150" s="748" t="s">
        <v>101</v>
      </c>
      <c r="J150" s="518" t="s">
        <v>17</v>
      </c>
      <c r="K150" s="461"/>
      <c r="L150" s="268">
        <v>5</v>
      </c>
      <c r="M150" s="219"/>
      <c r="N150" s="215"/>
      <c r="O150" s="378" t="s">
        <v>208</v>
      </c>
      <c r="P150" s="525"/>
      <c r="Q150" s="362">
        <v>100</v>
      </c>
      <c r="R150" s="334"/>
      <c r="S150" s="341"/>
      <c r="T150" s="257"/>
      <c r="V150" s="49"/>
    </row>
    <row r="151" spans="1:35" s="1" customFormat="1" ht="27.75" customHeight="1" x14ac:dyDescent="0.2">
      <c r="A151" s="132"/>
      <c r="B151" s="1056"/>
      <c r="C151" s="1066"/>
      <c r="D151" s="453"/>
      <c r="E151" s="1577"/>
      <c r="F151" s="60"/>
      <c r="G151" s="1454"/>
      <c r="H151" s="394"/>
      <c r="I151" s="749"/>
      <c r="J151" s="518" t="s">
        <v>17</v>
      </c>
      <c r="K151" s="461"/>
      <c r="L151" s="268">
        <v>1.4</v>
      </c>
      <c r="M151" s="219"/>
      <c r="N151" s="215"/>
      <c r="O151" s="378" t="s">
        <v>326</v>
      </c>
      <c r="P151" s="525"/>
      <c r="Q151" s="362">
        <v>100</v>
      </c>
      <c r="R151" s="334"/>
      <c r="S151" s="343"/>
      <c r="T151" s="887"/>
      <c r="U151" s="51"/>
      <c r="V151" s="14"/>
      <c r="W151" s="14"/>
      <c r="AI151" s="14"/>
    </row>
    <row r="152" spans="1:35" s="1" customFormat="1" ht="43.5" customHeight="1" x14ac:dyDescent="0.2">
      <c r="A152" s="132"/>
      <c r="B152" s="1056"/>
      <c r="C152" s="1066"/>
      <c r="D152" s="453"/>
      <c r="E152" s="96"/>
      <c r="F152" s="60"/>
      <c r="G152" s="204"/>
      <c r="H152" s="394"/>
      <c r="I152" s="750"/>
      <c r="J152" s="518" t="s">
        <v>17</v>
      </c>
      <c r="K152" s="461"/>
      <c r="L152" s="268">
        <v>6</v>
      </c>
      <c r="M152" s="219"/>
      <c r="N152" s="215"/>
      <c r="O152" s="378" t="s">
        <v>327</v>
      </c>
      <c r="P152" s="525"/>
      <c r="Q152" s="362">
        <v>3</v>
      </c>
      <c r="R152" s="334"/>
      <c r="S152" s="343"/>
      <c r="T152" s="30"/>
      <c r="V152" s="49"/>
      <c r="X152" s="14"/>
    </row>
    <row r="153" spans="1:35" s="1" customFormat="1" ht="43.5" customHeight="1" x14ac:dyDescent="0.2">
      <c r="A153" s="132"/>
      <c r="B153" s="1056"/>
      <c r="C153" s="1066"/>
      <c r="D153" s="453"/>
      <c r="E153" s="96"/>
      <c r="F153" s="60"/>
      <c r="G153" s="204"/>
      <c r="H153" s="394"/>
      <c r="I153" s="750"/>
      <c r="J153" s="518" t="s">
        <v>17</v>
      </c>
      <c r="K153" s="461"/>
      <c r="L153" s="268">
        <v>29</v>
      </c>
      <c r="M153" s="219"/>
      <c r="N153" s="215"/>
      <c r="O153" s="378" t="s">
        <v>328</v>
      </c>
      <c r="P153" s="525"/>
      <c r="Q153" s="362">
        <v>100</v>
      </c>
      <c r="R153" s="334"/>
      <c r="S153" s="343"/>
      <c r="T153" s="30"/>
      <c r="V153" s="49"/>
      <c r="X153" s="14"/>
    </row>
    <row r="154" spans="1:35" s="1" customFormat="1" ht="54" customHeight="1" x14ac:dyDescent="0.2">
      <c r="A154" s="132"/>
      <c r="B154" s="1056"/>
      <c r="C154" s="1066"/>
      <c r="D154" s="453"/>
      <c r="E154" s="96"/>
      <c r="F154" s="60"/>
      <c r="G154" s="204"/>
      <c r="H154" s="394"/>
      <c r="I154" s="750"/>
      <c r="J154" s="518" t="s">
        <v>17</v>
      </c>
      <c r="K154" s="461"/>
      <c r="L154" s="268">
        <v>54.6</v>
      </c>
      <c r="M154" s="219">
        <f>50+42</f>
        <v>92</v>
      </c>
      <c r="N154" s="268">
        <f>50+42</f>
        <v>92</v>
      </c>
      <c r="O154" s="378" t="s">
        <v>331</v>
      </c>
      <c r="P154" s="525"/>
      <c r="Q154" s="389">
        <v>100</v>
      </c>
      <c r="R154" s="334">
        <v>100</v>
      </c>
      <c r="S154" s="335">
        <v>100</v>
      </c>
      <c r="T154" s="30"/>
      <c r="V154" s="49"/>
      <c r="X154" s="14"/>
    </row>
    <row r="155" spans="1:35" s="1" customFormat="1" ht="31.5" customHeight="1" x14ac:dyDescent="0.2">
      <c r="A155" s="132"/>
      <c r="B155" s="1056"/>
      <c r="C155" s="1066"/>
      <c r="D155" s="453"/>
      <c r="E155" s="96"/>
      <c r="F155" s="60"/>
      <c r="G155" s="204"/>
      <c r="H155" s="394"/>
      <c r="I155" s="750"/>
      <c r="J155" s="518" t="s">
        <v>17</v>
      </c>
      <c r="K155" s="461"/>
      <c r="L155" s="268"/>
      <c r="M155" s="219">
        <v>46</v>
      </c>
      <c r="N155" s="215"/>
      <c r="O155" s="378" t="s">
        <v>206</v>
      </c>
      <c r="P155" s="525"/>
      <c r="Q155" s="362"/>
      <c r="R155" s="334">
        <v>100</v>
      </c>
      <c r="S155" s="343"/>
      <c r="T155" s="30"/>
      <c r="V155" s="49"/>
      <c r="X155" s="14"/>
    </row>
    <row r="156" spans="1:35" s="1" customFormat="1" ht="43.5" customHeight="1" x14ac:dyDescent="0.2">
      <c r="A156" s="132"/>
      <c r="B156" s="1056"/>
      <c r="C156" s="1066"/>
      <c r="D156" s="453"/>
      <c r="E156" s="96"/>
      <c r="F156" s="60"/>
      <c r="G156" s="204"/>
      <c r="H156" s="394"/>
      <c r="I156" s="750"/>
      <c r="J156" s="518" t="s">
        <v>17</v>
      </c>
      <c r="K156" s="461"/>
      <c r="L156" s="268"/>
      <c r="M156" s="219">
        <v>3</v>
      </c>
      <c r="N156" s="215"/>
      <c r="O156" s="378" t="s">
        <v>207</v>
      </c>
      <c r="P156" s="525"/>
      <c r="Q156" s="362"/>
      <c r="R156" s="334">
        <v>100</v>
      </c>
      <c r="S156" s="343"/>
      <c r="T156" s="30"/>
      <c r="V156" s="49"/>
      <c r="X156" s="14"/>
    </row>
    <row r="157" spans="1:35" s="1" customFormat="1" ht="29.25" customHeight="1" x14ac:dyDescent="0.2">
      <c r="A157" s="132"/>
      <c r="B157" s="1056"/>
      <c r="C157" s="1066"/>
      <c r="D157" s="453"/>
      <c r="E157" s="96"/>
      <c r="F157" s="60"/>
      <c r="G157" s="204"/>
      <c r="H157" s="394"/>
      <c r="I157" s="750"/>
      <c r="J157" s="518" t="s">
        <v>17</v>
      </c>
      <c r="K157" s="461"/>
      <c r="L157" s="268"/>
      <c r="M157" s="219">
        <v>80</v>
      </c>
      <c r="N157" s="215"/>
      <c r="O157" s="378" t="s">
        <v>209</v>
      </c>
      <c r="P157" s="525"/>
      <c r="Q157" s="362"/>
      <c r="R157" s="334">
        <v>100</v>
      </c>
      <c r="S157" s="343"/>
      <c r="T157" s="30"/>
      <c r="V157" s="49"/>
      <c r="X157" s="14"/>
    </row>
    <row r="158" spans="1:35" s="1" customFormat="1" ht="30" customHeight="1" x14ac:dyDescent="0.2">
      <c r="A158" s="132"/>
      <c r="B158" s="1056"/>
      <c r="C158" s="1066"/>
      <c r="D158" s="453"/>
      <c r="E158" s="96"/>
      <c r="F158" s="60"/>
      <c r="G158" s="204"/>
      <c r="H158" s="394"/>
      <c r="I158" s="750"/>
      <c r="J158" s="518" t="s">
        <v>17</v>
      </c>
      <c r="K158" s="461"/>
      <c r="L158" s="268"/>
      <c r="M158" s="219">
        <v>7.7</v>
      </c>
      <c r="N158" s="215"/>
      <c r="O158" s="378" t="s">
        <v>210</v>
      </c>
      <c r="P158" s="525"/>
      <c r="Q158" s="362"/>
      <c r="R158" s="334">
        <v>100</v>
      </c>
      <c r="S158" s="343"/>
      <c r="T158" s="30"/>
      <c r="V158" s="49"/>
      <c r="X158" s="14"/>
    </row>
    <row r="159" spans="1:35" s="1" customFormat="1" ht="31.5" customHeight="1" x14ac:dyDescent="0.2">
      <c r="A159" s="132"/>
      <c r="B159" s="1056"/>
      <c r="C159" s="1066"/>
      <c r="D159" s="453"/>
      <c r="E159" s="96"/>
      <c r="F159" s="60"/>
      <c r="G159" s="204"/>
      <c r="H159" s="394"/>
      <c r="I159" s="750"/>
      <c r="J159" s="518" t="s">
        <v>17</v>
      </c>
      <c r="K159" s="461"/>
      <c r="L159" s="268"/>
      <c r="M159" s="219">
        <v>5.2</v>
      </c>
      <c r="N159" s="215"/>
      <c r="O159" s="378" t="s">
        <v>211</v>
      </c>
      <c r="P159" s="525"/>
      <c r="Q159" s="362"/>
      <c r="R159" s="334">
        <v>100</v>
      </c>
      <c r="S159" s="343"/>
      <c r="T159" s="30"/>
      <c r="V159" s="49"/>
      <c r="X159" s="14"/>
    </row>
    <row r="160" spans="1:35" s="1" customFormat="1" ht="42" customHeight="1" x14ac:dyDescent="0.2">
      <c r="A160" s="132"/>
      <c r="B160" s="1056"/>
      <c r="C160" s="1066"/>
      <c r="D160" s="453"/>
      <c r="E160" s="96"/>
      <c r="F160" s="60"/>
      <c r="G160" s="204"/>
      <c r="H160" s="394"/>
      <c r="I160" s="750"/>
      <c r="J160" s="518" t="s">
        <v>17</v>
      </c>
      <c r="K160" s="461"/>
      <c r="L160" s="268"/>
      <c r="M160" s="219">
        <v>1.3</v>
      </c>
      <c r="N160" s="215"/>
      <c r="O160" s="378" t="s">
        <v>330</v>
      </c>
      <c r="P160" s="525"/>
      <c r="Q160" s="362"/>
      <c r="R160" s="334">
        <v>100</v>
      </c>
      <c r="S160" s="343"/>
      <c r="T160" s="30"/>
      <c r="V160" s="49"/>
      <c r="X160" s="14"/>
    </row>
    <row r="161" spans="1:26" s="1" customFormat="1" ht="43.5" customHeight="1" x14ac:dyDescent="0.2">
      <c r="A161" s="132"/>
      <c r="B161" s="1056"/>
      <c r="C161" s="1066"/>
      <c r="D161" s="453"/>
      <c r="E161" s="96"/>
      <c r="F161" s="60"/>
      <c r="G161" s="204"/>
      <c r="H161" s="394"/>
      <c r="I161" s="750"/>
      <c r="J161" s="518" t="s">
        <v>17</v>
      </c>
      <c r="K161" s="461"/>
      <c r="L161" s="268"/>
      <c r="M161" s="219">
        <v>10</v>
      </c>
      <c r="N161" s="215"/>
      <c r="O161" s="378" t="s">
        <v>224</v>
      </c>
      <c r="P161" s="525"/>
      <c r="Q161" s="362"/>
      <c r="R161" s="334">
        <v>100</v>
      </c>
      <c r="S161" s="343"/>
      <c r="T161" s="30"/>
      <c r="V161" s="49"/>
      <c r="X161" s="14"/>
    </row>
    <row r="162" spans="1:26" s="1" customFormat="1" ht="30.75" customHeight="1" thickBot="1" x14ac:dyDescent="0.25">
      <c r="A162" s="132"/>
      <c r="B162" s="1056"/>
      <c r="C162" s="1066"/>
      <c r="D162" s="453"/>
      <c r="E162" s="96"/>
      <c r="F162" s="60"/>
      <c r="G162" s="204"/>
      <c r="H162" s="394"/>
      <c r="I162" s="750"/>
      <c r="J162" s="518" t="s">
        <v>17</v>
      </c>
      <c r="K162" s="659"/>
      <c r="L162" s="283"/>
      <c r="M162" s="836"/>
      <c r="N162" s="482">
        <v>140</v>
      </c>
      <c r="O162" s="413" t="s">
        <v>153</v>
      </c>
      <c r="P162" s="402"/>
      <c r="Q162" s="409"/>
      <c r="R162" s="342"/>
      <c r="S162" s="343">
        <v>100</v>
      </c>
      <c r="T162" s="30"/>
      <c r="V162" s="49"/>
      <c r="X162" s="14"/>
    </row>
    <row r="163" spans="1:26" s="1" customFormat="1" ht="42.75" customHeight="1" x14ac:dyDescent="0.2">
      <c r="A163" s="132"/>
      <c r="B163" s="1056"/>
      <c r="C163" s="1066"/>
      <c r="D163" s="453"/>
      <c r="E163" s="96"/>
      <c r="F163" s="1003" t="s">
        <v>345</v>
      </c>
      <c r="G163" s="1004"/>
      <c r="H163" s="1005"/>
      <c r="I163" s="1006" t="s">
        <v>102</v>
      </c>
      <c r="J163" s="1014" t="s">
        <v>17</v>
      </c>
      <c r="K163" s="94"/>
      <c r="L163" s="366">
        <v>65.599999999999994</v>
      </c>
      <c r="M163" s="470"/>
      <c r="N163" s="366"/>
      <c r="O163" s="510" t="s">
        <v>343</v>
      </c>
      <c r="P163" s="379"/>
      <c r="Q163" s="766">
        <v>100</v>
      </c>
      <c r="R163" s="298"/>
      <c r="S163" s="340"/>
      <c r="T163" s="30"/>
      <c r="V163" s="49"/>
      <c r="X163" s="14"/>
      <c r="Y163" s="14"/>
    </row>
    <row r="164" spans="1:26" s="1" customFormat="1" ht="42" customHeight="1" x14ac:dyDescent="0.2">
      <c r="A164" s="132"/>
      <c r="B164" s="1056"/>
      <c r="C164" s="1066"/>
      <c r="D164" s="453"/>
      <c r="E164" s="96"/>
      <c r="F164" s="60"/>
      <c r="G164" s="204"/>
      <c r="H164" s="494"/>
      <c r="I164" s="750"/>
      <c r="J164" s="853" t="s">
        <v>17</v>
      </c>
      <c r="K164" s="767">
        <v>30.7</v>
      </c>
      <c r="L164" s="998"/>
      <c r="M164" s="254"/>
      <c r="N164" s="718"/>
      <c r="O164" s="410" t="s">
        <v>126</v>
      </c>
      <c r="P164" s="999">
        <v>7</v>
      </c>
      <c r="Q164" s="385"/>
      <c r="R164" s="548"/>
      <c r="S164" s="648"/>
      <c r="T164" s="30"/>
      <c r="V164" s="49"/>
      <c r="X164" s="14"/>
      <c r="Z164" s="14"/>
    </row>
    <row r="165" spans="1:26" s="1" customFormat="1" ht="30" customHeight="1" x14ac:dyDescent="0.2">
      <c r="A165" s="132"/>
      <c r="B165" s="1056"/>
      <c r="C165" s="1066"/>
      <c r="D165" s="453"/>
      <c r="E165" s="96"/>
      <c r="F165" s="60"/>
      <c r="G165" s="204"/>
      <c r="H165" s="494"/>
      <c r="I165" s="750"/>
      <c r="J165" s="99" t="s">
        <v>17</v>
      </c>
      <c r="K165" s="461">
        <v>90</v>
      </c>
      <c r="L165" s="268"/>
      <c r="M165" s="219"/>
      <c r="N165" s="215"/>
      <c r="O165" s="411" t="s">
        <v>96</v>
      </c>
      <c r="P165" s="400">
        <v>100</v>
      </c>
      <c r="Q165" s="386"/>
      <c r="R165" s="643"/>
      <c r="S165" s="644"/>
      <c r="T165" s="30"/>
      <c r="V165" s="49"/>
      <c r="X165" s="14"/>
    </row>
    <row r="166" spans="1:26" s="1" customFormat="1" ht="41.25" customHeight="1" x14ac:dyDescent="0.2">
      <c r="A166" s="132"/>
      <c r="B166" s="1056"/>
      <c r="C166" s="1066"/>
      <c r="D166" s="453"/>
      <c r="E166" s="96"/>
      <c r="F166" s="60"/>
      <c r="G166" s="204"/>
      <c r="H166" s="494"/>
      <c r="I166" s="750"/>
      <c r="J166" s="98" t="s">
        <v>17</v>
      </c>
      <c r="K166" s="461">
        <v>4.5</v>
      </c>
      <c r="L166" s="268"/>
      <c r="M166" s="219"/>
      <c r="N166" s="215"/>
      <c r="O166" s="412" t="s">
        <v>97</v>
      </c>
      <c r="P166" s="401">
        <v>100</v>
      </c>
      <c r="Q166" s="385"/>
      <c r="R166" s="548"/>
      <c r="S166" s="648"/>
      <c r="T166" s="30"/>
      <c r="V166" s="49"/>
      <c r="X166" s="14"/>
    </row>
    <row r="167" spans="1:26" s="1" customFormat="1" ht="30.75" customHeight="1" x14ac:dyDescent="0.2">
      <c r="A167" s="132"/>
      <c r="B167" s="1056"/>
      <c r="C167" s="1066"/>
      <c r="D167" s="453"/>
      <c r="E167" s="96"/>
      <c r="F167" s="60"/>
      <c r="G167" s="204"/>
      <c r="H167" s="494"/>
      <c r="I167" s="750"/>
      <c r="J167" s="99" t="s">
        <v>17</v>
      </c>
      <c r="K167" s="659">
        <v>34.700000000000003</v>
      </c>
      <c r="L167" s="283"/>
      <c r="M167" s="836"/>
      <c r="N167" s="482"/>
      <c r="O167" s="1767" t="s">
        <v>95</v>
      </c>
      <c r="P167" s="402">
        <v>2</v>
      </c>
      <c r="Q167" s="386"/>
      <c r="R167" s="643"/>
      <c r="S167" s="644"/>
      <c r="T167" s="30"/>
      <c r="V167" s="49"/>
      <c r="X167" s="14"/>
    </row>
    <row r="168" spans="1:26" s="1" customFormat="1" ht="14.25" customHeight="1" thickBot="1" x14ac:dyDescent="0.25">
      <c r="A168" s="132"/>
      <c r="B168" s="1056"/>
      <c r="C168" s="1066"/>
      <c r="D168" s="454"/>
      <c r="E168" s="96"/>
      <c r="F168" s="1007"/>
      <c r="G168" s="1008"/>
      <c r="H168" s="1022"/>
      <c r="I168" s="1009"/>
      <c r="J168" s="121" t="s">
        <v>18</v>
      </c>
      <c r="K168" s="467">
        <f>SUM(K150:K167)</f>
        <v>159.9</v>
      </c>
      <c r="L168" s="553">
        <f>SUM(L150:L167)</f>
        <v>161.6</v>
      </c>
      <c r="M168" s="220">
        <f>SUM(M150:M167)</f>
        <v>245.2</v>
      </c>
      <c r="N168" s="216">
        <f>SUM(N150:N167)</f>
        <v>232</v>
      </c>
      <c r="O168" s="1768"/>
      <c r="P168" s="1010"/>
      <c r="Q168" s="1011"/>
      <c r="R168" s="1012"/>
      <c r="S168" s="1013"/>
      <c r="T168" s="30"/>
      <c r="U168" s="51"/>
      <c r="V168" s="14"/>
      <c r="W168" s="14"/>
    </row>
    <row r="169" spans="1:26" s="1" customFormat="1" ht="29.25" customHeight="1" x14ac:dyDescent="0.2">
      <c r="A169" s="132"/>
      <c r="B169" s="1056"/>
      <c r="C169" s="1066"/>
      <c r="D169" s="453" t="s">
        <v>19</v>
      </c>
      <c r="E169" s="1576" t="s">
        <v>104</v>
      </c>
      <c r="F169" s="60"/>
      <c r="G169" s="1580" t="s">
        <v>133</v>
      </c>
      <c r="H169" s="1066" t="s">
        <v>16</v>
      </c>
      <c r="I169" s="1000" t="s">
        <v>101</v>
      </c>
      <c r="J169" s="403" t="s">
        <v>17</v>
      </c>
      <c r="K169" s="658"/>
      <c r="L169" s="837">
        <v>2.4</v>
      </c>
      <c r="M169" s="837"/>
      <c r="N169" s="267"/>
      <c r="O169" s="639" t="s">
        <v>213</v>
      </c>
      <c r="P169" s="1001"/>
      <c r="Q169" s="363">
        <v>100</v>
      </c>
      <c r="R169" s="1002"/>
      <c r="S169" s="313"/>
      <c r="T169" s="30"/>
      <c r="U169" s="51"/>
      <c r="V169" s="14"/>
      <c r="W169" s="14"/>
      <c r="X169" s="14"/>
    </row>
    <row r="170" spans="1:26" s="1" customFormat="1" ht="29.25" customHeight="1" x14ac:dyDescent="0.2">
      <c r="A170" s="132"/>
      <c r="B170" s="1056"/>
      <c r="C170" s="1066"/>
      <c r="D170" s="453"/>
      <c r="E170" s="1577"/>
      <c r="F170" s="60"/>
      <c r="G170" s="1580"/>
      <c r="H170" s="1066"/>
      <c r="I170" s="751"/>
      <c r="J170" s="636" t="s">
        <v>17</v>
      </c>
      <c r="K170" s="461"/>
      <c r="L170" s="219">
        <v>7</v>
      </c>
      <c r="M170" s="219"/>
      <c r="N170" s="268"/>
      <c r="O170" s="639" t="s">
        <v>314</v>
      </c>
      <c r="P170" s="637"/>
      <c r="Q170" s="362">
        <v>100</v>
      </c>
      <c r="R170" s="641"/>
      <c r="S170" s="335"/>
      <c r="T170" s="30"/>
      <c r="U170" s="51"/>
      <c r="V170" s="14"/>
      <c r="W170" s="14"/>
      <c r="X170" s="14"/>
      <c r="Y170" s="14"/>
    </row>
    <row r="171" spans="1:26" s="1" customFormat="1" ht="30.75" customHeight="1" x14ac:dyDescent="0.2">
      <c r="A171" s="132"/>
      <c r="B171" s="1056"/>
      <c r="C171" s="1066"/>
      <c r="D171" s="453"/>
      <c r="E171" s="96"/>
      <c r="F171" s="60"/>
      <c r="G171" s="204"/>
      <c r="H171" s="494"/>
      <c r="I171" s="752"/>
      <c r="J171" s="636" t="s">
        <v>17</v>
      </c>
      <c r="K171" s="461"/>
      <c r="L171" s="703"/>
      <c r="M171" s="219">
        <v>36.299999999999997</v>
      </c>
      <c r="N171" s="268"/>
      <c r="O171" s="638" t="s">
        <v>212</v>
      </c>
      <c r="P171" s="637"/>
      <c r="Q171" s="362"/>
      <c r="R171" s="650">
        <v>100</v>
      </c>
      <c r="S171" s="335"/>
      <c r="T171" s="30"/>
      <c r="W171" s="14"/>
    </row>
    <row r="172" spans="1:26" s="1" customFormat="1" ht="30.75" customHeight="1" x14ac:dyDescent="0.2">
      <c r="A172" s="132"/>
      <c r="B172" s="1056"/>
      <c r="C172" s="1066"/>
      <c r="D172" s="453"/>
      <c r="E172" s="96"/>
      <c r="F172" s="60"/>
      <c r="G172" s="204"/>
      <c r="H172" s="494"/>
      <c r="I172" s="752"/>
      <c r="J172" s="636" t="s">
        <v>17</v>
      </c>
      <c r="K172" s="461"/>
      <c r="L172" s="702"/>
      <c r="M172" s="219">
        <v>3.5</v>
      </c>
      <c r="N172" s="268"/>
      <c r="O172" s="639" t="s">
        <v>214</v>
      </c>
      <c r="P172" s="637"/>
      <c r="Q172" s="362"/>
      <c r="R172" s="640">
        <v>100</v>
      </c>
      <c r="S172" s="116"/>
      <c r="T172" s="30"/>
      <c r="W172" s="14"/>
    </row>
    <row r="173" spans="1:26" s="1" customFormat="1" ht="41.25" customHeight="1" x14ac:dyDescent="0.2">
      <c r="A173" s="132"/>
      <c r="B173" s="1056"/>
      <c r="C173" s="1066"/>
      <c r="D173" s="453"/>
      <c r="E173" s="96"/>
      <c r="F173" s="60"/>
      <c r="G173" s="204"/>
      <c r="H173" s="494"/>
      <c r="I173" s="752"/>
      <c r="J173" s="636" t="s">
        <v>17</v>
      </c>
      <c r="K173" s="461"/>
      <c r="L173" s="702"/>
      <c r="M173" s="219">
        <v>10.3</v>
      </c>
      <c r="N173" s="268"/>
      <c r="O173" s="639" t="s">
        <v>215</v>
      </c>
      <c r="P173" s="637"/>
      <c r="Q173" s="362"/>
      <c r="R173" s="640">
        <v>100</v>
      </c>
      <c r="S173" s="313"/>
      <c r="T173" s="30"/>
      <c r="U173" s="14"/>
      <c r="W173" s="14"/>
    </row>
    <row r="174" spans="1:26" s="1" customFormat="1" ht="29.25" customHeight="1" x14ac:dyDescent="0.2">
      <c r="A174" s="132"/>
      <c r="B174" s="1056"/>
      <c r="C174" s="1066"/>
      <c r="D174" s="453"/>
      <c r="E174" s="96"/>
      <c r="F174" s="60"/>
      <c r="G174" s="204"/>
      <c r="H174" s="494"/>
      <c r="I174" s="752"/>
      <c r="J174" s="636" t="s">
        <v>17</v>
      </c>
      <c r="K174" s="461"/>
      <c r="L174" s="268"/>
      <c r="M174" s="219">
        <v>14.17</v>
      </c>
      <c r="N174" s="268"/>
      <c r="O174" s="681" t="s">
        <v>216</v>
      </c>
      <c r="P174" s="701"/>
      <c r="Q174" s="364"/>
      <c r="R174" s="598">
        <v>100</v>
      </c>
      <c r="S174" s="116"/>
      <c r="T174" s="30"/>
      <c r="W174" s="14"/>
    </row>
    <row r="175" spans="1:26" s="1" customFormat="1" ht="16.5" customHeight="1" x14ac:dyDescent="0.2">
      <c r="A175" s="132"/>
      <c r="B175" s="1056"/>
      <c r="C175" s="1066"/>
      <c r="D175" s="453"/>
      <c r="E175" s="96"/>
      <c r="F175" s="60"/>
      <c r="G175" s="204"/>
      <c r="H175" s="494"/>
      <c r="I175" s="752"/>
      <c r="J175" s="98" t="s">
        <v>17</v>
      </c>
      <c r="K175" s="658">
        <v>24</v>
      </c>
      <c r="L175" s="267"/>
      <c r="M175" s="837"/>
      <c r="N175" s="267"/>
      <c r="O175" s="265" t="s">
        <v>98</v>
      </c>
      <c r="P175" s="404">
        <v>100</v>
      </c>
      <c r="Q175" s="384"/>
      <c r="R175" s="357"/>
      <c r="S175" s="313"/>
      <c r="T175" s="30"/>
      <c r="W175" s="14"/>
    </row>
    <row r="176" spans="1:26" s="1" customFormat="1" ht="16.5" customHeight="1" x14ac:dyDescent="0.2">
      <c r="A176" s="132"/>
      <c r="B176" s="1056"/>
      <c r="C176" s="1066"/>
      <c r="D176" s="453"/>
      <c r="E176" s="96"/>
      <c r="F176" s="60"/>
      <c r="G176" s="204"/>
      <c r="H176" s="494"/>
      <c r="I176" s="752"/>
      <c r="J176" s="98" t="s">
        <v>17</v>
      </c>
      <c r="K176" s="461">
        <v>1.4</v>
      </c>
      <c r="L176" s="268"/>
      <c r="M176" s="219"/>
      <c r="N176" s="268"/>
      <c r="O176" s="265" t="s">
        <v>99</v>
      </c>
      <c r="P176" s="404">
        <v>100</v>
      </c>
      <c r="Q176" s="364"/>
      <c r="R176" s="598"/>
      <c r="S176" s="321"/>
      <c r="T176" s="30"/>
      <c r="W176" s="14"/>
    </row>
    <row r="177" spans="1:25" s="1" customFormat="1" ht="14.25" customHeight="1" x14ac:dyDescent="0.2">
      <c r="A177" s="132"/>
      <c r="B177" s="1056"/>
      <c r="C177" s="1066"/>
      <c r="D177" s="453"/>
      <c r="E177" s="96"/>
      <c r="F177" s="60"/>
      <c r="G177" s="204"/>
      <c r="H177" s="494"/>
      <c r="I177" s="752"/>
      <c r="J177" s="99" t="s">
        <v>17</v>
      </c>
      <c r="K177" s="461">
        <v>45.4</v>
      </c>
      <c r="L177" s="268"/>
      <c r="M177" s="219"/>
      <c r="N177" s="268"/>
      <c r="O177" s="378" t="s">
        <v>100</v>
      </c>
      <c r="P177" s="405">
        <v>100</v>
      </c>
      <c r="Q177" s="384"/>
      <c r="R177" s="357"/>
      <c r="S177" s="313"/>
      <c r="T177" s="30"/>
      <c r="W177" s="14"/>
      <c r="X177" s="14"/>
    </row>
    <row r="178" spans="1:25" s="1" customFormat="1" ht="14.25" customHeight="1" x14ac:dyDescent="0.2">
      <c r="A178" s="132"/>
      <c r="B178" s="1056"/>
      <c r="C178" s="1066"/>
      <c r="D178" s="453"/>
      <c r="E178" s="96"/>
      <c r="F178" s="60"/>
      <c r="G178" s="204"/>
      <c r="H178" s="494"/>
      <c r="I178" s="753"/>
      <c r="J178" s="186" t="s">
        <v>18</v>
      </c>
      <c r="K178" s="642">
        <f>SUM(K169:K177)</f>
        <v>70.8</v>
      </c>
      <c r="L178" s="250">
        <f>SUM(L169:L177)</f>
        <v>9.4</v>
      </c>
      <c r="M178" s="256">
        <f>SUM(M169:M177)</f>
        <v>64.27</v>
      </c>
      <c r="N178" s="252">
        <f t="shared" ref="N178" si="7">SUM(N169:N177)</f>
        <v>0</v>
      </c>
      <c r="O178" s="682"/>
      <c r="P178" s="406"/>
      <c r="Q178" s="363"/>
      <c r="R178" s="336"/>
      <c r="S178" s="337"/>
      <c r="T178" s="54"/>
      <c r="U178" s="14"/>
      <c r="V178" s="14"/>
      <c r="X178" s="14"/>
      <c r="Y178" s="14"/>
    </row>
    <row r="179" spans="1:25" s="1" customFormat="1" ht="30" customHeight="1" x14ac:dyDescent="0.2">
      <c r="A179" s="136"/>
      <c r="B179" s="1056"/>
      <c r="C179" s="1066"/>
      <c r="D179" s="455" t="s">
        <v>21</v>
      </c>
      <c r="E179" s="1576" t="s">
        <v>154</v>
      </c>
      <c r="F179" s="97"/>
      <c r="G179" s="414"/>
      <c r="H179" s="710" t="s">
        <v>16</v>
      </c>
      <c r="I179" s="959" t="s">
        <v>101</v>
      </c>
      <c r="J179" s="534" t="s">
        <v>17</v>
      </c>
      <c r="K179" s="461"/>
      <c r="L179" s="268">
        <v>100</v>
      </c>
      <c r="M179" s="219">
        <v>100</v>
      </c>
      <c r="N179" s="425"/>
      <c r="O179" s="1743" t="s">
        <v>155</v>
      </c>
      <c r="P179" s="405"/>
      <c r="Q179" s="417">
        <v>50</v>
      </c>
      <c r="R179" s="312">
        <v>100</v>
      </c>
      <c r="S179" s="313"/>
      <c r="T179" s="54"/>
      <c r="U179" s="14"/>
      <c r="V179" s="14"/>
      <c r="X179" s="14"/>
      <c r="Y179" s="14"/>
    </row>
    <row r="180" spans="1:25" s="1" customFormat="1" ht="14.25" customHeight="1" x14ac:dyDescent="0.2">
      <c r="A180" s="136"/>
      <c r="B180" s="1056"/>
      <c r="C180" s="1066"/>
      <c r="D180" s="454"/>
      <c r="E180" s="1578"/>
      <c r="F180" s="415"/>
      <c r="G180" s="416"/>
      <c r="H180" s="712"/>
      <c r="I180" s="960"/>
      <c r="J180" s="118" t="s">
        <v>18</v>
      </c>
      <c r="K180" s="642">
        <f>SUM(K179)</f>
        <v>0</v>
      </c>
      <c r="L180" s="250">
        <f>SUM(L179)</f>
        <v>100</v>
      </c>
      <c r="M180" s="256">
        <f>M179</f>
        <v>100</v>
      </c>
      <c r="N180" s="424"/>
      <c r="O180" s="1744"/>
      <c r="P180" s="1026"/>
      <c r="Q180" s="418"/>
      <c r="R180" s="312"/>
      <c r="S180" s="313"/>
      <c r="T180" s="54"/>
      <c r="U180" s="14"/>
      <c r="V180" s="14"/>
      <c r="X180" s="14"/>
      <c r="Y180" s="14"/>
    </row>
    <row r="181" spans="1:25" s="1" customFormat="1" ht="15.75" customHeight="1" x14ac:dyDescent="0.2">
      <c r="A181" s="136"/>
      <c r="B181" s="1056"/>
      <c r="C181" s="1069"/>
      <c r="D181" s="1032" t="s">
        <v>34</v>
      </c>
      <c r="E181" s="102" t="s">
        <v>72</v>
      </c>
      <c r="F181" s="188"/>
      <c r="G181" s="1560">
        <v>11010100</v>
      </c>
      <c r="H181" s="550">
        <v>6</v>
      </c>
      <c r="I181" s="1708" t="s">
        <v>102</v>
      </c>
      <c r="J181" s="120" t="s">
        <v>17</v>
      </c>
      <c r="K181" s="662">
        <v>157.9</v>
      </c>
      <c r="L181" s="421">
        <v>181.8</v>
      </c>
      <c r="M181" s="429">
        <v>181.8</v>
      </c>
      <c r="N181" s="423">
        <v>181.8</v>
      </c>
      <c r="O181" s="78" t="s">
        <v>73</v>
      </c>
      <c r="P181" s="404">
        <v>6</v>
      </c>
      <c r="Q181" s="185">
        <v>6</v>
      </c>
      <c r="R181" s="419">
        <v>6</v>
      </c>
      <c r="S181" s="420">
        <v>6</v>
      </c>
      <c r="T181" s="54"/>
      <c r="U181" s="14"/>
      <c r="Y181" s="14"/>
    </row>
    <row r="182" spans="1:25" s="1" customFormat="1" ht="15.75" customHeight="1" x14ac:dyDescent="0.2">
      <c r="A182" s="136"/>
      <c r="B182" s="1056"/>
      <c r="C182" s="1069"/>
      <c r="D182" s="1032"/>
      <c r="E182" s="81"/>
      <c r="F182" s="64"/>
      <c r="G182" s="1602"/>
      <c r="H182" s="1086"/>
      <c r="I182" s="1708"/>
      <c r="J182" s="117" t="s">
        <v>79</v>
      </c>
      <c r="K182" s="662">
        <v>23.5</v>
      </c>
      <c r="L182" s="423"/>
      <c r="M182" s="246"/>
      <c r="N182" s="423"/>
      <c r="O182" s="78"/>
      <c r="P182" s="407"/>
      <c r="Q182" s="66"/>
      <c r="R182" s="288"/>
      <c r="S182" s="289"/>
      <c r="T182" s="30"/>
    </row>
    <row r="183" spans="1:25" s="1" customFormat="1" ht="15.75" customHeight="1" x14ac:dyDescent="0.2">
      <c r="A183" s="136"/>
      <c r="B183" s="1056"/>
      <c r="C183" s="1069"/>
      <c r="D183" s="1032"/>
      <c r="E183" s="81"/>
      <c r="F183" s="79"/>
      <c r="G183" s="1603"/>
      <c r="H183" s="551"/>
      <c r="I183" s="1709"/>
      <c r="J183" s="118" t="s">
        <v>18</v>
      </c>
      <c r="K183" s="663">
        <f>SUM(K181:K182)</f>
        <v>181.4</v>
      </c>
      <c r="L183" s="426">
        <f t="shared" ref="L183:N183" si="8">SUM(L181:L182)</f>
        <v>181.8</v>
      </c>
      <c r="M183" s="365">
        <f t="shared" si="8"/>
        <v>181.8</v>
      </c>
      <c r="N183" s="427">
        <f t="shared" si="8"/>
        <v>181.8</v>
      </c>
      <c r="O183" s="78"/>
      <c r="P183" s="407"/>
      <c r="Q183" s="66"/>
      <c r="R183" s="288"/>
      <c r="S183" s="289"/>
      <c r="T183" s="30"/>
    </row>
    <row r="184" spans="1:25" s="1" customFormat="1" ht="13.5" customHeight="1" thickBot="1" x14ac:dyDescent="0.25">
      <c r="A184" s="132"/>
      <c r="B184" s="1056"/>
      <c r="C184" s="1066"/>
      <c r="D184" s="453"/>
      <c r="E184" s="1039"/>
      <c r="F184" s="685"/>
      <c r="G184" s="686"/>
      <c r="H184" s="713"/>
      <c r="I184" s="1583" t="s">
        <v>45</v>
      </c>
      <c r="J184" s="1583"/>
      <c r="K184" s="467">
        <f>+K183+K178+K168+K180</f>
        <v>412.1</v>
      </c>
      <c r="L184" s="209">
        <f>+L183+L178+L168+L180</f>
        <v>452.8</v>
      </c>
      <c r="M184" s="220">
        <f t="shared" ref="M184:N184" si="9">+M183+M178+M168+M180</f>
        <v>591.27</v>
      </c>
      <c r="N184" s="216">
        <f t="shared" si="9"/>
        <v>413.8</v>
      </c>
      <c r="O184" s="1064"/>
      <c r="P184" s="544"/>
      <c r="Q184" s="709"/>
      <c r="R184" s="651"/>
      <c r="S184" s="652"/>
      <c r="T184" s="32"/>
    </row>
    <row r="185" spans="1:25" s="1" customFormat="1" ht="16.5" customHeight="1" x14ac:dyDescent="0.2">
      <c r="A185" s="131" t="s">
        <v>13</v>
      </c>
      <c r="B185" s="1487" t="s">
        <v>21</v>
      </c>
      <c r="C185" s="1565" t="s">
        <v>34</v>
      </c>
      <c r="D185" s="451"/>
      <c r="E185" s="1604" t="s">
        <v>105</v>
      </c>
      <c r="F185" s="1606"/>
      <c r="G185" s="1453">
        <v>11020404</v>
      </c>
      <c r="H185" s="1613">
        <v>1</v>
      </c>
      <c r="I185" s="754" t="s">
        <v>106</v>
      </c>
      <c r="J185" s="46" t="s">
        <v>17</v>
      </c>
      <c r="K185" s="683">
        <v>207</v>
      </c>
      <c r="L185" s="542"/>
      <c r="M185" s="255"/>
      <c r="N185" s="489"/>
      <c r="O185" s="1612" t="s">
        <v>107</v>
      </c>
      <c r="P185" s="73">
        <v>100</v>
      </c>
      <c r="Q185" s="338">
        <v>100</v>
      </c>
      <c r="R185" s="339"/>
      <c r="S185" s="340"/>
    </row>
    <row r="186" spans="1:25" s="1" customFormat="1" ht="16.5" customHeight="1" x14ac:dyDescent="0.2">
      <c r="A186" s="132"/>
      <c r="B186" s="1488"/>
      <c r="C186" s="1701"/>
      <c r="D186" s="453"/>
      <c r="E186" s="1702"/>
      <c r="F186" s="1703"/>
      <c r="G186" s="1454"/>
      <c r="H186" s="1704"/>
      <c r="I186" s="755"/>
      <c r="J186" s="541" t="s">
        <v>79</v>
      </c>
      <c r="K186" s="660"/>
      <c r="L186" s="280">
        <v>250.3</v>
      </c>
      <c r="M186" s="258"/>
      <c r="N186" s="473"/>
      <c r="O186" s="1584"/>
      <c r="P186" s="462"/>
      <c r="Q186" s="311"/>
      <c r="R186" s="312"/>
      <c r="S186" s="313"/>
    </row>
    <row r="187" spans="1:25" s="1" customFormat="1" ht="15.75" customHeight="1" thickBot="1" x14ac:dyDescent="0.25">
      <c r="A187" s="134"/>
      <c r="B187" s="1489"/>
      <c r="C187" s="1566"/>
      <c r="D187" s="452"/>
      <c r="E187" s="1605"/>
      <c r="F187" s="1607"/>
      <c r="G187" s="1455"/>
      <c r="H187" s="1614"/>
      <c r="I187" s="756"/>
      <c r="J187" s="684" t="s">
        <v>18</v>
      </c>
      <c r="K187" s="467">
        <f>SUM(K185:K186)</f>
        <v>207</v>
      </c>
      <c r="L187" s="553">
        <f t="shared" ref="L187:N187" si="10">SUM(L185:L186)</f>
        <v>250.3</v>
      </c>
      <c r="M187" s="220">
        <f t="shared" si="10"/>
        <v>0</v>
      </c>
      <c r="N187" s="216">
        <f t="shared" si="10"/>
        <v>0</v>
      </c>
      <c r="O187" s="1482"/>
      <c r="P187" s="29"/>
      <c r="Q187" s="314"/>
      <c r="R187" s="315"/>
      <c r="S187" s="316"/>
    </row>
    <row r="188" spans="1:25" s="1" customFormat="1" ht="14.25" customHeight="1" thickBot="1" x14ac:dyDescent="0.25">
      <c r="A188" s="127" t="s">
        <v>13</v>
      </c>
      <c r="B188" s="31" t="s">
        <v>21</v>
      </c>
      <c r="C188" s="1534" t="s">
        <v>22</v>
      </c>
      <c r="D188" s="1534"/>
      <c r="E188" s="1534"/>
      <c r="F188" s="1534"/>
      <c r="G188" s="1534"/>
      <c r="H188" s="1534"/>
      <c r="I188" s="1534"/>
      <c r="J188" s="1568"/>
      <c r="K188" s="664">
        <f>+K184+K148+K187+K119</f>
        <v>4552.9000000000005</v>
      </c>
      <c r="L188" s="704">
        <f>+L184+L148+L187+L119</f>
        <v>4294.5000000000009</v>
      </c>
      <c r="M188" s="247">
        <f>+M184+M148+M187+M119</f>
        <v>4798.4700000000012</v>
      </c>
      <c r="N188" s="428">
        <f>+N184+N148+N187+N119</f>
        <v>5630.3</v>
      </c>
      <c r="O188" s="1615"/>
      <c r="P188" s="1616"/>
      <c r="Q188" s="1616"/>
      <c r="R188" s="1616"/>
      <c r="S188" s="1617"/>
      <c r="T188" s="1597"/>
      <c r="V188" s="14"/>
    </row>
    <row r="189" spans="1:25" s="1" customFormat="1" ht="14.25" customHeight="1" thickBot="1" x14ac:dyDescent="0.25">
      <c r="A189" s="142" t="s">
        <v>13</v>
      </c>
      <c r="B189" s="31" t="s">
        <v>34</v>
      </c>
      <c r="C189" s="1598" t="s">
        <v>47</v>
      </c>
      <c r="D189" s="1599"/>
      <c r="E189" s="1599"/>
      <c r="F189" s="1599"/>
      <c r="G189" s="1599"/>
      <c r="H189" s="1599"/>
      <c r="I189" s="1599"/>
      <c r="J189" s="1599"/>
      <c r="K189" s="1599"/>
      <c r="L189" s="1599"/>
      <c r="M189" s="1599"/>
      <c r="N189" s="1599"/>
      <c r="O189" s="1599"/>
      <c r="P189" s="552"/>
      <c r="Q189" s="346"/>
      <c r="R189" s="346"/>
      <c r="S189" s="347"/>
      <c r="T189" s="1597"/>
      <c r="V189" s="14"/>
    </row>
    <row r="190" spans="1:25" s="1" customFormat="1" ht="41.25" customHeight="1" x14ac:dyDescent="0.2">
      <c r="A190" s="131" t="s">
        <v>13</v>
      </c>
      <c r="B190" s="1020" t="s">
        <v>34</v>
      </c>
      <c r="C190" s="10" t="s">
        <v>13</v>
      </c>
      <c r="D190" s="447"/>
      <c r="E190" s="82" t="s">
        <v>217</v>
      </c>
      <c r="F190" s="33"/>
      <c r="G190" s="1699">
        <v>11030607</v>
      </c>
      <c r="H190" s="61" t="s">
        <v>16</v>
      </c>
      <c r="I190" s="757" t="s">
        <v>101</v>
      </c>
      <c r="J190" s="119" t="s">
        <v>17</v>
      </c>
      <c r="K190" s="683">
        <v>665.3</v>
      </c>
      <c r="L190" s="1114">
        <f>755.3+250-30</f>
        <v>975.3</v>
      </c>
      <c r="M190" s="470">
        <f>755.3+250.7-250</f>
        <v>756</v>
      </c>
      <c r="N190" s="476">
        <f>755.3+250.7-250</f>
        <v>756</v>
      </c>
      <c r="O190" s="114" t="s">
        <v>118</v>
      </c>
      <c r="P190" s="173">
        <v>6</v>
      </c>
      <c r="Q190" s="348">
        <v>6</v>
      </c>
      <c r="R190" s="349">
        <v>6</v>
      </c>
      <c r="S190" s="350">
        <v>7</v>
      </c>
      <c r="T190" s="1597"/>
    </row>
    <row r="191" spans="1:25" s="1" customFormat="1" ht="31.5" customHeight="1" x14ac:dyDescent="0.2">
      <c r="A191" s="132"/>
      <c r="B191" s="1056"/>
      <c r="C191" s="12"/>
      <c r="D191" s="150"/>
      <c r="E191" s="103" t="s">
        <v>120</v>
      </c>
      <c r="F191" s="80"/>
      <c r="G191" s="1586"/>
      <c r="H191" s="1060"/>
      <c r="I191" s="758"/>
      <c r="J191" s="117" t="s">
        <v>17</v>
      </c>
      <c r="K191" s="660">
        <v>70</v>
      </c>
      <c r="L191" s="208"/>
      <c r="M191" s="219"/>
      <c r="N191" s="215"/>
      <c r="O191" s="1700" t="s">
        <v>119</v>
      </c>
      <c r="P191" s="88">
        <v>1</v>
      </c>
      <c r="Q191" s="311"/>
      <c r="R191" s="312"/>
      <c r="S191" s="313"/>
      <c r="T191" s="34"/>
      <c r="U191" s="30"/>
    </row>
    <row r="192" spans="1:25" s="1" customFormat="1" ht="15" customHeight="1" thickBot="1" x14ac:dyDescent="0.25">
      <c r="A192" s="134"/>
      <c r="B192" s="1021"/>
      <c r="C192" s="15"/>
      <c r="D192" s="448"/>
      <c r="E192" s="100"/>
      <c r="F192" s="55"/>
      <c r="G192" s="1037"/>
      <c r="H192" s="62"/>
      <c r="I192" s="759"/>
      <c r="J192" s="121" t="s">
        <v>18</v>
      </c>
      <c r="K192" s="467">
        <f>SUM(K190:K191)</f>
        <v>735.3</v>
      </c>
      <c r="L192" s="209">
        <f t="shared" ref="L192:N192" si="11">SUM(L190:L191)</f>
        <v>975.3</v>
      </c>
      <c r="M192" s="220">
        <f t="shared" si="11"/>
        <v>756</v>
      </c>
      <c r="N192" s="216">
        <f t="shared" si="11"/>
        <v>756</v>
      </c>
      <c r="O192" s="1625"/>
      <c r="P192" s="1053"/>
      <c r="Q192" s="314"/>
      <c r="R192" s="315"/>
      <c r="S192" s="316"/>
      <c r="T192" s="1026"/>
      <c r="U192" s="30"/>
    </row>
    <row r="193" spans="1:24" s="1" customFormat="1" ht="32.25" customHeight="1" x14ac:dyDescent="0.2">
      <c r="A193" s="131" t="s">
        <v>13</v>
      </c>
      <c r="B193" s="1487" t="s">
        <v>34</v>
      </c>
      <c r="C193" s="1565" t="s">
        <v>19</v>
      </c>
      <c r="D193" s="451"/>
      <c r="E193" s="1604" t="s">
        <v>218</v>
      </c>
      <c r="F193" s="1608"/>
      <c r="G193" s="1028">
        <v>11030701</v>
      </c>
      <c r="H193" s="1610" t="s">
        <v>16</v>
      </c>
      <c r="I193" s="760" t="s">
        <v>101</v>
      </c>
      <c r="J193" s="46" t="s">
        <v>17</v>
      </c>
      <c r="K193" s="683">
        <v>20</v>
      </c>
      <c r="L193" s="207">
        <v>50</v>
      </c>
      <c r="M193" s="255">
        <f>60-10</f>
        <v>50</v>
      </c>
      <c r="N193" s="281">
        <f>70-20</f>
        <v>50</v>
      </c>
      <c r="O193" s="1612" t="s">
        <v>48</v>
      </c>
      <c r="P193" s="73">
        <v>14</v>
      </c>
      <c r="Q193" s="339">
        <v>25</v>
      </c>
      <c r="R193" s="339">
        <v>25</v>
      </c>
      <c r="S193" s="340">
        <v>25</v>
      </c>
      <c r="W193" s="14"/>
      <c r="X193" s="14"/>
    </row>
    <row r="194" spans="1:24" s="1" customFormat="1" ht="13.5" thickBot="1" x14ac:dyDescent="0.25">
      <c r="A194" s="134"/>
      <c r="B194" s="1489"/>
      <c r="C194" s="1566"/>
      <c r="D194" s="452"/>
      <c r="E194" s="1605"/>
      <c r="F194" s="1609"/>
      <c r="G194" s="1029"/>
      <c r="H194" s="1611"/>
      <c r="I194" s="761"/>
      <c r="J194" s="45" t="s">
        <v>18</v>
      </c>
      <c r="K194" s="543">
        <f t="shared" ref="K194:N194" si="12">SUM(K193:K193)</f>
        <v>20</v>
      </c>
      <c r="L194" s="209">
        <f t="shared" si="12"/>
        <v>50</v>
      </c>
      <c r="M194" s="220">
        <f t="shared" si="12"/>
        <v>50</v>
      </c>
      <c r="N194" s="216">
        <f t="shared" si="12"/>
        <v>50</v>
      </c>
      <c r="O194" s="1482"/>
      <c r="P194" s="29"/>
      <c r="Q194" s="314"/>
      <c r="R194" s="315"/>
      <c r="S194" s="316"/>
    </row>
    <row r="195" spans="1:24" s="1" customFormat="1" ht="13.5" thickBot="1" x14ac:dyDescent="0.25">
      <c r="A195" s="127" t="s">
        <v>13</v>
      </c>
      <c r="B195" s="31" t="s">
        <v>34</v>
      </c>
      <c r="C195" s="1534" t="s">
        <v>22</v>
      </c>
      <c r="D195" s="1534"/>
      <c r="E195" s="1534"/>
      <c r="F195" s="1534"/>
      <c r="G195" s="1534"/>
      <c r="H195" s="1534"/>
      <c r="I195" s="1534"/>
      <c r="J195" s="1534"/>
      <c r="K195" s="687">
        <f>K194+K192</f>
        <v>755.3</v>
      </c>
      <c r="L195" s="8">
        <f t="shared" ref="L195:N195" si="13">L194+L192</f>
        <v>1025.3</v>
      </c>
      <c r="M195" s="225">
        <f t="shared" si="13"/>
        <v>806</v>
      </c>
      <c r="N195" s="556">
        <f t="shared" si="13"/>
        <v>806</v>
      </c>
      <c r="O195" s="1635"/>
      <c r="P195" s="1636"/>
      <c r="Q195" s="1636"/>
      <c r="R195" s="1636"/>
      <c r="S195" s="1637"/>
    </row>
    <row r="196" spans="1:24" s="93" customFormat="1" ht="13.5" thickBot="1" x14ac:dyDescent="0.25">
      <c r="A196" s="127" t="s">
        <v>13</v>
      </c>
      <c r="B196" s="1638" t="s">
        <v>49</v>
      </c>
      <c r="C196" s="1639"/>
      <c r="D196" s="1639"/>
      <c r="E196" s="1639"/>
      <c r="F196" s="1639"/>
      <c r="G196" s="1639"/>
      <c r="H196" s="1639"/>
      <c r="I196" s="1639"/>
      <c r="J196" s="1639"/>
      <c r="K196" s="688">
        <f>K188+K116+K37+K195</f>
        <v>11811.699999999999</v>
      </c>
      <c r="L196" s="557">
        <f>L188+L116+L37+L195</f>
        <v>12139.600000000002</v>
      </c>
      <c r="M196" s="558">
        <f>M188+M116+M37+M195</f>
        <v>12592.570000000002</v>
      </c>
      <c r="N196" s="705">
        <f>N188+N116+N37+N195</f>
        <v>13321.099999999999</v>
      </c>
      <c r="O196" s="143"/>
      <c r="P196" s="351"/>
      <c r="Q196" s="351"/>
      <c r="R196" s="351"/>
      <c r="S196" s="144"/>
    </row>
    <row r="197" spans="1:24" s="93" customFormat="1" ht="13.5" thickBot="1" x14ac:dyDescent="0.25">
      <c r="A197" s="145" t="s">
        <v>50</v>
      </c>
      <c r="B197" s="1640" t="s">
        <v>51</v>
      </c>
      <c r="C197" s="1641"/>
      <c r="D197" s="1641"/>
      <c r="E197" s="1641"/>
      <c r="F197" s="1641"/>
      <c r="G197" s="1641"/>
      <c r="H197" s="1641"/>
      <c r="I197" s="1641"/>
      <c r="J197" s="1641"/>
      <c r="K197" s="689">
        <f>K196</f>
        <v>11811.699999999999</v>
      </c>
      <c r="L197" s="559">
        <f t="shared" ref="L197:N197" si="14">L196</f>
        <v>12139.600000000002</v>
      </c>
      <c r="M197" s="560">
        <f t="shared" si="14"/>
        <v>12592.570000000002</v>
      </c>
      <c r="N197" s="706">
        <f t="shared" si="14"/>
        <v>13321.099999999999</v>
      </c>
      <c r="O197" s="146"/>
      <c r="P197" s="352"/>
      <c r="Q197" s="352"/>
      <c r="R197" s="352"/>
      <c r="S197" s="147"/>
    </row>
    <row r="198" spans="1:24" s="1" customFormat="1" ht="21.75" customHeight="1" thickBot="1" x14ac:dyDescent="0.25">
      <c r="A198" s="35"/>
      <c r="B198" s="1642" t="s">
        <v>52</v>
      </c>
      <c r="C198" s="1642"/>
      <c r="D198" s="1642"/>
      <c r="E198" s="1642"/>
      <c r="F198" s="1642"/>
      <c r="G198" s="1642"/>
      <c r="H198" s="1642"/>
      <c r="I198" s="1642"/>
      <c r="J198" s="1642"/>
      <c r="K198" s="1642"/>
      <c r="L198" s="1642"/>
      <c r="M198" s="1642"/>
      <c r="N198" s="1642"/>
      <c r="O198" s="37"/>
      <c r="P198" s="1081"/>
      <c r="Q198" s="1081"/>
      <c r="R198" s="1081"/>
      <c r="S198" s="1081"/>
    </row>
    <row r="199" spans="1:24" s="1" customFormat="1" ht="38.25" customHeight="1" x14ac:dyDescent="0.2">
      <c r="A199" s="36"/>
      <c r="B199" s="1643" t="s">
        <v>53</v>
      </c>
      <c r="C199" s="1644"/>
      <c r="D199" s="1644"/>
      <c r="E199" s="1644"/>
      <c r="F199" s="1644"/>
      <c r="G199" s="1644"/>
      <c r="H199" s="1644"/>
      <c r="I199" s="1644"/>
      <c r="J199" s="1644"/>
      <c r="K199" s="724" t="s">
        <v>129</v>
      </c>
      <c r="L199" s="725" t="s">
        <v>139</v>
      </c>
      <c r="M199" s="726" t="s">
        <v>140</v>
      </c>
      <c r="N199" s="727" t="s">
        <v>141</v>
      </c>
      <c r="O199" s="38"/>
      <c r="P199" s="155"/>
      <c r="Q199" s="155"/>
      <c r="R199" s="155"/>
      <c r="S199" s="155"/>
    </row>
    <row r="200" spans="1:24" s="1" customFormat="1" x14ac:dyDescent="0.2">
      <c r="A200" s="36"/>
      <c r="B200" s="1626" t="s">
        <v>54</v>
      </c>
      <c r="C200" s="1627"/>
      <c r="D200" s="1627"/>
      <c r="E200" s="1627"/>
      <c r="F200" s="1627"/>
      <c r="G200" s="1627"/>
      <c r="H200" s="1627"/>
      <c r="I200" s="1627"/>
      <c r="J200" s="1627"/>
      <c r="K200" s="563">
        <f t="shared" ref="K200:N200" si="15">SUM(K201:K207)</f>
        <v>11246.199999999997</v>
      </c>
      <c r="L200" s="562">
        <f t="shared" si="15"/>
        <v>12021</v>
      </c>
      <c r="M200" s="561">
        <f>SUM(M201:M207)</f>
        <v>11456.869999999999</v>
      </c>
      <c r="N200" s="720">
        <f t="shared" si="15"/>
        <v>12585.999999999996</v>
      </c>
      <c r="P200" s="153"/>
      <c r="Q200" s="153"/>
      <c r="R200" s="153"/>
      <c r="S200" s="153"/>
      <c r="V200" s="14"/>
    </row>
    <row r="201" spans="1:24" s="1" customFormat="1" ht="12.75" customHeight="1" x14ac:dyDescent="0.2">
      <c r="A201" s="36"/>
      <c r="B201" s="1629" t="s">
        <v>55</v>
      </c>
      <c r="C201" s="1630"/>
      <c r="D201" s="1630"/>
      <c r="E201" s="1630"/>
      <c r="F201" s="1630"/>
      <c r="G201" s="1630"/>
      <c r="H201" s="1630"/>
      <c r="I201" s="1630"/>
      <c r="J201" s="1630"/>
      <c r="K201" s="567">
        <f>SUMIF(J13:J193,"sb",K13:K193)</f>
        <v>9143.4</v>
      </c>
      <c r="L201" s="564">
        <f>SUMIF(J13:J193,"sb",L13:L193)</f>
        <v>8717.2000000000007</v>
      </c>
      <c r="M201" s="565">
        <f>SUMIF(J13:J193,"sb",M13:M193)</f>
        <v>8516.4699999999993</v>
      </c>
      <c r="N201" s="566">
        <f>SUMIF(J13:J193,"sb",N13:N193)</f>
        <v>12235.699999999997</v>
      </c>
      <c r="O201" s="930"/>
      <c r="P201" s="154"/>
      <c r="Q201" s="353"/>
      <c r="R201" s="353"/>
      <c r="S201" s="353"/>
    </row>
    <row r="202" spans="1:24" s="1" customFormat="1" ht="12.75" customHeight="1" x14ac:dyDescent="0.2">
      <c r="A202" s="36"/>
      <c r="B202" s="1631" t="s">
        <v>313</v>
      </c>
      <c r="C202" s="1632"/>
      <c r="D202" s="1632"/>
      <c r="E202" s="1632"/>
      <c r="F202" s="1632"/>
      <c r="G202" s="1632"/>
      <c r="H202" s="1632"/>
      <c r="I202" s="1632"/>
      <c r="J202" s="1632"/>
      <c r="K202" s="567"/>
      <c r="L202" s="564">
        <f>SUMIF(J13:J194,"sb(p)",L13:L194)</f>
        <v>1500</v>
      </c>
      <c r="M202" s="564">
        <f>SUMIF(J13:J194,"sb(p)",M13:M194)</f>
        <v>1913.5</v>
      </c>
      <c r="N202" s="566"/>
      <c r="O202" s="191"/>
      <c r="P202" s="154"/>
      <c r="Q202" s="353"/>
      <c r="R202" s="353"/>
      <c r="S202" s="353"/>
    </row>
    <row r="203" spans="1:24" s="1" customFormat="1" ht="12.75" customHeight="1" x14ac:dyDescent="0.2">
      <c r="A203" s="36"/>
      <c r="B203" s="1633" t="s">
        <v>80</v>
      </c>
      <c r="C203" s="1634"/>
      <c r="D203" s="1634"/>
      <c r="E203" s="1634"/>
      <c r="F203" s="1634"/>
      <c r="G203" s="1634"/>
      <c r="H203" s="1634"/>
      <c r="I203" s="1634"/>
      <c r="J203" s="1634"/>
      <c r="K203" s="1079">
        <f>SUMIF(J19:J194,"sb(l)",K19:K194)</f>
        <v>1027.4000000000001</v>
      </c>
      <c r="L203" s="234">
        <f>SUMIF(J19:J194,"sb(l)",L19:L194)</f>
        <v>818.8</v>
      </c>
      <c r="M203" s="243">
        <f>SUMIF(J19:J194,"sb(l)",M19:M194)</f>
        <v>0</v>
      </c>
      <c r="N203" s="491">
        <f>SUMIF(J19:J194,"sb(l)",N19:N194)</f>
        <v>0</v>
      </c>
      <c r="O203" s="1082"/>
      <c r="P203" s="154"/>
      <c r="Q203" s="154"/>
      <c r="R203" s="154"/>
      <c r="S203" s="154"/>
      <c r="X203" s="14"/>
    </row>
    <row r="204" spans="1:24" s="1" customFormat="1" ht="15" customHeight="1" x14ac:dyDescent="0.2">
      <c r="A204" s="36"/>
      <c r="B204" s="1439" t="s">
        <v>56</v>
      </c>
      <c r="C204" s="1440"/>
      <c r="D204" s="1440"/>
      <c r="E204" s="1440"/>
      <c r="F204" s="1440"/>
      <c r="G204" s="1440"/>
      <c r="H204" s="1440"/>
      <c r="I204" s="1440"/>
      <c r="J204" s="1440"/>
      <c r="K204" s="707">
        <f>SUMIF(J13:J193,"sb(sp)",K13:K193)</f>
        <v>361.4</v>
      </c>
      <c r="L204" s="569">
        <f>SUMIF(J13:J193,"sb(sp)",L13:L193)</f>
        <v>350.3</v>
      </c>
      <c r="M204" s="568">
        <f>SUMIF(J13:J193,"sb(sp)",M13:M193)</f>
        <v>350.3</v>
      </c>
      <c r="N204" s="721">
        <f>SUMIF(J13:J193,"sb(sp)",N13:N193)</f>
        <v>350.3</v>
      </c>
      <c r="O204" s="1082"/>
      <c r="P204" s="154"/>
      <c r="Q204" s="154"/>
      <c r="R204" s="154"/>
      <c r="S204" s="154"/>
    </row>
    <row r="205" spans="1:24" s="1" customFormat="1" ht="15" customHeight="1" x14ac:dyDescent="0.2">
      <c r="A205" s="36"/>
      <c r="B205" s="1439" t="s">
        <v>78</v>
      </c>
      <c r="C205" s="1440"/>
      <c r="D205" s="1440"/>
      <c r="E205" s="1440"/>
      <c r="F205" s="1440"/>
      <c r="G205" s="1440"/>
      <c r="H205" s="1440"/>
      <c r="I205" s="1440"/>
      <c r="J205" s="1440"/>
      <c r="K205" s="707">
        <f>SUMIF(J19:J194,"sb(spl)",K19:K194)</f>
        <v>50.9</v>
      </c>
      <c r="L205" s="569">
        <f>SUMIF(J19:J194,"sb(spl)",L19:L194)</f>
        <v>0</v>
      </c>
      <c r="M205" s="568">
        <f>SUMIF(J19:J194,"sb(spl)",M19:M194)</f>
        <v>0</v>
      </c>
      <c r="N205" s="721">
        <f>SUMIF(J19:J194,"sb(spl)",N19:N194)</f>
        <v>0</v>
      </c>
      <c r="O205" s="1082"/>
      <c r="P205" s="154"/>
      <c r="Q205" s="154"/>
      <c r="R205" s="154"/>
      <c r="S205" s="154"/>
    </row>
    <row r="206" spans="1:24" s="1" customFormat="1" x14ac:dyDescent="0.2">
      <c r="A206" s="36"/>
      <c r="B206" s="1439" t="s">
        <v>57</v>
      </c>
      <c r="C206" s="1440"/>
      <c r="D206" s="1440"/>
      <c r="E206" s="1440"/>
      <c r="F206" s="1440"/>
      <c r="G206" s="1440"/>
      <c r="H206" s="1440"/>
      <c r="I206" s="1440"/>
      <c r="J206" s="1440"/>
      <c r="K206" s="708">
        <f>SUMIF(J13:J193,"SB(VB)",K13:K193)</f>
        <v>53.8</v>
      </c>
      <c r="L206" s="570">
        <f>SUMIF(J13:J193,"SB(VB)",L13:L193)</f>
        <v>51.5</v>
      </c>
      <c r="M206" s="571">
        <f>SUMIF(J13:J193,"SB(VB)",M13:M193)</f>
        <v>54.9</v>
      </c>
      <c r="N206" s="722">
        <f>SUMIF(J13:J193,"SB(VB)",N13:N193)</f>
        <v>0</v>
      </c>
      <c r="O206" s="1082"/>
      <c r="P206" s="154"/>
      <c r="Q206" s="154"/>
      <c r="R206" s="154"/>
      <c r="S206" s="154"/>
    </row>
    <row r="207" spans="1:24" s="1" customFormat="1" x14ac:dyDescent="0.2">
      <c r="A207" s="36"/>
      <c r="B207" s="1439" t="s">
        <v>82</v>
      </c>
      <c r="C207" s="1440"/>
      <c r="D207" s="1440"/>
      <c r="E207" s="1440"/>
      <c r="F207" s="1440"/>
      <c r="G207" s="1440"/>
      <c r="H207" s="1440"/>
      <c r="I207" s="1440"/>
      <c r="J207" s="1440"/>
      <c r="K207" s="708">
        <f>SUMIF(J19:J194,"SB(ES)",K19:K194)</f>
        <v>609.29999999999995</v>
      </c>
      <c r="L207" s="570">
        <f>SUMIF(J19:J194,"SB(ES)",L19:L194)</f>
        <v>583.20000000000005</v>
      </c>
      <c r="M207" s="571">
        <f>SUMIF(J19:J194,"SB(ES)",M19:M194)</f>
        <v>621.70000000000005</v>
      </c>
      <c r="N207" s="722">
        <f>SUMIF(J19:J194,"SB(ES)",N19:N194)</f>
        <v>0</v>
      </c>
      <c r="O207" s="1082"/>
      <c r="P207" s="154"/>
      <c r="Q207" s="154"/>
      <c r="R207" s="154"/>
      <c r="S207" s="154"/>
    </row>
    <row r="208" spans="1:24" s="1" customFormat="1" x14ac:dyDescent="0.2">
      <c r="A208" s="36"/>
      <c r="B208" s="1697" t="s">
        <v>58</v>
      </c>
      <c r="C208" s="1698"/>
      <c r="D208" s="1698"/>
      <c r="E208" s="1698"/>
      <c r="F208" s="1698"/>
      <c r="G208" s="1698"/>
      <c r="H208" s="1698"/>
      <c r="I208" s="1698"/>
      <c r="J208" s="1698"/>
      <c r="K208" s="574">
        <f t="shared" ref="K208:N208" si="16">SUM(K209:K211)</f>
        <v>565.49999999999989</v>
      </c>
      <c r="L208" s="573">
        <f>SUM(L209:L211)</f>
        <v>118.6</v>
      </c>
      <c r="M208" s="572">
        <f t="shared" si="16"/>
        <v>1135.6999999999998</v>
      </c>
      <c r="N208" s="723">
        <f t="shared" si="16"/>
        <v>735.1</v>
      </c>
      <c r="O208" s="39"/>
      <c r="P208" s="153"/>
      <c r="Q208" s="153"/>
      <c r="R208" s="153"/>
      <c r="S208" s="153"/>
    </row>
    <row r="209" spans="1:31" s="1" customFormat="1" x14ac:dyDescent="0.2">
      <c r="A209" s="36"/>
      <c r="B209" s="1633" t="s">
        <v>59</v>
      </c>
      <c r="C209" s="1634"/>
      <c r="D209" s="1634"/>
      <c r="E209" s="1634"/>
      <c r="F209" s="1634"/>
      <c r="G209" s="1634"/>
      <c r="H209" s="1634"/>
      <c r="I209" s="1634"/>
      <c r="J209" s="1634"/>
      <c r="K209" s="578">
        <f>SUMIF(J13:J193,"es",K13:K193)</f>
        <v>478.9</v>
      </c>
      <c r="L209" s="576">
        <f>SUMIF(J13:J193,"es",L13:L193)</f>
        <v>0</v>
      </c>
      <c r="M209" s="575">
        <f>SUMIF(J13:J193,"es",M13:M193)</f>
        <v>0</v>
      </c>
      <c r="N209" s="577">
        <f>SUMIF(J13:J193,"es",N13:N193)</f>
        <v>0</v>
      </c>
      <c r="O209" s="1082"/>
      <c r="P209" s="154"/>
      <c r="Q209" s="154"/>
      <c r="R209" s="154"/>
      <c r="S209" s="154"/>
    </row>
    <row r="210" spans="1:31" s="1" customFormat="1" x14ac:dyDescent="0.2">
      <c r="A210" s="36"/>
      <c r="B210" s="1629" t="s">
        <v>60</v>
      </c>
      <c r="C210" s="1630"/>
      <c r="D210" s="1630"/>
      <c r="E210" s="1630"/>
      <c r="F210" s="1630"/>
      <c r="G210" s="1630"/>
      <c r="H210" s="1630"/>
      <c r="I210" s="1630"/>
      <c r="J210" s="1630"/>
      <c r="K210" s="578">
        <f>SUMIF(J13:J193,"lrvb",K13:K193)</f>
        <v>59.3</v>
      </c>
      <c r="L210" s="576">
        <f>SUMIF(J13:J193,"lrvb",L13:L193)</f>
        <v>118.6</v>
      </c>
      <c r="M210" s="575">
        <f>SUMIF(J13:J193,"lrvb",M13:M193)</f>
        <v>1135.6999999999998</v>
      </c>
      <c r="N210" s="577">
        <f>SUMIF(J13:J193,"lrvb",N13:N193)</f>
        <v>735.1</v>
      </c>
      <c r="O210" s="1082"/>
      <c r="P210" s="154"/>
      <c r="Q210" s="154"/>
      <c r="R210" s="154"/>
      <c r="S210" s="154"/>
      <c r="Y210" s="14"/>
      <c r="AE210" s="14"/>
    </row>
    <row r="211" spans="1:31" x14ac:dyDescent="0.2">
      <c r="A211" s="36"/>
      <c r="B211" s="1633" t="s">
        <v>61</v>
      </c>
      <c r="C211" s="1634"/>
      <c r="D211" s="1634"/>
      <c r="E211" s="1634"/>
      <c r="F211" s="1634"/>
      <c r="G211" s="1634"/>
      <c r="H211" s="1634"/>
      <c r="I211" s="1634"/>
      <c r="J211" s="1634"/>
      <c r="K211" s="578">
        <f>SUMIF(J13:J193,"kt",K13:K193)</f>
        <v>27.3</v>
      </c>
      <c r="L211" s="576">
        <f>SUMIF(J13:J193,"kt",L13:L193)</f>
        <v>0</v>
      </c>
      <c r="M211" s="575">
        <f>SUMIF(J13:J193,"kt",M13:M193)</f>
        <v>0</v>
      </c>
      <c r="N211" s="577">
        <f>SUMIF(J13:J193,"kt",N13:N193)</f>
        <v>0</v>
      </c>
      <c r="O211" s="1082"/>
      <c r="P211" s="154"/>
      <c r="Q211" s="154"/>
      <c r="R211" s="154"/>
      <c r="S211" s="154"/>
    </row>
    <row r="212" spans="1:31" ht="13.5" thickBot="1" x14ac:dyDescent="0.25">
      <c r="A212" s="40"/>
      <c r="B212" s="1695" t="s">
        <v>18</v>
      </c>
      <c r="C212" s="1696"/>
      <c r="D212" s="1696"/>
      <c r="E212" s="1696"/>
      <c r="F212" s="1696"/>
      <c r="G212" s="1696"/>
      <c r="H212" s="1696"/>
      <c r="I212" s="1696"/>
      <c r="J212" s="1696"/>
      <c r="K212" s="579">
        <f t="shared" ref="K212:M212" si="17">K208+K200</f>
        <v>11811.699999999997</v>
      </c>
      <c r="L212" s="508">
        <f t="shared" si="17"/>
        <v>12139.6</v>
      </c>
      <c r="M212" s="509">
        <f t="shared" si="17"/>
        <v>12592.57</v>
      </c>
      <c r="N212" s="370">
        <f>N208+N200</f>
        <v>13321.099999999997</v>
      </c>
      <c r="O212" s="41"/>
      <c r="P212" s="152"/>
      <c r="Q212" s="152"/>
      <c r="R212" s="152"/>
      <c r="S212" s="152"/>
    </row>
    <row r="213" spans="1:31" x14ac:dyDescent="0.2">
      <c r="K213" s="53"/>
      <c r="L213" s="53"/>
      <c r="M213" s="53"/>
      <c r="N213" s="53"/>
    </row>
    <row r="214" spans="1:31" x14ac:dyDescent="0.2">
      <c r="F214" s="1726" t="s">
        <v>137</v>
      </c>
      <c r="G214" s="1726"/>
      <c r="H214" s="1726"/>
      <c r="I214" s="1726"/>
      <c r="J214" s="1726"/>
      <c r="K214" s="1726"/>
      <c r="L214" s="1019"/>
      <c r="M214" s="994"/>
      <c r="N214" s="1019"/>
    </row>
    <row r="215" spans="1:31" x14ac:dyDescent="0.2">
      <c r="K215" s="53"/>
      <c r="L215" s="53"/>
      <c r="M215" s="53"/>
      <c r="N215" s="53"/>
    </row>
    <row r="216" spans="1:31" x14ac:dyDescent="0.2">
      <c r="K216" s="53"/>
      <c r="L216" s="53"/>
      <c r="M216" s="53"/>
      <c r="N216" s="53"/>
    </row>
    <row r="217" spans="1:31" x14ac:dyDescent="0.2">
      <c r="K217" s="53"/>
      <c r="L217" s="53"/>
      <c r="M217" s="53"/>
      <c r="N217" s="53"/>
    </row>
    <row r="218" spans="1:31" x14ac:dyDescent="0.2">
      <c r="K218" s="53"/>
      <c r="L218" s="53"/>
      <c r="M218" s="53"/>
      <c r="N218" s="53"/>
    </row>
    <row r="219" spans="1:31" x14ac:dyDescent="0.2">
      <c r="K219" s="53"/>
      <c r="L219" s="53"/>
      <c r="M219" s="53"/>
      <c r="N219" s="53"/>
    </row>
  </sheetData>
  <mergeCells count="190">
    <mergeCell ref="G24:G26"/>
    <mergeCell ref="H24:H26"/>
    <mergeCell ref="C37:J37"/>
    <mergeCell ref="O103:O104"/>
    <mergeCell ref="O18:O19"/>
    <mergeCell ref="P30:P31"/>
    <mergeCell ref="Q30:Q31"/>
    <mergeCell ref="R30:R31"/>
    <mergeCell ref="O167:O168"/>
    <mergeCell ref="C38:S38"/>
    <mergeCell ref="E39:E40"/>
    <mergeCell ref="E91:E92"/>
    <mergeCell ref="E103:E104"/>
    <mergeCell ref="O132:O133"/>
    <mergeCell ref="G135:G136"/>
    <mergeCell ref="I109:I110"/>
    <mergeCell ref="I105:I106"/>
    <mergeCell ref="E107:E108"/>
    <mergeCell ref="D132:D133"/>
    <mergeCell ref="F132:F133"/>
    <mergeCell ref="H132:H133"/>
    <mergeCell ref="I132:I133"/>
    <mergeCell ref="E111:E113"/>
    <mergeCell ref="S30:S31"/>
    <mergeCell ref="E13:E14"/>
    <mergeCell ref="O25:O26"/>
    <mergeCell ref="A27:A29"/>
    <mergeCell ref="F27:F29"/>
    <mergeCell ref="G27:G29"/>
    <mergeCell ref="I103:I104"/>
    <mergeCell ref="A24:A26"/>
    <mergeCell ref="B24:B26"/>
    <mergeCell ref="C24:C26"/>
    <mergeCell ref="E24:E26"/>
    <mergeCell ref="F24:F26"/>
    <mergeCell ref="O28:O29"/>
    <mergeCell ref="G80:G81"/>
    <mergeCell ref="E64:E65"/>
    <mergeCell ref="B27:B29"/>
    <mergeCell ref="C27:C29"/>
    <mergeCell ref="E27:E29"/>
    <mergeCell ref="O33:O34"/>
    <mergeCell ref="O35:O36"/>
    <mergeCell ref="G13:G19"/>
    <mergeCell ref="I20:I22"/>
    <mergeCell ref="O22:O23"/>
    <mergeCell ref="G32:G33"/>
    <mergeCell ref="G99:G100"/>
    <mergeCell ref="I1:S1"/>
    <mergeCell ref="O6:S6"/>
    <mergeCell ref="O7:O8"/>
    <mergeCell ref="A2:S2"/>
    <mergeCell ref="A3:S3"/>
    <mergeCell ref="A4:S4"/>
    <mergeCell ref="A6:A8"/>
    <mergeCell ref="B6:B8"/>
    <mergeCell ref="C6:C8"/>
    <mergeCell ref="E6:E8"/>
    <mergeCell ref="F6:F8"/>
    <mergeCell ref="G6:G8"/>
    <mergeCell ref="K6:K8"/>
    <mergeCell ref="L6:L8"/>
    <mergeCell ref="M6:M8"/>
    <mergeCell ref="N6:N8"/>
    <mergeCell ref="P7:S7"/>
    <mergeCell ref="F214:K214"/>
    <mergeCell ref="H6:H8"/>
    <mergeCell ref="I6:I8"/>
    <mergeCell ref="J6:J8"/>
    <mergeCell ref="A9:S9"/>
    <mergeCell ref="A10:S10"/>
    <mergeCell ref="B11:S11"/>
    <mergeCell ref="C12:S12"/>
    <mergeCell ref="H13:H19"/>
    <mergeCell ref="A20:A23"/>
    <mergeCell ref="B20:B23"/>
    <mergeCell ref="C20:C23"/>
    <mergeCell ref="E20:E23"/>
    <mergeCell ref="F20:F23"/>
    <mergeCell ref="G20:G23"/>
    <mergeCell ref="E179:E180"/>
    <mergeCell ref="O179:O180"/>
    <mergeCell ref="H20:H23"/>
    <mergeCell ref="E89:E90"/>
    <mergeCell ref="F13:F19"/>
    <mergeCell ref="G107:G108"/>
    <mergeCell ref="I107:I108"/>
    <mergeCell ref="I118:I119"/>
    <mergeCell ref="G109:G110"/>
    <mergeCell ref="O185:O187"/>
    <mergeCell ref="E150:E151"/>
    <mergeCell ref="G150:G151"/>
    <mergeCell ref="E169:E170"/>
    <mergeCell ref="G169:G170"/>
    <mergeCell ref="E132:E133"/>
    <mergeCell ref="E109:E110"/>
    <mergeCell ref="G89:G90"/>
    <mergeCell ref="I91:I93"/>
    <mergeCell ref="G93:G94"/>
    <mergeCell ref="G103:G104"/>
    <mergeCell ref="O144:O147"/>
    <mergeCell ref="C116:J116"/>
    <mergeCell ref="O116:S116"/>
    <mergeCell ref="C117:S117"/>
    <mergeCell ref="E120:E121"/>
    <mergeCell ref="E100:E101"/>
    <mergeCell ref="E114:E115"/>
    <mergeCell ref="G114:G115"/>
    <mergeCell ref="I114:I115"/>
    <mergeCell ref="C118:C119"/>
    <mergeCell ref="E118:E119"/>
    <mergeCell ref="E105:E106"/>
    <mergeCell ref="G105:G106"/>
    <mergeCell ref="B185:B187"/>
    <mergeCell ref="C185:C187"/>
    <mergeCell ref="E185:E187"/>
    <mergeCell ref="F185:F187"/>
    <mergeCell ref="G185:G187"/>
    <mergeCell ref="H185:H187"/>
    <mergeCell ref="C135:C136"/>
    <mergeCell ref="E135:E136"/>
    <mergeCell ref="I135:I136"/>
    <mergeCell ref="G181:G183"/>
    <mergeCell ref="I181:I183"/>
    <mergeCell ref="I184:J184"/>
    <mergeCell ref="I148:J148"/>
    <mergeCell ref="E144:E147"/>
    <mergeCell ref="F144:F147"/>
    <mergeCell ref="G144:G147"/>
    <mergeCell ref="I144:I147"/>
    <mergeCell ref="F137:F138"/>
    <mergeCell ref="H137:H138"/>
    <mergeCell ref="E137:E138"/>
    <mergeCell ref="E141:E143"/>
    <mergeCell ref="G141:G143"/>
    <mergeCell ref="I141:I142"/>
    <mergeCell ref="C195:J195"/>
    <mergeCell ref="O195:S195"/>
    <mergeCell ref="B196:J196"/>
    <mergeCell ref="B197:J197"/>
    <mergeCell ref="T188:T190"/>
    <mergeCell ref="C189:O189"/>
    <mergeCell ref="G190:G191"/>
    <mergeCell ref="O191:O192"/>
    <mergeCell ref="B193:B194"/>
    <mergeCell ref="C193:C194"/>
    <mergeCell ref="E193:E194"/>
    <mergeCell ref="F193:F194"/>
    <mergeCell ref="H193:H194"/>
    <mergeCell ref="O193:O194"/>
    <mergeCell ref="C188:J188"/>
    <mergeCell ref="O188:S188"/>
    <mergeCell ref="B198:N198"/>
    <mergeCell ref="B212:J212"/>
    <mergeCell ref="B206:J206"/>
    <mergeCell ref="B207:J207"/>
    <mergeCell ref="B208:J208"/>
    <mergeCell ref="B209:J209"/>
    <mergeCell ref="B210:J210"/>
    <mergeCell ref="B211:J211"/>
    <mergeCell ref="B199:J199"/>
    <mergeCell ref="B200:J200"/>
    <mergeCell ref="B201:J201"/>
    <mergeCell ref="B203:J203"/>
    <mergeCell ref="B204:J204"/>
    <mergeCell ref="B205:J205"/>
    <mergeCell ref="B202:J202"/>
    <mergeCell ref="O114:O115"/>
    <mergeCell ref="G122:G126"/>
    <mergeCell ref="F123:F130"/>
    <mergeCell ref="O105:O106"/>
    <mergeCell ref="A30:A31"/>
    <mergeCell ref="B30:B31"/>
    <mergeCell ref="C30:C31"/>
    <mergeCell ref="E30:E31"/>
    <mergeCell ref="F30:F31"/>
    <mergeCell ref="G30:G31"/>
    <mergeCell ref="H30:H31"/>
    <mergeCell ref="I30:I31"/>
    <mergeCell ref="O30:O31"/>
    <mergeCell ref="B118:B119"/>
    <mergeCell ref="I39:I40"/>
    <mergeCell ref="O39:O40"/>
    <mergeCell ref="G111:G113"/>
    <mergeCell ref="I111:I113"/>
    <mergeCell ref="O111:O113"/>
    <mergeCell ref="E72:E75"/>
    <mergeCell ref="K95:K96"/>
    <mergeCell ref="G97:G98"/>
    <mergeCell ref="O37:S37"/>
  </mergeCells>
  <printOptions horizontalCentered="1"/>
  <pageMargins left="0.59055118110236227" right="0.19685039370078741" top="0.39370078740157483" bottom="0.39370078740157483" header="0.31496062992125984" footer="0.31496062992125984"/>
  <pageSetup paperSize="9" scale="62" orientation="portrait" r:id="rId1"/>
  <rowBreaks count="1" manualBreakCount="1">
    <brk id="192" max="18" man="1"/>
  </rowBreaks>
  <colBreaks count="1" manualBreakCount="1">
    <brk id="19"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B34" sqref="B34"/>
    </sheetView>
  </sheetViews>
  <sheetFormatPr defaultColWidth="9.140625" defaultRowHeight="15" x14ac:dyDescent="0.25"/>
  <cols>
    <col min="1" max="1" width="5.28515625" style="775" customWidth="1"/>
    <col min="2" max="2" width="22.28515625" style="776" customWidth="1"/>
    <col min="3" max="3" width="13.85546875" style="803" customWidth="1"/>
    <col min="4" max="4" width="12.85546875" style="776" customWidth="1"/>
    <col min="5" max="5" width="20.140625" style="776" customWidth="1"/>
    <col min="6" max="6" width="19.7109375" style="776" customWidth="1"/>
    <col min="7" max="7" width="13" style="825" customWidth="1"/>
    <col min="8" max="8" width="15.5703125" style="801" customWidth="1"/>
    <col min="9" max="9" width="13.28515625" style="776" customWidth="1"/>
    <col min="10" max="10" width="10.42578125" style="802" customWidth="1"/>
    <col min="11" max="11" width="10" style="776" customWidth="1"/>
    <col min="12" max="12" width="9.140625" style="776" hidden="1" customWidth="1"/>
    <col min="13" max="13" width="10.28515625" style="828" customWidth="1"/>
    <col min="14" max="14" width="24.7109375" style="776" customWidth="1"/>
    <col min="15" max="15" width="31.42578125" style="776" customWidth="1"/>
    <col min="16" max="16384" width="9.140625" style="776"/>
  </cols>
  <sheetData>
    <row r="2" spans="1:13" ht="15.75" x14ac:dyDescent="0.25">
      <c r="B2" s="1776" t="s">
        <v>226</v>
      </c>
      <c r="C2" s="1776"/>
      <c r="D2" s="1776"/>
      <c r="E2" s="1776"/>
      <c r="F2" s="1776"/>
      <c r="G2" s="1776"/>
      <c r="H2" s="1776"/>
      <c r="I2" s="1776"/>
      <c r="J2" s="1776"/>
      <c r="K2" s="1776"/>
    </row>
    <row r="4" spans="1:13" ht="15.75" x14ac:dyDescent="0.25">
      <c r="B4" s="1776" t="s">
        <v>227</v>
      </c>
      <c r="C4" s="1776"/>
      <c r="D4" s="1776"/>
      <c r="E4" s="1776"/>
      <c r="F4" s="1776"/>
      <c r="G4" s="1776"/>
      <c r="H4" s="1776"/>
      <c r="I4" s="1776"/>
      <c r="J4" s="1776"/>
      <c r="K4" s="1776"/>
    </row>
    <row r="5" spans="1:13" ht="15.75" x14ac:dyDescent="0.25">
      <c r="B5" s="777"/>
      <c r="C5" s="777"/>
      <c r="D5" s="777"/>
      <c r="E5" s="777"/>
      <c r="F5" s="777"/>
      <c r="G5" s="804"/>
      <c r="H5" s="777"/>
      <c r="I5" s="777"/>
      <c r="J5" s="777"/>
      <c r="K5" s="777"/>
    </row>
    <row r="6" spans="1:13" ht="15.75" x14ac:dyDescent="0.25">
      <c r="B6" s="777"/>
      <c r="C6" s="778"/>
      <c r="D6" s="777"/>
      <c r="E6" s="777"/>
      <c r="F6" s="779">
        <v>43353</v>
      </c>
      <c r="G6" s="804"/>
      <c r="H6" s="781"/>
      <c r="I6" s="777"/>
      <c r="J6" s="780"/>
      <c r="K6" s="777"/>
    </row>
    <row r="7" spans="1:13" x14ac:dyDescent="0.25">
      <c r="A7" s="1777" t="s">
        <v>228</v>
      </c>
      <c r="B7" s="1779" t="s">
        <v>229</v>
      </c>
      <c r="C7" s="1779" t="s">
        <v>230</v>
      </c>
      <c r="D7" s="1779" t="s">
        <v>231</v>
      </c>
      <c r="E7" s="1779" t="s">
        <v>232</v>
      </c>
      <c r="F7" s="1779" t="s">
        <v>233</v>
      </c>
      <c r="G7" s="1781" t="s">
        <v>234</v>
      </c>
      <c r="H7" s="1783" t="s">
        <v>235</v>
      </c>
      <c r="I7" s="1779" t="s">
        <v>233</v>
      </c>
      <c r="J7" s="1790" t="s">
        <v>234</v>
      </c>
      <c r="K7" s="1792" t="s">
        <v>164</v>
      </c>
      <c r="M7" s="1800" t="s">
        <v>18</v>
      </c>
    </row>
    <row r="8" spans="1:13" x14ac:dyDescent="0.25">
      <c r="A8" s="1778"/>
      <c r="B8" s="1780"/>
      <c r="C8" s="1780"/>
      <c r="D8" s="1780"/>
      <c r="E8" s="1780"/>
      <c r="F8" s="1780"/>
      <c r="G8" s="1782"/>
      <c r="H8" s="1784"/>
      <c r="I8" s="1780"/>
      <c r="J8" s="1791"/>
      <c r="K8" s="1793"/>
      <c r="M8" s="1801"/>
    </row>
    <row r="9" spans="1:13" x14ac:dyDescent="0.25">
      <c r="A9" s="1794" t="s">
        <v>236</v>
      </c>
      <c r="B9" s="1795"/>
      <c r="C9" s="1795"/>
      <c r="D9" s="1795"/>
      <c r="E9" s="1795"/>
      <c r="F9" s="1795"/>
      <c r="G9" s="1795"/>
      <c r="H9" s="1795"/>
      <c r="I9" s="1795"/>
      <c r="J9" s="1795"/>
      <c r="K9" s="1796"/>
      <c r="M9" s="829"/>
    </row>
    <row r="10" spans="1:13" s="787" customFormat="1" ht="90" x14ac:dyDescent="0.25">
      <c r="A10" s="782">
        <v>1</v>
      </c>
      <c r="B10" s="783" t="s">
        <v>237</v>
      </c>
      <c r="C10" s="784">
        <v>300</v>
      </c>
      <c r="D10" s="785" t="s">
        <v>238</v>
      </c>
      <c r="E10" s="783" t="s">
        <v>239</v>
      </c>
      <c r="F10" s="783" t="s">
        <v>240</v>
      </c>
      <c r="G10" s="805">
        <v>1200</v>
      </c>
      <c r="H10" s="785"/>
      <c r="I10" s="785"/>
      <c r="J10" s="786"/>
      <c r="K10" s="785"/>
      <c r="M10" s="830">
        <f>+G10+J10</f>
        <v>1200</v>
      </c>
    </row>
    <row r="11" spans="1:13" s="787" customFormat="1" ht="90" x14ac:dyDescent="0.25">
      <c r="A11" s="782">
        <v>2</v>
      </c>
      <c r="B11" s="783" t="s">
        <v>241</v>
      </c>
      <c r="C11" s="784">
        <v>5000</v>
      </c>
      <c r="D11" s="785" t="s">
        <v>242</v>
      </c>
      <c r="E11" s="783" t="s">
        <v>243</v>
      </c>
      <c r="F11" s="788" t="s">
        <v>244</v>
      </c>
      <c r="G11" s="805"/>
      <c r="H11" s="783" t="s">
        <v>239</v>
      </c>
      <c r="I11" s="783" t="s">
        <v>245</v>
      </c>
      <c r="J11" s="786">
        <v>8000</v>
      </c>
      <c r="K11" s="789"/>
      <c r="M11" s="830">
        <f t="shared" ref="M11:M15" si="0">+G11+J11</f>
        <v>8000</v>
      </c>
    </row>
    <row r="12" spans="1:13" s="787" customFormat="1" ht="60" x14ac:dyDescent="0.25">
      <c r="A12" s="782">
        <v>3</v>
      </c>
      <c r="B12" s="783" t="s">
        <v>246</v>
      </c>
      <c r="C12" s="784">
        <v>800</v>
      </c>
      <c r="D12" s="785" t="s">
        <v>247</v>
      </c>
      <c r="E12" s="790" t="s">
        <v>248</v>
      </c>
      <c r="F12" s="783" t="s">
        <v>249</v>
      </c>
      <c r="G12" s="805"/>
      <c r="H12" s="783" t="s">
        <v>239</v>
      </c>
      <c r="I12" s="785" t="s">
        <v>250</v>
      </c>
      <c r="J12" s="786">
        <v>600</v>
      </c>
      <c r="K12" s="789"/>
      <c r="M12" s="830">
        <f t="shared" si="0"/>
        <v>600</v>
      </c>
    </row>
    <row r="13" spans="1:13" s="787" customFormat="1" ht="60" x14ac:dyDescent="0.25">
      <c r="A13" s="782">
        <v>4</v>
      </c>
      <c r="B13" s="783" t="s">
        <v>251</v>
      </c>
      <c r="C13" s="784"/>
      <c r="D13" s="785" t="s">
        <v>252</v>
      </c>
      <c r="E13" s="783" t="s">
        <v>253</v>
      </c>
      <c r="F13" s="783" t="s">
        <v>249</v>
      </c>
      <c r="G13" s="805"/>
      <c r="H13" s="783" t="s">
        <v>239</v>
      </c>
      <c r="I13" s="785" t="s">
        <v>250</v>
      </c>
      <c r="J13" s="786">
        <v>600</v>
      </c>
      <c r="K13" s="789"/>
      <c r="M13" s="830">
        <f t="shared" si="0"/>
        <v>600</v>
      </c>
    </row>
    <row r="14" spans="1:13" s="787" customFormat="1" ht="90" x14ac:dyDescent="0.25">
      <c r="A14" s="782">
        <v>5</v>
      </c>
      <c r="B14" s="785" t="s">
        <v>254</v>
      </c>
      <c r="C14" s="784">
        <v>1500</v>
      </c>
      <c r="D14" s="785" t="s">
        <v>255</v>
      </c>
      <c r="E14" s="783" t="s">
        <v>239</v>
      </c>
      <c r="F14" s="783" t="s">
        <v>256</v>
      </c>
      <c r="G14" s="805">
        <v>12500</v>
      </c>
      <c r="H14" s="783"/>
      <c r="I14" s="785"/>
      <c r="J14" s="786"/>
      <c r="K14" s="785"/>
      <c r="M14" s="830">
        <f t="shared" si="0"/>
        <v>12500</v>
      </c>
    </row>
    <row r="15" spans="1:13" s="787" customFormat="1" ht="60" x14ac:dyDescent="0.25">
      <c r="A15" s="782">
        <v>6</v>
      </c>
      <c r="B15" s="783" t="s">
        <v>257</v>
      </c>
      <c r="C15" s="784">
        <v>500</v>
      </c>
      <c r="D15" s="785" t="s">
        <v>258</v>
      </c>
      <c r="E15" s="783" t="s">
        <v>239</v>
      </c>
      <c r="F15" s="783" t="s">
        <v>259</v>
      </c>
      <c r="G15" s="805">
        <v>18000</v>
      </c>
      <c r="H15" s="783"/>
      <c r="I15" s="785"/>
      <c r="J15" s="786"/>
      <c r="K15" s="785"/>
      <c r="M15" s="830">
        <f t="shared" si="0"/>
        <v>18000</v>
      </c>
    </row>
    <row r="16" spans="1:13" s="787" customFormat="1" x14ac:dyDescent="0.25">
      <c r="A16" s="782"/>
      <c r="B16" s="806"/>
      <c r="C16" s="807"/>
      <c r="D16" s="808"/>
      <c r="E16" s="809"/>
      <c r="F16" s="809"/>
      <c r="G16" s="810">
        <f>SUM(G10:G15)</f>
        <v>31700</v>
      </c>
      <c r="H16" s="811"/>
      <c r="I16" s="812"/>
      <c r="J16" s="813">
        <f>SUM(J11:J15)</f>
        <v>9200</v>
      </c>
      <c r="K16" s="814"/>
      <c r="M16" s="831">
        <f>SUM(M10:M15)</f>
        <v>40900</v>
      </c>
    </row>
    <row r="17" spans="1:13" s="787" customFormat="1" x14ac:dyDescent="0.25">
      <c r="A17" s="782"/>
      <c r="B17" s="1797" t="s">
        <v>260</v>
      </c>
      <c r="C17" s="1798"/>
      <c r="D17" s="1798"/>
      <c r="E17" s="1798"/>
      <c r="F17" s="1798"/>
      <c r="G17" s="1798"/>
      <c r="H17" s="1798"/>
      <c r="I17" s="1798"/>
      <c r="J17" s="1798"/>
      <c r="K17" s="1799"/>
      <c r="M17" s="830"/>
    </row>
    <row r="18" spans="1:13" s="787" customFormat="1" ht="75" x14ac:dyDescent="0.25">
      <c r="A18" s="782">
        <v>7</v>
      </c>
      <c r="B18" s="783" t="s">
        <v>261</v>
      </c>
      <c r="C18" s="784">
        <v>40</v>
      </c>
      <c r="D18" s="785" t="s">
        <v>262</v>
      </c>
      <c r="E18" s="783" t="s">
        <v>239</v>
      </c>
      <c r="F18" s="783" t="s">
        <v>263</v>
      </c>
      <c r="G18" s="805">
        <v>500</v>
      </c>
      <c r="H18" s="783"/>
      <c r="I18" s="785"/>
      <c r="J18" s="786"/>
      <c r="K18" s="785"/>
      <c r="M18" s="830">
        <f>+G18+J18</f>
        <v>500</v>
      </c>
    </row>
    <row r="19" spans="1:13" s="787" customFormat="1" ht="75" x14ac:dyDescent="0.25">
      <c r="A19" s="791">
        <v>8</v>
      </c>
      <c r="B19" s="783" t="s">
        <v>264</v>
      </c>
      <c r="C19" s="784">
        <v>200</v>
      </c>
      <c r="D19" s="785" t="s">
        <v>265</v>
      </c>
      <c r="E19" s="783" t="s">
        <v>239</v>
      </c>
      <c r="F19" s="783" t="s">
        <v>266</v>
      </c>
      <c r="G19" s="805">
        <v>8000</v>
      </c>
      <c r="H19" s="783"/>
      <c r="I19" s="785"/>
      <c r="J19" s="786"/>
      <c r="K19" s="785"/>
      <c r="M19" s="830">
        <f t="shared" ref="M19:M21" si="1">+G19+J19</f>
        <v>8000</v>
      </c>
    </row>
    <row r="20" spans="1:13" s="787" customFormat="1" ht="60" x14ac:dyDescent="0.25">
      <c r="A20" s="782">
        <v>9</v>
      </c>
      <c r="B20" s="783" t="s">
        <v>267</v>
      </c>
      <c r="C20" s="792">
        <v>300</v>
      </c>
      <c r="D20" s="783" t="s">
        <v>268</v>
      </c>
      <c r="E20" s="783" t="s">
        <v>269</v>
      </c>
      <c r="F20" s="783" t="s">
        <v>270</v>
      </c>
      <c r="G20" s="805"/>
      <c r="H20" s="783" t="s">
        <v>239</v>
      </c>
      <c r="I20" s="783" t="s">
        <v>271</v>
      </c>
      <c r="J20" s="786">
        <v>1700</v>
      </c>
      <c r="K20" s="785"/>
      <c r="M20" s="830">
        <f t="shared" si="1"/>
        <v>1700</v>
      </c>
    </row>
    <row r="21" spans="1:13" s="787" customFormat="1" ht="75" x14ac:dyDescent="0.25">
      <c r="A21" s="782">
        <v>10</v>
      </c>
      <c r="B21" s="783" t="s">
        <v>272</v>
      </c>
      <c r="C21" s="784">
        <v>200</v>
      </c>
      <c r="D21" s="785" t="s">
        <v>273</v>
      </c>
      <c r="E21" s="783" t="s">
        <v>239</v>
      </c>
      <c r="F21" s="783" t="s">
        <v>266</v>
      </c>
      <c r="G21" s="805">
        <v>2000</v>
      </c>
      <c r="H21" s="783"/>
      <c r="I21" s="785"/>
      <c r="J21" s="786"/>
      <c r="K21" s="785"/>
      <c r="M21" s="830">
        <f t="shared" si="1"/>
        <v>2000</v>
      </c>
    </row>
    <row r="22" spans="1:13" s="787" customFormat="1" x14ac:dyDescent="0.25">
      <c r="A22" s="782"/>
      <c r="B22" s="806"/>
      <c r="C22" s="807"/>
      <c r="D22" s="808"/>
      <c r="E22" s="809"/>
      <c r="F22" s="809"/>
      <c r="G22" s="810">
        <f>SUM(G18:G21)</f>
        <v>10500</v>
      </c>
      <c r="H22" s="811"/>
      <c r="I22" s="812"/>
      <c r="J22" s="813">
        <f>SUM(J18:J21)</f>
        <v>1700</v>
      </c>
      <c r="K22" s="814"/>
      <c r="M22" s="831">
        <f>SUM(M18:M21)</f>
        <v>12200</v>
      </c>
    </row>
    <row r="23" spans="1:13" s="787" customFormat="1" x14ac:dyDescent="0.25">
      <c r="A23" s="782"/>
      <c r="B23" s="1797" t="s">
        <v>274</v>
      </c>
      <c r="C23" s="1798"/>
      <c r="D23" s="1798"/>
      <c r="E23" s="1798"/>
      <c r="F23" s="1798"/>
      <c r="G23" s="1798"/>
      <c r="H23" s="1798"/>
      <c r="I23" s="1798"/>
      <c r="J23" s="1798"/>
      <c r="K23" s="1799"/>
      <c r="M23" s="830"/>
    </row>
    <row r="24" spans="1:13" s="787" customFormat="1" ht="105" x14ac:dyDescent="0.25">
      <c r="A24" s="782">
        <v>11</v>
      </c>
      <c r="B24" s="783" t="s">
        <v>275</v>
      </c>
      <c r="C24" s="784">
        <v>70</v>
      </c>
      <c r="D24" s="785" t="s">
        <v>276</v>
      </c>
      <c r="E24" s="783" t="s">
        <v>277</v>
      </c>
      <c r="F24" s="783" t="s">
        <v>249</v>
      </c>
      <c r="G24" s="805"/>
      <c r="H24" s="783" t="s">
        <v>239</v>
      </c>
      <c r="I24" s="785" t="s">
        <v>250</v>
      </c>
      <c r="J24" s="786">
        <v>400</v>
      </c>
      <c r="K24" s="785"/>
      <c r="M24" s="830">
        <f>+J24+G24</f>
        <v>400</v>
      </c>
    </row>
    <row r="25" spans="1:13" s="787" customFormat="1" ht="60" x14ac:dyDescent="0.25">
      <c r="A25" s="782">
        <v>12</v>
      </c>
      <c r="B25" s="783" t="s">
        <v>278</v>
      </c>
      <c r="C25" s="784">
        <v>80</v>
      </c>
      <c r="D25" s="785" t="s">
        <v>279</v>
      </c>
      <c r="E25" s="783" t="s">
        <v>277</v>
      </c>
      <c r="F25" s="783" t="s">
        <v>249</v>
      </c>
      <c r="G25" s="805"/>
      <c r="H25" s="783" t="s">
        <v>239</v>
      </c>
      <c r="I25" s="785" t="s">
        <v>250</v>
      </c>
      <c r="J25" s="786">
        <v>400</v>
      </c>
      <c r="K25" s="785"/>
      <c r="M25" s="830">
        <f t="shared" ref="M25:M26" si="2">+J25+G25</f>
        <v>400</v>
      </c>
    </row>
    <row r="26" spans="1:13" s="787" customFormat="1" ht="60" x14ac:dyDescent="0.25">
      <c r="A26" s="782">
        <v>13</v>
      </c>
      <c r="B26" s="783" t="s">
        <v>280</v>
      </c>
      <c r="C26" s="792"/>
      <c r="D26" s="785" t="s">
        <v>281</v>
      </c>
      <c r="E26" s="783" t="s">
        <v>282</v>
      </c>
      <c r="F26" s="783" t="s">
        <v>283</v>
      </c>
      <c r="G26" s="805"/>
      <c r="H26" s="783" t="s">
        <v>239</v>
      </c>
      <c r="I26" s="785" t="s">
        <v>283</v>
      </c>
      <c r="J26" s="786">
        <v>3000</v>
      </c>
      <c r="K26" s="785" t="s">
        <v>284</v>
      </c>
      <c r="M26" s="830">
        <f t="shared" si="2"/>
        <v>3000</v>
      </c>
    </row>
    <row r="27" spans="1:13" s="787" customFormat="1" x14ac:dyDescent="0.25">
      <c r="A27" s="782"/>
      <c r="B27" s="806"/>
      <c r="C27" s="826"/>
      <c r="D27" s="808"/>
      <c r="E27" s="809"/>
      <c r="F27" s="809"/>
      <c r="G27" s="827"/>
      <c r="H27" s="809"/>
      <c r="I27" s="808"/>
      <c r="J27" s="813">
        <f>SUM(J24:J26)</f>
        <v>3800</v>
      </c>
      <c r="K27" s="814"/>
      <c r="M27" s="831">
        <f>SUM(M24:M26)</f>
        <v>3800</v>
      </c>
    </row>
    <row r="28" spans="1:13" s="787" customFormat="1" x14ac:dyDescent="0.25">
      <c r="A28" s="782"/>
      <c r="B28" s="1787" t="s">
        <v>285</v>
      </c>
      <c r="C28" s="1788"/>
      <c r="D28" s="1788"/>
      <c r="E28" s="1788"/>
      <c r="F28" s="1788"/>
      <c r="G28" s="1788"/>
      <c r="H28" s="1788"/>
      <c r="I28" s="1788"/>
      <c r="J28" s="1788"/>
      <c r="K28" s="1789"/>
      <c r="M28" s="830"/>
    </row>
    <row r="29" spans="1:13" s="787" customFormat="1" ht="45" x14ac:dyDescent="0.25">
      <c r="A29" s="782">
        <v>14</v>
      </c>
      <c r="B29" s="783" t="s">
        <v>286</v>
      </c>
      <c r="C29" s="784">
        <v>50</v>
      </c>
      <c r="D29" s="785" t="s">
        <v>281</v>
      </c>
      <c r="E29" s="783" t="s">
        <v>239</v>
      </c>
      <c r="F29" s="783" t="s">
        <v>263</v>
      </c>
      <c r="G29" s="805">
        <v>800</v>
      </c>
      <c r="H29" s="783"/>
      <c r="I29" s="785"/>
      <c r="J29" s="786"/>
      <c r="K29" s="785"/>
      <c r="M29" s="830">
        <f>+G29+J29</f>
        <v>800</v>
      </c>
    </row>
    <row r="30" spans="1:13" s="787" customFormat="1" ht="45" x14ac:dyDescent="0.25">
      <c r="A30" s="782">
        <v>15</v>
      </c>
      <c r="B30" s="783" t="s">
        <v>287</v>
      </c>
      <c r="C30" s="784"/>
      <c r="D30" s="785"/>
      <c r="E30" s="790" t="s">
        <v>239</v>
      </c>
      <c r="F30" s="783"/>
      <c r="G30" s="805"/>
      <c r="H30" s="783"/>
      <c r="I30" s="785"/>
      <c r="J30" s="786">
        <v>6000</v>
      </c>
      <c r="K30" s="785" t="s">
        <v>284</v>
      </c>
      <c r="M30" s="830">
        <f t="shared" ref="M30:M35" si="3">+G30+J30</f>
        <v>6000</v>
      </c>
    </row>
    <row r="31" spans="1:13" s="787" customFormat="1" ht="45" x14ac:dyDescent="0.25">
      <c r="A31" s="782">
        <v>16</v>
      </c>
      <c r="B31" s="783" t="s">
        <v>288</v>
      </c>
      <c r="C31" s="784"/>
      <c r="D31" s="785"/>
      <c r="E31" s="783" t="s">
        <v>239</v>
      </c>
      <c r="F31" s="783"/>
      <c r="G31" s="805"/>
      <c r="H31" s="783"/>
      <c r="I31" s="785"/>
      <c r="J31" s="786">
        <v>5000</v>
      </c>
      <c r="K31" s="785" t="s">
        <v>284</v>
      </c>
      <c r="M31" s="830">
        <f t="shared" si="3"/>
        <v>5000</v>
      </c>
    </row>
    <row r="32" spans="1:13" s="787" customFormat="1" ht="45" x14ac:dyDescent="0.25">
      <c r="A32" s="782">
        <v>17</v>
      </c>
      <c r="B32" s="783" t="s">
        <v>289</v>
      </c>
      <c r="C32" s="784"/>
      <c r="D32" s="785" t="s">
        <v>255</v>
      </c>
      <c r="E32" s="783" t="s">
        <v>239</v>
      </c>
      <c r="F32" s="788" t="s">
        <v>290</v>
      </c>
      <c r="G32" s="805">
        <v>1000</v>
      </c>
      <c r="H32" s="783"/>
      <c r="I32" s="785"/>
      <c r="J32" s="786"/>
      <c r="K32" s="785"/>
      <c r="M32" s="830">
        <f t="shared" si="3"/>
        <v>1000</v>
      </c>
    </row>
    <row r="33" spans="1:13" s="787" customFormat="1" ht="60" x14ac:dyDescent="0.25">
      <c r="A33" s="782">
        <v>18</v>
      </c>
      <c r="B33" s="783" t="s">
        <v>291</v>
      </c>
      <c r="C33" s="784"/>
      <c r="D33" s="785" t="s">
        <v>255</v>
      </c>
      <c r="E33" s="783" t="s">
        <v>292</v>
      </c>
      <c r="F33" s="783" t="s">
        <v>249</v>
      </c>
      <c r="G33" s="805"/>
      <c r="H33" s="783" t="s">
        <v>239</v>
      </c>
      <c r="I33" s="783" t="s">
        <v>293</v>
      </c>
      <c r="J33" s="786">
        <v>1000</v>
      </c>
      <c r="K33" s="785"/>
      <c r="M33" s="830">
        <f t="shared" si="3"/>
        <v>1000</v>
      </c>
    </row>
    <row r="34" spans="1:13" s="787" customFormat="1" ht="60" x14ac:dyDescent="0.25">
      <c r="A34" s="782">
        <v>19</v>
      </c>
      <c r="B34" s="783" t="s">
        <v>294</v>
      </c>
      <c r="C34" s="784"/>
      <c r="D34" s="785"/>
      <c r="E34" s="783" t="s">
        <v>295</v>
      </c>
      <c r="F34" s="783"/>
      <c r="G34" s="805"/>
      <c r="H34" s="783" t="s">
        <v>239</v>
      </c>
      <c r="I34" s="785"/>
      <c r="J34" s="786">
        <v>1500</v>
      </c>
      <c r="K34" s="785" t="s">
        <v>284</v>
      </c>
      <c r="M34" s="830">
        <f t="shared" si="3"/>
        <v>1500</v>
      </c>
    </row>
    <row r="35" spans="1:13" s="787" customFormat="1" ht="60" x14ac:dyDescent="0.25">
      <c r="A35" s="782">
        <v>20</v>
      </c>
      <c r="B35" s="783" t="s">
        <v>296</v>
      </c>
      <c r="C35" s="784">
        <v>1500</v>
      </c>
      <c r="D35" s="785" t="s">
        <v>297</v>
      </c>
      <c r="E35" s="783" t="s">
        <v>298</v>
      </c>
      <c r="F35" s="783" t="s">
        <v>249</v>
      </c>
      <c r="G35" s="805"/>
      <c r="H35" s="783" t="s">
        <v>239</v>
      </c>
      <c r="I35" s="785" t="s">
        <v>250</v>
      </c>
      <c r="J35" s="786">
        <v>2000</v>
      </c>
      <c r="K35" s="785"/>
      <c r="M35" s="830">
        <f t="shared" si="3"/>
        <v>2000</v>
      </c>
    </row>
    <row r="36" spans="1:13" s="787" customFormat="1" x14ac:dyDescent="0.25">
      <c r="A36" s="782"/>
      <c r="B36" s="806"/>
      <c r="C36" s="807"/>
      <c r="D36" s="808"/>
      <c r="E36" s="809"/>
      <c r="F36" s="809"/>
      <c r="G36" s="810">
        <f>SUM(G29:G35)</f>
        <v>1800</v>
      </c>
      <c r="H36" s="811"/>
      <c r="I36" s="812"/>
      <c r="J36" s="813">
        <f>SUM(J29:J35)</f>
        <v>15500</v>
      </c>
      <c r="K36" s="814"/>
      <c r="M36" s="831">
        <f>SUM(M29:M35)</f>
        <v>17300</v>
      </c>
    </row>
    <row r="37" spans="1:13" s="787" customFormat="1" x14ac:dyDescent="0.25">
      <c r="A37" s="782"/>
      <c r="B37" s="1787" t="s">
        <v>299</v>
      </c>
      <c r="C37" s="1788"/>
      <c r="D37" s="1788"/>
      <c r="E37" s="1788"/>
      <c r="F37" s="1788"/>
      <c r="G37" s="1788"/>
      <c r="H37" s="1788"/>
      <c r="I37" s="1788"/>
      <c r="J37" s="1788"/>
      <c r="K37" s="1789"/>
      <c r="M37" s="830"/>
    </row>
    <row r="38" spans="1:13" s="787" customFormat="1" ht="60" x14ac:dyDescent="0.25">
      <c r="A38" s="782">
        <v>21</v>
      </c>
      <c r="B38" s="790" t="s">
        <v>300</v>
      </c>
      <c r="C38" s="793"/>
      <c r="D38" s="794" t="s">
        <v>301</v>
      </c>
      <c r="E38" s="783" t="s">
        <v>239</v>
      </c>
      <c r="F38" s="786"/>
      <c r="G38" s="815">
        <v>1000</v>
      </c>
      <c r="H38" s="794"/>
      <c r="I38" s="794"/>
      <c r="J38" s="786"/>
      <c r="K38" s="794"/>
      <c r="M38" s="830">
        <f>+G38+J38</f>
        <v>1000</v>
      </c>
    </row>
    <row r="39" spans="1:13" s="787" customFormat="1" ht="60" x14ac:dyDescent="0.25">
      <c r="A39" s="782">
        <v>22</v>
      </c>
      <c r="B39" s="790" t="s">
        <v>302</v>
      </c>
      <c r="C39" s="793"/>
      <c r="D39" s="794" t="s">
        <v>301</v>
      </c>
      <c r="E39" s="783" t="s">
        <v>239</v>
      </c>
      <c r="F39" s="786"/>
      <c r="G39" s="815">
        <v>1000</v>
      </c>
      <c r="H39" s="794"/>
      <c r="I39" s="794"/>
      <c r="J39" s="786"/>
      <c r="K39" s="794"/>
      <c r="M39" s="830">
        <f>+G39+J39</f>
        <v>1000</v>
      </c>
    </row>
    <row r="40" spans="1:13" s="787" customFormat="1" x14ac:dyDescent="0.25">
      <c r="A40" s="782"/>
      <c r="B40" s="816"/>
      <c r="C40" s="817"/>
      <c r="D40" s="818"/>
      <c r="E40" s="809"/>
      <c r="F40" s="819"/>
      <c r="G40" s="820">
        <f>SUM(G38:G39)</f>
        <v>2000</v>
      </c>
      <c r="H40" s="818"/>
      <c r="I40" s="818"/>
      <c r="J40" s="818"/>
      <c r="K40" s="821"/>
      <c r="M40" s="831">
        <f>SUM(M38:M39)</f>
        <v>2000</v>
      </c>
    </row>
    <row r="41" spans="1:13" s="787" customFormat="1" x14ac:dyDescent="0.25">
      <c r="A41" s="782"/>
      <c r="B41" s="1787" t="s">
        <v>303</v>
      </c>
      <c r="C41" s="1788"/>
      <c r="D41" s="1788"/>
      <c r="E41" s="1788"/>
      <c r="F41" s="1788"/>
      <c r="G41" s="1788"/>
      <c r="H41" s="1788"/>
      <c r="I41" s="1788"/>
      <c r="J41" s="1788"/>
      <c r="K41" s="1789"/>
      <c r="M41" s="830"/>
    </row>
    <row r="42" spans="1:13" s="787" customFormat="1" ht="45" x14ac:dyDescent="0.25">
      <c r="A42" s="782">
        <v>23</v>
      </c>
      <c r="B42" s="783" t="s">
        <v>304</v>
      </c>
      <c r="C42" s="784"/>
      <c r="D42" s="785" t="s">
        <v>305</v>
      </c>
      <c r="E42" s="783" t="s">
        <v>239</v>
      </c>
      <c r="F42" s="783"/>
      <c r="G42" s="805">
        <v>2000</v>
      </c>
      <c r="H42" s="783"/>
      <c r="I42" s="785"/>
      <c r="J42" s="786"/>
      <c r="K42" s="785"/>
      <c r="M42" s="830">
        <f>+G42+J42</f>
        <v>2000</v>
      </c>
    </row>
    <row r="43" spans="1:13" s="787" customFormat="1" ht="45" x14ac:dyDescent="0.25">
      <c r="A43" s="782">
        <v>24</v>
      </c>
      <c r="B43" s="783" t="s">
        <v>306</v>
      </c>
      <c r="C43" s="784"/>
      <c r="D43" s="785" t="s">
        <v>307</v>
      </c>
      <c r="E43" s="783" t="s">
        <v>239</v>
      </c>
      <c r="F43" s="783"/>
      <c r="G43" s="805">
        <v>2000</v>
      </c>
      <c r="H43" s="783"/>
      <c r="I43" s="785"/>
      <c r="J43" s="786"/>
      <c r="K43" s="785"/>
      <c r="M43" s="830">
        <f>+G43+J43</f>
        <v>2000</v>
      </c>
    </row>
    <row r="44" spans="1:13" s="787" customFormat="1" x14ac:dyDescent="0.25">
      <c r="A44" s="782"/>
      <c r="B44" s="783"/>
      <c r="C44" s="784"/>
      <c r="D44" s="785"/>
      <c r="E44" s="783"/>
      <c r="F44" s="783"/>
      <c r="G44" s="822">
        <f>SUM(G42:G43)</f>
        <v>4000</v>
      </c>
      <c r="H44" s="783"/>
      <c r="I44" s="785"/>
      <c r="J44" s="786"/>
      <c r="K44" s="785"/>
      <c r="M44" s="831">
        <f>SUM(M42:M43)</f>
        <v>4000</v>
      </c>
    </row>
    <row r="45" spans="1:13" x14ac:dyDescent="0.25">
      <c r="A45" s="1802" t="s">
        <v>18</v>
      </c>
      <c r="B45" s="1802"/>
      <c r="C45" s="1802"/>
      <c r="D45" s="1802"/>
      <c r="E45" s="1802"/>
      <c r="F45" s="1802"/>
      <c r="G45" s="823">
        <f>+G10+G11+G12+G13+G14+G15+G18+G19+G20+G21+G24+G25+G26+G29+G30+G31+G32+G33+G34+G35+G38+G39+G42+G43</f>
        <v>50000</v>
      </c>
      <c r="H45" s="1802" t="s">
        <v>18</v>
      </c>
      <c r="I45" s="1802"/>
      <c r="J45" s="795">
        <f>+J10+J11+J12+J13+J14+J15+J18+J19+J20+J21+J24+J25+J26+J29+J30+J31+J32+J33+J35+J38+J39+J34+J42+J43</f>
        <v>30200</v>
      </c>
      <c r="K45" s="833" t="s">
        <v>18</v>
      </c>
      <c r="M45" s="832">
        <f>+M44+M40+M36+M27+M22+M16</f>
        <v>80200</v>
      </c>
    </row>
    <row r="46" spans="1:13" ht="15.75" x14ac:dyDescent="0.25">
      <c r="B46" s="796" t="s">
        <v>308</v>
      </c>
      <c r="C46" s="797"/>
      <c r="D46" s="796"/>
      <c r="E46" s="796"/>
      <c r="F46" s="796"/>
      <c r="G46" s="824"/>
      <c r="H46" s="798" t="s">
        <v>309</v>
      </c>
      <c r="I46" s="798"/>
      <c r="J46" s="799"/>
      <c r="K46" s="798"/>
      <c r="L46" s="800"/>
    </row>
    <row r="47" spans="1:13" ht="15.75" x14ac:dyDescent="0.25">
      <c r="B47" s="796" t="s">
        <v>310</v>
      </c>
      <c r="C47" s="797"/>
      <c r="D47" s="796"/>
      <c r="E47" s="796"/>
      <c r="F47" s="796"/>
      <c r="G47" s="824"/>
      <c r="H47" s="1785" t="s">
        <v>311</v>
      </c>
      <c r="I47" s="1785"/>
      <c r="J47" s="1785"/>
      <c r="K47" s="1785"/>
      <c r="L47" s="1786"/>
    </row>
    <row r="48" spans="1:13" ht="15.75" x14ac:dyDescent="0.25">
      <c r="B48" s="796" t="s">
        <v>312</v>
      </c>
      <c r="C48" s="797"/>
      <c r="D48" s="796"/>
      <c r="E48" s="796"/>
      <c r="F48" s="796"/>
      <c r="G48" s="824"/>
    </row>
  </sheetData>
  <mergeCells count="23">
    <mergeCell ref="M7:M8"/>
    <mergeCell ref="B23:K23"/>
    <mergeCell ref="B28:K28"/>
    <mergeCell ref="B41:K41"/>
    <mergeCell ref="A45:F45"/>
    <mergeCell ref="H45:I45"/>
    <mergeCell ref="H47:L47"/>
    <mergeCell ref="B37:K37"/>
    <mergeCell ref="I7:I8"/>
    <mergeCell ref="J7:J8"/>
    <mergeCell ref="K7:K8"/>
    <mergeCell ref="A9:K9"/>
    <mergeCell ref="B17:K17"/>
    <mergeCell ref="B2:K2"/>
    <mergeCell ref="B4:K4"/>
    <mergeCell ref="A7:A8"/>
    <mergeCell ref="B7:B8"/>
    <mergeCell ref="C7:C8"/>
    <mergeCell ref="D7:D8"/>
    <mergeCell ref="E7:E8"/>
    <mergeCell ref="F7:F8"/>
    <mergeCell ref="G7:G8"/>
    <mergeCell ref="H7: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1" sqref="L3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6</vt:i4>
      </vt:variant>
    </vt:vector>
  </HeadingPairs>
  <TitlesOfParts>
    <vt:vector size="11" baseType="lpstr">
      <vt:lpstr>11 programa</vt:lpstr>
      <vt:lpstr>Lyginamasis</vt:lpstr>
      <vt:lpstr>Aiškinamoji lentelė</vt:lpstr>
      <vt:lpstr>Sporto renginiai</vt:lpstr>
      <vt:lpstr>LOF raštas</vt:lpstr>
      <vt:lpstr>'11 programa'!Print_Area</vt:lpstr>
      <vt:lpstr>'Aiškinamoji lentelė'!Print_Area</vt:lpstr>
      <vt:lpstr>Lyginamasis!Print_Area</vt:lpstr>
      <vt:lpstr>'11 programa'!Print_Titles</vt:lpstr>
      <vt:lpstr>'Aiškinamoji lentelė'!Print_Titles</vt:lpstr>
      <vt:lpstr>Lyginamasis!Print_Titles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2019-07-18T12:56:22Z</cp:lastPrinted>
  <dcterms:created xsi:type="dcterms:W3CDTF">2015-11-25T08:18:21Z</dcterms:created>
  <dcterms:modified xsi:type="dcterms:W3CDTF">2019-07-18T12:56:38Z</dcterms:modified>
</cp:coreProperties>
</file>