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LUOSNIS\Kmsa\Strateginio planavimo skyrius\SVP ATASKAITOS\2019 SVP ataskaita\2019 SVP ataskaita\"/>
    </mc:Choice>
  </mc:AlternateContent>
  <bookViews>
    <workbookView xWindow="-120" yWindow="-120" windowWidth="24240" windowHeight="13140" tabRatio="723" firstSheet="2" activeTab="3"/>
  </bookViews>
  <sheets>
    <sheet name="Asignavimu valdytojų kodai" sheetId="35" state="hidden" r:id="rId1"/>
    <sheet name="SPIS" sheetId="42" state="hidden" r:id="rId2"/>
    <sheet name="Ataskaita" sheetId="41" r:id="rId3"/>
    <sheet name="10 programa " sheetId="43" r:id="rId4"/>
    <sheet name="10 programa" sheetId="39" state="hidden" r:id="rId5"/>
  </sheets>
  <definedNames>
    <definedName name="_xlnm.Print_Area" localSheetId="4">'10 programa'!$A$1:$O$236</definedName>
    <definedName name="_xlnm.Print_Area" localSheetId="3">'10 programa '!$A$1:$Q$226</definedName>
    <definedName name="_xlnm.Print_Area" localSheetId="2">Ataskaita!$A$1:$E$31</definedName>
    <definedName name="_xlnm.Print_Titles" localSheetId="4">'10 programa'!$4:$6</definedName>
    <definedName name="_xlnm.Print_Titles" localSheetId="3">'10 programa '!$4:$6</definedName>
    <definedName name="_xlnm.Print_Titles" localSheetId="1">SPIS!$1:$3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22" i="43" l="1"/>
  <c r="L221" i="43"/>
  <c r="L219" i="43"/>
  <c r="L218" i="43"/>
  <c r="L217" i="43"/>
  <c r="L216" i="43"/>
  <c r="L215" i="43"/>
  <c r="L214" i="43"/>
  <c r="L213" i="43"/>
  <c r="L212" i="43"/>
  <c r="L211" i="43"/>
  <c r="K222" i="43"/>
  <c r="K221" i="43"/>
  <c r="K219" i="43"/>
  <c r="K218" i="43"/>
  <c r="K216" i="43"/>
  <c r="K215" i="43"/>
  <c r="K214" i="43"/>
  <c r="K213" i="43"/>
  <c r="K212" i="43"/>
  <c r="J222" i="43"/>
  <c r="J221" i="43"/>
  <c r="J219" i="43"/>
  <c r="J218" i="43"/>
  <c r="J216" i="43"/>
  <c r="J215" i="43"/>
  <c r="J214" i="43"/>
  <c r="J213" i="43"/>
  <c r="J212" i="43"/>
  <c r="L220" i="43" l="1"/>
  <c r="L200" i="43"/>
  <c r="L184" i="43"/>
  <c r="L182" i="43"/>
  <c r="L179" i="43"/>
  <c r="G217" i="42"/>
  <c r="L157" i="43"/>
  <c r="L150" i="43"/>
  <c r="L98" i="43"/>
  <c r="L146" i="43"/>
  <c r="L137" i="43"/>
  <c r="L130" i="43"/>
  <c r="L120" i="43"/>
  <c r="L91" i="43"/>
  <c r="L89" i="43"/>
  <c r="E138" i="42"/>
  <c r="L87" i="43"/>
  <c r="G138" i="42"/>
  <c r="L84" i="43"/>
  <c r="L80" i="43"/>
  <c r="L82" i="43"/>
  <c r="L62" i="43"/>
  <c r="L210" i="43" s="1"/>
  <c r="L209" i="43" s="1"/>
  <c r="I11" i="42"/>
  <c r="J175" i="43"/>
  <c r="J101" i="43"/>
  <c r="J75" i="43"/>
  <c r="J34" i="43"/>
  <c r="J23" i="43"/>
  <c r="J211" i="43" s="1"/>
  <c r="J179" i="43" l="1"/>
  <c r="J217" i="43"/>
  <c r="L147" i="43"/>
  <c r="L208" i="43"/>
  <c r="L223" i="43" s="1"/>
  <c r="L72" i="43"/>
  <c r="L92" i="43" s="1"/>
  <c r="L93" i="43" s="1"/>
  <c r="L201" i="43"/>
  <c r="L158" i="43"/>
  <c r="K191" i="43"/>
  <c r="K200" i="43" s="1"/>
  <c r="K184" i="43"/>
  <c r="K182" i="43"/>
  <c r="K176" i="43"/>
  <c r="K175" i="43"/>
  <c r="K217" i="43" s="1"/>
  <c r="K173" i="43"/>
  <c r="K165" i="43"/>
  <c r="K161" i="43"/>
  <c r="K157" i="43"/>
  <c r="K150" i="43"/>
  <c r="K146" i="43"/>
  <c r="K133" i="43"/>
  <c r="K137" i="43" s="1"/>
  <c r="K126" i="43"/>
  <c r="K130" i="43" s="1"/>
  <c r="K101" i="43"/>
  <c r="K120" i="43" s="1"/>
  <c r="K98" i="43"/>
  <c r="K91" i="43"/>
  <c r="K89" i="43"/>
  <c r="K87" i="43"/>
  <c r="K84" i="43"/>
  <c r="K82" i="43"/>
  <c r="K80" i="43"/>
  <c r="K71" i="43"/>
  <c r="K60" i="43"/>
  <c r="K59" i="43"/>
  <c r="K57" i="43"/>
  <c r="K43" i="43"/>
  <c r="K34" i="43"/>
  <c r="K32" i="43"/>
  <c r="K25" i="43"/>
  <c r="K23" i="43"/>
  <c r="K211" i="43" s="1"/>
  <c r="K22" i="43"/>
  <c r="K17" i="43"/>
  <c r="J200" i="43"/>
  <c r="J184" i="43"/>
  <c r="J182" i="43"/>
  <c r="J157" i="43"/>
  <c r="J150" i="43"/>
  <c r="J146" i="43"/>
  <c r="J133" i="43"/>
  <c r="J137" i="43" s="1"/>
  <c r="J126" i="43"/>
  <c r="J130" i="43" s="1"/>
  <c r="J120" i="43"/>
  <c r="J98" i="43"/>
  <c r="J91" i="43"/>
  <c r="J89" i="43"/>
  <c r="J87" i="43"/>
  <c r="J84" i="43"/>
  <c r="J82" i="43"/>
  <c r="J80" i="43"/>
  <c r="K210" i="43" l="1"/>
  <c r="K208" i="43" s="1"/>
  <c r="J210" i="43"/>
  <c r="J208" i="43" s="1"/>
  <c r="L202" i="43"/>
  <c r="L203" i="43" s="1"/>
  <c r="K220" i="43"/>
  <c r="K158" i="43"/>
  <c r="J220" i="43"/>
  <c r="J72" i="43"/>
  <c r="J92" i="43" s="1"/>
  <c r="J93" i="43" s="1"/>
  <c r="J201" i="43"/>
  <c r="J158" i="43"/>
  <c r="K72" i="43"/>
  <c r="K92" i="43" s="1"/>
  <c r="K93" i="43" s="1"/>
  <c r="K179" i="43"/>
  <c r="K201" i="43" s="1"/>
  <c r="K147" i="43"/>
  <c r="J147" i="43"/>
  <c r="E140" i="42"/>
  <c r="F140" i="42"/>
  <c r="G140" i="42"/>
  <c r="H140" i="42"/>
  <c r="E142" i="42"/>
  <c r="F142" i="42"/>
  <c r="G142" i="42"/>
  <c r="H142" i="42"/>
  <c r="K209" i="43" l="1"/>
  <c r="J209" i="43"/>
  <c r="K223" i="43"/>
  <c r="J202" i="43"/>
  <c r="J203" i="43" s="1"/>
  <c r="J223" i="43"/>
  <c r="K202" i="43"/>
  <c r="K203" i="43" s="1"/>
  <c r="E90" i="42"/>
  <c r="F271" i="42"/>
  <c r="E271" i="42"/>
  <c r="D271" i="42"/>
  <c r="C271" i="42"/>
  <c r="H250" i="42"/>
  <c r="G250" i="42"/>
  <c r="F250" i="42"/>
  <c r="E250" i="42"/>
  <c r="H243" i="42"/>
  <c r="G243" i="42"/>
  <c r="F243" i="42"/>
  <c r="E243" i="42"/>
  <c r="H241" i="42"/>
  <c r="G241" i="42"/>
  <c r="F241" i="42"/>
  <c r="E241" i="42"/>
  <c r="H238" i="42"/>
  <c r="H237" i="42" s="1"/>
  <c r="G238" i="42"/>
  <c r="F238" i="42"/>
  <c r="E238" i="42"/>
  <c r="E237" i="42" s="1"/>
  <c r="H235" i="42"/>
  <c r="G235" i="42"/>
  <c r="F235" i="42"/>
  <c r="E235" i="42"/>
  <c r="H233" i="42"/>
  <c r="G233" i="42"/>
  <c r="F233" i="42"/>
  <c r="E233" i="42"/>
  <c r="H230" i="42"/>
  <c r="G230" i="42"/>
  <c r="F230" i="42"/>
  <c r="E230" i="42"/>
  <c r="H225" i="42"/>
  <c r="G225" i="42"/>
  <c r="F225" i="42"/>
  <c r="E225" i="42"/>
  <c r="H217" i="42"/>
  <c r="F217" i="42"/>
  <c r="E217" i="42"/>
  <c r="H211" i="42"/>
  <c r="G211" i="42"/>
  <c r="F211" i="42"/>
  <c r="E211" i="42"/>
  <c r="H209" i="42"/>
  <c r="G209" i="42"/>
  <c r="H205" i="42"/>
  <c r="G205" i="42"/>
  <c r="F205" i="42"/>
  <c r="E205" i="42"/>
  <c r="H203" i="42"/>
  <c r="G203" i="42"/>
  <c r="F203" i="42"/>
  <c r="E203" i="42"/>
  <c r="H202" i="42"/>
  <c r="G202" i="42"/>
  <c r="F202" i="42"/>
  <c r="E202" i="42"/>
  <c r="H200" i="42"/>
  <c r="G200" i="42"/>
  <c r="G199" i="42" s="1"/>
  <c r="F200" i="42"/>
  <c r="F199" i="42" s="1"/>
  <c r="F198" i="42" s="1"/>
  <c r="E200" i="42"/>
  <c r="E199" i="42" s="1"/>
  <c r="E198" i="42" s="1"/>
  <c r="H199" i="42"/>
  <c r="H198" i="42" s="1"/>
  <c r="H196" i="42"/>
  <c r="G196" i="42"/>
  <c r="F196" i="42"/>
  <c r="E196" i="42"/>
  <c r="H192" i="42"/>
  <c r="H189" i="42" s="1"/>
  <c r="G192" i="42"/>
  <c r="G189" i="42" s="1"/>
  <c r="F192" i="42"/>
  <c r="F189" i="42" s="1"/>
  <c r="E192" i="42"/>
  <c r="E189" i="42" s="1"/>
  <c r="H184" i="42"/>
  <c r="H183" i="42" s="1"/>
  <c r="G184" i="42"/>
  <c r="G183" i="42" s="1"/>
  <c r="F184" i="42"/>
  <c r="F183" i="42" s="1"/>
  <c r="E184" i="42"/>
  <c r="E183" i="42" s="1"/>
  <c r="H180" i="42"/>
  <c r="G180" i="42"/>
  <c r="F180" i="42"/>
  <c r="E180" i="42"/>
  <c r="H176" i="42"/>
  <c r="G176" i="42"/>
  <c r="F176" i="42"/>
  <c r="E176" i="42"/>
  <c r="H173" i="42"/>
  <c r="G173" i="42"/>
  <c r="F173" i="42"/>
  <c r="E173" i="42"/>
  <c r="H170" i="42"/>
  <c r="G170" i="42"/>
  <c r="F170" i="42"/>
  <c r="E170" i="42"/>
  <c r="H167" i="42"/>
  <c r="G167" i="42"/>
  <c r="F167" i="42"/>
  <c r="E167" i="42"/>
  <c r="H164" i="42"/>
  <c r="G164" i="42"/>
  <c r="F164" i="42"/>
  <c r="E164" i="42"/>
  <c r="H160" i="42"/>
  <c r="G160" i="42"/>
  <c r="F160" i="42"/>
  <c r="E160" i="42"/>
  <c r="H158" i="42"/>
  <c r="G158" i="42"/>
  <c r="F158" i="42"/>
  <c r="E158" i="42"/>
  <c r="H155" i="42"/>
  <c r="G155" i="42"/>
  <c r="F155" i="42"/>
  <c r="E155" i="42"/>
  <c r="H150" i="42"/>
  <c r="G150" i="42"/>
  <c r="F150" i="42"/>
  <c r="E150" i="42"/>
  <c r="H148" i="42"/>
  <c r="G148" i="42"/>
  <c r="G147" i="42" s="1"/>
  <c r="F148" i="42"/>
  <c r="F147" i="42" s="1"/>
  <c r="E148" i="42"/>
  <c r="H138" i="42"/>
  <c r="H137" i="42" s="1"/>
  <c r="G137" i="42"/>
  <c r="F138" i="42"/>
  <c r="F137" i="42" s="1"/>
  <c r="E137" i="42"/>
  <c r="H135" i="42"/>
  <c r="G135" i="42"/>
  <c r="F135" i="42"/>
  <c r="E135" i="42"/>
  <c r="H133" i="42"/>
  <c r="G133" i="42"/>
  <c r="G132" i="42" s="1"/>
  <c r="F133" i="42"/>
  <c r="F132" i="42" s="1"/>
  <c r="E133" i="42"/>
  <c r="E132" i="42" s="1"/>
  <c r="H132" i="42"/>
  <c r="H129" i="42"/>
  <c r="G129" i="42"/>
  <c r="F129" i="42"/>
  <c r="E129" i="42"/>
  <c r="H124" i="42"/>
  <c r="G124" i="42"/>
  <c r="F124" i="42"/>
  <c r="E124" i="42"/>
  <c r="H120" i="42"/>
  <c r="H119" i="42" s="1"/>
  <c r="G120" i="42"/>
  <c r="F120" i="42"/>
  <c r="F119" i="42" s="1"/>
  <c r="E120" i="42"/>
  <c r="H116" i="42"/>
  <c r="G116" i="42"/>
  <c r="F116" i="42"/>
  <c r="E116" i="42"/>
  <c r="H114" i="42"/>
  <c r="G114" i="42"/>
  <c r="F114" i="42"/>
  <c r="E114" i="42"/>
  <c r="H109" i="42"/>
  <c r="G109" i="42"/>
  <c r="F109" i="42"/>
  <c r="E109" i="42"/>
  <c r="H105" i="42"/>
  <c r="G105" i="42"/>
  <c r="F105" i="42"/>
  <c r="E105" i="42"/>
  <c r="H102" i="42"/>
  <c r="G102" i="42"/>
  <c r="F102" i="42"/>
  <c r="E102" i="42"/>
  <c r="H99" i="42"/>
  <c r="G99" i="42"/>
  <c r="F99" i="42"/>
  <c r="E99" i="42"/>
  <c r="H96" i="42"/>
  <c r="G96" i="42"/>
  <c r="F96" i="42"/>
  <c r="E96" i="42"/>
  <c r="H93" i="42"/>
  <c r="G93" i="42"/>
  <c r="F93" i="42"/>
  <c r="E93" i="42"/>
  <c r="H90" i="42"/>
  <c r="G90" i="42"/>
  <c r="F90" i="42"/>
  <c r="H88" i="42"/>
  <c r="G88" i="42"/>
  <c r="F88" i="42"/>
  <c r="E88" i="42"/>
  <c r="H83" i="42"/>
  <c r="G83" i="42"/>
  <c r="F83" i="42"/>
  <c r="E83" i="42"/>
  <c r="H77" i="42"/>
  <c r="G77" i="42"/>
  <c r="F77" i="42"/>
  <c r="E77" i="42"/>
  <c r="H72" i="42"/>
  <c r="G72" i="42"/>
  <c r="F72" i="42"/>
  <c r="E72" i="42"/>
  <c r="H65" i="42"/>
  <c r="G65" i="42"/>
  <c r="F65" i="42"/>
  <c r="E65" i="42"/>
  <c r="H61" i="42"/>
  <c r="G61" i="42"/>
  <c r="F61" i="42"/>
  <c r="E61" i="42"/>
  <c r="H59" i="42"/>
  <c r="G59" i="42"/>
  <c r="F59" i="42"/>
  <c r="E59" i="42"/>
  <c r="H57" i="42"/>
  <c r="G57" i="42"/>
  <c r="F57" i="42"/>
  <c r="E57" i="42"/>
  <c r="H55" i="42"/>
  <c r="G55" i="42"/>
  <c r="F55" i="42"/>
  <c r="E55" i="42"/>
  <c r="H53" i="42"/>
  <c r="G53" i="42"/>
  <c r="F53" i="42"/>
  <c r="E53" i="42"/>
  <c r="H43" i="42"/>
  <c r="G43" i="42"/>
  <c r="F43" i="42"/>
  <c r="E43" i="42"/>
  <c r="H36" i="42"/>
  <c r="G36" i="42"/>
  <c r="F36" i="42"/>
  <c r="E36" i="42"/>
  <c r="H33" i="42"/>
  <c r="G33" i="42"/>
  <c r="F33" i="42"/>
  <c r="E33" i="42"/>
  <c r="H31" i="42"/>
  <c r="G31" i="42"/>
  <c r="F31" i="42"/>
  <c r="E31" i="42"/>
  <c r="H29" i="42"/>
  <c r="G29" i="42"/>
  <c r="F29" i="42"/>
  <c r="E29" i="42"/>
  <c r="H27" i="42"/>
  <c r="G27" i="42"/>
  <c r="F27" i="42"/>
  <c r="E27" i="42"/>
  <c r="H25" i="42"/>
  <c r="G25" i="42"/>
  <c r="F25" i="42"/>
  <c r="E25" i="42"/>
  <c r="H23" i="42"/>
  <c r="G23" i="42"/>
  <c r="F23" i="42"/>
  <c r="E23" i="42"/>
  <c r="H21" i="42"/>
  <c r="G21" i="42"/>
  <c r="F21" i="42"/>
  <c r="E21" i="42"/>
  <c r="H12" i="42"/>
  <c r="G12" i="42"/>
  <c r="F12" i="42"/>
  <c r="E12" i="42"/>
  <c r="G198" i="42" l="1"/>
  <c r="F209" i="42"/>
  <c r="E209" i="42"/>
  <c r="G172" i="42"/>
  <c r="G146" i="42" s="1"/>
  <c r="E147" i="42"/>
  <c r="H147" i="42"/>
  <c r="F237" i="42"/>
  <c r="F208" i="42" s="1"/>
  <c r="H172" i="42"/>
  <c r="H208" i="42"/>
  <c r="F172" i="42"/>
  <c r="F146" i="42" s="1"/>
  <c r="G119" i="42"/>
  <c r="G237" i="42"/>
  <c r="E119" i="42"/>
  <c r="F11" i="42"/>
  <c r="F10" i="42" s="1"/>
  <c r="G11" i="42"/>
  <c r="G10" i="42" s="1"/>
  <c r="G208" i="42"/>
  <c r="H11" i="42"/>
  <c r="H10" i="42" s="1"/>
  <c r="H5" i="42" s="1"/>
  <c r="E172" i="42"/>
  <c r="E146" i="42" s="1"/>
  <c r="E11" i="42"/>
  <c r="E208" i="42"/>
  <c r="L235" i="39"/>
  <c r="K235" i="39"/>
  <c r="J235" i="39"/>
  <c r="J233" i="39" s="1"/>
  <c r="L234" i="39"/>
  <c r="K234" i="39"/>
  <c r="K233" i="39" s="1"/>
  <c r="J234" i="39"/>
  <c r="L232" i="39"/>
  <c r="K232" i="39"/>
  <c r="J232" i="39"/>
  <c r="L231" i="39"/>
  <c r="K231" i="39"/>
  <c r="J231" i="39"/>
  <c r="L230" i="39"/>
  <c r="K230" i="39"/>
  <c r="J230" i="39"/>
  <c r="L229" i="39"/>
  <c r="K229" i="39"/>
  <c r="J229" i="39"/>
  <c r="L228" i="39"/>
  <c r="J228" i="39"/>
  <c r="L227" i="39"/>
  <c r="K227" i="39"/>
  <c r="J227" i="39"/>
  <c r="L226" i="39"/>
  <c r="L225" i="39"/>
  <c r="K225" i="39"/>
  <c r="J225" i="39"/>
  <c r="L224" i="39"/>
  <c r="K224" i="39"/>
  <c r="J224" i="39"/>
  <c r="L223" i="39"/>
  <c r="L213" i="39"/>
  <c r="J213" i="39"/>
  <c r="K200" i="39"/>
  <c r="K198" i="39"/>
  <c r="K213" i="39" s="1"/>
  <c r="K197" i="39"/>
  <c r="J197" i="39"/>
  <c r="L194" i="39"/>
  <c r="K194" i="39"/>
  <c r="J194" i="39"/>
  <c r="L192" i="39"/>
  <c r="L214" i="39" s="1"/>
  <c r="J175" i="39"/>
  <c r="J192" i="39" s="1"/>
  <c r="K174" i="39"/>
  <c r="K192" i="39" s="1"/>
  <c r="L171" i="39"/>
  <c r="K171" i="39"/>
  <c r="J171" i="39"/>
  <c r="J172" i="39" s="1"/>
  <c r="L164" i="39"/>
  <c r="K164" i="39"/>
  <c r="K172" i="39" s="1"/>
  <c r="J164" i="39"/>
  <c r="L160" i="39"/>
  <c r="K160" i="39"/>
  <c r="J160" i="39"/>
  <c r="L151" i="39"/>
  <c r="J151" i="39"/>
  <c r="K146" i="39"/>
  <c r="K228" i="39" s="1"/>
  <c r="K145" i="39"/>
  <c r="K151" i="39" s="1"/>
  <c r="J145" i="39"/>
  <c r="L144" i="39"/>
  <c r="K144" i="39"/>
  <c r="J144" i="39"/>
  <c r="J161" i="39" s="1"/>
  <c r="L130" i="39"/>
  <c r="J130" i="39"/>
  <c r="K124" i="39"/>
  <c r="L109" i="39"/>
  <c r="K109" i="39"/>
  <c r="J109" i="39"/>
  <c r="L101" i="39"/>
  <c r="K101" i="39"/>
  <c r="J101" i="39"/>
  <c r="L99" i="39"/>
  <c r="K99" i="39"/>
  <c r="J99" i="39"/>
  <c r="L97" i="39"/>
  <c r="K97" i="39"/>
  <c r="J97" i="39"/>
  <c r="L94" i="39"/>
  <c r="K94" i="39"/>
  <c r="J94" i="39"/>
  <c r="L92" i="39"/>
  <c r="K92" i="39"/>
  <c r="J92" i="39"/>
  <c r="L90" i="39"/>
  <c r="K90" i="39"/>
  <c r="J90" i="39"/>
  <c r="L83" i="39"/>
  <c r="N44" i="39"/>
  <c r="K18" i="39"/>
  <c r="K83" i="39" s="1"/>
  <c r="J18" i="39"/>
  <c r="J226" i="39" s="1"/>
  <c r="J16" i="39"/>
  <c r="J223" i="39" s="1"/>
  <c r="K223" i="39" l="1"/>
  <c r="L172" i="39"/>
  <c r="K214" i="39"/>
  <c r="J222" i="39"/>
  <c r="J221" i="39" s="1"/>
  <c r="K102" i="39"/>
  <c r="K103" i="39" s="1"/>
  <c r="L102" i="39"/>
  <c r="L103" i="39" s="1"/>
  <c r="L161" i="39"/>
  <c r="J214" i="39"/>
  <c r="J215" i="39" s="1"/>
  <c r="L222" i="39"/>
  <c r="L221" i="39" s="1"/>
  <c r="L236" i="39" s="1"/>
  <c r="L233" i="39"/>
  <c r="H146" i="42"/>
  <c r="H144" i="42" s="1"/>
  <c r="H4" i="42" s="1"/>
  <c r="E10" i="42"/>
  <c r="E5" i="42" s="1"/>
  <c r="F144" i="42"/>
  <c r="F5" i="42"/>
  <c r="G5" i="42"/>
  <c r="G144" i="42"/>
  <c r="E144" i="42"/>
  <c r="L215" i="39"/>
  <c r="L216" i="39" s="1"/>
  <c r="J236" i="39"/>
  <c r="K226" i="39"/>
  <c r="K222" i="39" s="1"/>
  <c r="K221" i="39" s="1"/>
  <c r="K236" i="39" s="1"/>
  <c r="J83" i="39"/>
  <c r="J102" i="39" s="1"/>
  <c r="J103" i="39" s="1"/>
  <c r="K130" i="39"/>
  <c r="K161" i="39" s="1"/>
  <c r="K215" i="39" s="1"/>
  <c r="K216" i="39" l="1"/>
  <c r="J216" i="39"/>
  <c r="F4" i="42"/>
  <c r="G4" i="42"/>
  <c r="E4" i="42"/>
</calcChain>
</file>

<file path=xl/comments1.xml><?xml version="1.0" encoding="utf-8"?>
<comments xmlns="http://schemas.openxmlformats.org/spreadsheetml/2006/main">
  <authors>
    <author>Snieguole Kacerauskaite</author>
    <author>Inga Mikalauskiene</author>
  </authors>
  <commentList>
    <comment ref="N19" authorId="0" shapeId="0">
      <text>
        <r>
          <rPr>
            <sz val="9"/>
            <color indexed="81"/>
            <rFont val="Tahoma"/>
            <family val="2"/>
            <charset val="186"/>
          </rPr>
          <t>VšĮ: Mažųjų pasaulis, Jūros žvaigždutė, Pasakėlė, Vaikų giraitė, Saulė ir mėnulis, Laimingų vaikų pilis, Niektauza</t>
        </r>
      </text>
    </comment>
    <comment ref="G60" authorId="0" shapeId="0">
      <text>
        <r>
          <rPr>
            <sz val="9"/>
            <color indexed="81"/>
            <rFont val="Tahoma"/>
            <family val="2"/>
            <charset val="186"/>
          </rPr>
          <t>"Diegti ir plėtoti nuotolinį mokymą užtikrinant nuosekliojo ir nepertraukiamo mokymosi galimybes pagal bendrojo ugdymo programas"</t>
        </r>
      </text>
    </comment>
    <comment ref="G85" authorId="0" shapeId="0">
      <text>
        <r>
          <rPr>
            <sz val="9"/>
            <color indexed="81"/>
            <rFont val="Tahoma"/>
            <family val="2"/>
            <charset val="186"/>
          </rPr>
          <t>"Didinti švietimo ir kitų paslaugų mokiniui prieinamumą ir kompleksiškumą diegiant e. paslaugas"</t>
        </r>
      </text>
    </comment>
    <comment ref="F90" authorId="0" shapeId="0">
      <text>
        <r>
          <rPr>
            <sz val="9"/>
            <color indexed="81"/>
            <rFont val="Tahoma"/>
            <family val="2"/>
            <charset val="186"/>
          </rPr>
          <t>Bus draudžiami vaikai</t>
        </r>
      </text>
    </comment>
    <comment ref="N116" authorId="0" shapeId="0">
      <text>
        <r>
          <rPr>
            <sz val="9"/>
            <color indexed="81"/>
            <rFont val="Tahoma"/>
            <family val="2"/>
            <charset val="186"/>
          </rPr>
          <t xml:space="preserve">Verdenės progimnazija (377,2 t.€)
Simono Dacho progimnazija (250 t.€)
</t>
        </r>
        <r>
          <rPr>
            <u/>
            <sz val="9"/>
            <color indexed="81"/>
            <rFont val="Tahoma"/>
            <family val="2"/>
            <charset val="186"/>
          </rPr>
          <t>„Vyturio“ progimnazija (123 t.€)</t>
        </r>
        <r>
          <rPr>
            <sz val="9"/>
            <color indexed="81"/>
            <rFont val="Tahoma"/>
            <family val="2"/>
            <charset val="186"/>
          </rPr>
          <t xml:space="preserve">
Iš viso: 750,2 t. €</t>
        </r>
      </text>
    </comment>
    <comment ref="N117" authorId="0" shapeId="0">
      <text>
        <r>
          <rPr>
            <sz val="9"/>
            <color indexed="81"/>
            <rFont val="Tahoma"/>
            <family val="2"/>
            <charset val="186"/>
          </rPr>
          <t xml:space="preserve">H. Zudermano gimnazijoje - 20 tūkst. Eur, 
</t>
        </r>
      </text>
    </comment>
    <comment ref="F123" authorId="0" shapeId="0">
      <text>
        <r>
          <rPr>
            <sz val="9"/>
            <color indexed="81"/>
            <rFont val="Tahoma"/>
            <family val="2"/>
            <charset val="186"/>
          </rPr>
          <t>Buvęs pavadinimas "BĮ Klaipėdos lopšelio-darželio „Svirpliukas“ (Liepų g. 43A) pastato energinio efektyvumo didinimas" pakeistas, atsižvelgiant į pasirašomą ES finansavimo sutartį</t>
        </r>
      </text>
    </comment>
    <comment ref="N126" authorId="0" shapeId="0">
      <text>
        <r>
          <rPr>
            <sz val="9"/>
            <color indexed="81"/>
            <rFont val="Tahoma"/>
            <family val="2"/>
            <charset val="186"/>
          </rPr>
          <t xml:space="preserve">m/d "Saulutė" ir l/d "Vėrinėlis"
</t>
        </r>
      </text>
    </comment>
    <comment ref="N165" authorId="0" shapeId="0">
      <text>
        <r>
          <rPr>
            <sz val="9"/>
            <color indexed="81"/>
            <rFont val="Tahoma"/>
            <family val="2"/>
            <charset val="186"/>
          </rPr>
          <t xml:space="preserve">l/d "Varpelis", "Pingvinukas" ir "Du gaideliai"
</t>
        </r>
      </text>
    </comment>
    <comment ref="N167" authorId="0" shapeId="0">
      <text>
        <r>
          <rPr>
            <sz val="9"/>
            <color indexed="81"/>
            <rFont val="Tahoma"/>
            <family val="2"/>
            <charset val="186"/>
          </rPr>
          <t xml:space="preserve">l/d "Alksniukas", "Klevelis", "Pingvinukas", "Sakalėlis", "Švyturėlis", "Vėrinėlis" ir "Žemuogėlė"
</t>
        </r>
      </text>
    </comment>
    <comment ref="N171" authorId="0" shapeId="0">
      <text>
        <r>
          <rPr>
            <sz val="9"/>
            <color indexed="81"/>
            <rFont val="Tahoma"/>
            <family val="2"/>
            <charset val="186"/>
          </rPr>
          <t xml:space="preserve">„Varpo“ gimnazija, S. Dacho progimnazija, L/d „Varpelis“, „Berželis“, „Alksniukas“, „Du  gaideliai“, „Putinėlis“, „Bangelė“, „Pumpurėlis“, „Pagrandukas“, „Inkarėlis“, “Linelis“ ir „Nykštukas“
</t>
        </r>
      </text>
    </comment>
    <comment ref="N172" authorId="0" shapeId="0">
      <text>
        <r>
          <rPr>
            <sz val="9"/>
            <color indexed="81"/>
            <rFont val="Tahoma"/>
            <family val="2"/>
            <charset val="186"/>
          </rPr>
          <t xml:space="preserve">l/d "Liepaitė", "Pingvinukas", "Rūta", "Boružėlė", "Eglutė", Zudermano, Vydūno gimnazijos, Gabijos progimnazija, Sendvario m-kla, klubas "Draugystė"
</t>
        </r>
      </text>
    </comment>
    <comment ref="N173" authorId="1" shapeId="0">
      <text>
        <r>
          <rPr>
            <b/>
            <sz val="9"/>
            <color indexed="81"/>
            <rFont val="Tahoma"/>
            <family val="2"/>
            <charset val="186"/>
          </rPr>
          <t>Inga Mikalauskiene:</t>
        </r>
        <r>
          <rPr>
            <sz val="9"/>
            <color indexed="81"/>
            <rFont val="Tahoma"/>
            <family val="2"/>
            <charset val="186"/>
          </rPr>
          <t xml:space="preserve">
2019 m. - l/d "Ąžuoliukas", "Žuvėdra", "Radastėlė", "Žemuogėlė", "Linelis", "Šermukšnėlė", "Traukinukas", "Versmė", RUC, Gedminų prog., H. Zudermano gimnazija, klubas "Žuvėdra"</t>
        </r>
      </text>
    </comment>
    <comment ref="F174" authorId="0" shapeId="0">
      <text>
        <r>
          <rPr>
            <sz val="9"/>
            <color indexed="81"/>
            <rFont val="Tahoma"/>
            <family val="2"/>
            <charset val="186"/>
          </rPr>
          <t xml:space="preserve">2018 m. – „Žaliakalnio“ gimnazijos, l.-d. „Pingvinukas“ ir „Radastėlė“
</t>
        </r>
      </text>
    </comment>
    <comment ref="G174" authorId="0" shapeId="0">
      <text>
        <r>
          <rPr>
            <sz val="9"/>
            <color indexed="81"/>
            <rFont val="Tahoma"/>
            <family val="2"/>
            <charset val="186"/>
          </rPr>
          <t>"Kompleksiškai sutvarkyti bendrojo ugdymo mokyklų ir ikimokyklinio ugdymo įstaigų teritorijas"</t>
        </r>
      </text>
    </comment>
    <comment ref="N175" authorId="1" shapeId="0">
      <text>
        <r>
          <rPr>
            <sz val="9"/>
            <color indexed="81"/>
            <rFont val="Tahoma"/>
            <family val="2"/>
            <charset val="186"/>
          </rPr>
          <t>2019 m. - "Aitvaro", Vydūno gimnazijos lauko nuotekų tinklų remontas ir "Žaliakalnio" gimnazijos paviršinių ir buitinių nuotekų tinklų statybos darbai, l/d "Radastėlė" ir "Pingvinukas"</t>
        </r>
      </text>
    </comment>
    <comment ref="M191" authorId="0" shapeId="0">
      <text>
        <r>
          <rPr>
            <b/>
            <sz val="9"/>
            <color indexed="81"/>
            <rFont val="Tahoma"/>
            <family val="2"/>
            <charset val="186"/>
          </rPr>
          <t>Snieguole Kacerauskaite:</t>
        </r>
        <r>
          <rPr>
            <sz val="9"/>
            <color indexed="81"/>
            <rFont val="Tahoma"/>
            <family val="2"/>
            <charset val="186"/>
          </rPr>
          <t xml:space="preserve">
l.-d. „Aitvarėlis“ ir "Versmės", „Verdenės“ progimnazijos</t>
        </r>
      </text>
    </comment>
  </commentList>
</comments>
</file>

<file path=xl/comments2.xml><?xml version="1.0" encoding="utf-8"?>
<comments xmlns="http://schemas.openxmlformats.org/spreadsheetml/2006/main">
  <authors>
    <author>Snieguole Kacerauskaite</author>
    <author>Inga Mikalauskiene</author>
  </authors>
  <commentList>
    <comment ref="N27" authorId="0" shapeId="0">
      <text>
        <r>
          <rPr>
            <sz val="9"/>
            <color indexed="81"/>
            <rFont val="Tahoma"/>
            <family val="2"/>
            <charset val="186"/>
          </rPr>
          <t>VšĮ: Mažųjų pasaulis, Jūros žvaigždutė, Pasakėlė, Vaikų giraitė, Saulė ir mėnulis, Laimingų vaikų pilis, Niektauza</t>
        </r>
      </text>
    </comment>
    <comment ref="G71" authorId="0" shapeId="0">
      <text>
        <r>
          <rPr>
            <sz val="9"/>
            <color indexed="81"/>
            <rFont val="Tahoma"/>
            <family val="2"/>
            <charset val="186"/>
          </rPr>
          <t>"Diegti ir plėtoti nuotolinį mokymą užtikrinant nuosekliojo ir nepertraukiamo mokymosi galimybes pagal bendrojo ugdymo programas"</t>
        </r>
      </text>
    </comment>
    <comment ref="G95" authorId="0" shapeId="0">
      <text>
        <r>
          <rPr>
            <sz val="9"/>
            <color indexed="81"/>
            <rFont val="Tahoma"/>
            <family val="2"/>
            <charset val="186"/>
          </rPr>
          <t>"Didinti švietimo ir kitų paslaugų mokiniui prieinamumą ir kompleksiškumą diegiant e. paslaugas"</t>
        </r>
      </text>
    </comment>
    <comment ref="N104" authorId="0" shapeId="0">
      <text>
        <r>
          <rPr>
            <sz val="9"/>
            <color indexed="81"/>
            <rFont val="Tahoma"/>
            <family val="2"/>
            <charset val="186"/>
          </rPr>
          <t xml:space="preserve">Klaipėdos „Versmės“ progimnazijos ir Vytauto Didžiojo gimnazijos sporto aikštynai
</t>
        </r>
      </text>
    </comment>
    <comment ref="N126" authorId="0" shapeId="0">
      <text>
        <r>
          <rPr>
            <sz val="9"/>
            <color indexed="81"/>
            <rFont val="Tahoma"/>
            <family val="2"/>
            <charset val="186"/>
          </rPr>
          <t xml:space="preserve">Verdenės progimnazija (377,2 t.€)
Simono Dacho progimnazija (250 t.€)
</t>
        </r>
        <r>
          <rPr>
            <u/>
            <sz val="9"/>
            <color indexed="81"/>
            <rFont val="Tahoma"/>
            <family val="2"/>
            <charset val="186"/>
          </rPr>
          <t>„Vyturio“ progimnazija (123 t.€)</t>
        </r>
        <r>
          <rPr>
            <sz val="9"/>
            <color indexed="81"/>
            <rFont val="Tahoma"/>
            <family val="2"/>
            <charset val="186"/>
          </rPr>
          <t xml:space="preserve">
Iš viso: 750,2 t. €</t>
        </r>
      </text>
    </comment>
    <comment ref="Q126" authorId="0" shapeId="0">
      <text>
        <r>
          <rPr>
            <sz val="9"/>
            <color indexed="81"/>
            <rFont val="Tahoma"/>
            <family val="2"/>
            <charset val="186"/>
          </rPr>
          <t>Sendvario progimnazija - 520  t. €
H. Zudermano</t>
        </r>
        <r>
          <rPr>
            <u/>
            <sz val="9"/>
            <color indexed="81"/>
            <rFont val="Tahoma"/>
            <family val="2"/>
            <charset val="186"/>
          </rPr>
          <t xml:space="preserve"> gimnazija - 670  t. €</t>
        </r>
        <r>
          <rPr>
            <b/>
            <sz val="9"/>
            <color indexed="81"/>
            <rFont val="Tahoma"/>
            <family val="2"/>
            <charset val="186"/>
          </rPr>
          <t xml:space="preserve">
</t>
        </r>
        <r>
          <rPr>
            <sz val="9"/>
            <color indexed="81"/>
            <rFont val="Tahoma"/>
            <family val="2"/>
            <charset val="186"/>
          </rPr>
          <t>Iš viso: 1190 tūkst. Eur</t>
        </r>
      </text>
    </comment>
    <comment ref="N127" authorId="0" shapeId="0">
      <text>
        <r>
          <rPr>
            <sz val="9"/>
            <color indexed="81"/>
            <rFont val="Tahoma"/>
            <family val="2"/>
            <charset val="186"/>
          </rPr>
          <t>H. Zudermano gimnazijoje - 20 tūkst. Eur</t>
        </r>
      </text>
    </comment>
    <comment ref="N138" authorId="0" shapeId="0">
      <text>
        <r>
          <rPr>
            <sz val="9"/>
            <color indexed="81"/>
            <rFont val="Tahoma"/>
            <family val="2"/>
            <charset val="186"/>
          </rPr>
          <t xml:space="preserve">m/d "Saulutė" ir l/d "Vėrinėlis"
</t>
        </r>
      </text>
    </comment>
    <comment ref="F177" authorId="0" shapeId="0">
      <text>
        <r>
          <rPr>
            <sz val="9"/>
            <color indexed="81"/>
            <rFont val="Tahoma"/>
            <family val="2"/>
            <charset val="186"/>
          </rPr>
          <t xml:space="preserve">2018 m. – l.-d. „Berželis“, „Kregždutė“, „Ąžuoliukas“, „Aitvarėlis“, „Žemuogėlė“,  „Nykštukas“, „Žilvitis“, „Pumpurėlis“, „Pagrandukas“, „Eglutė“, Klaipėdos karalienės Luizės jaunimo centras, 3–6 švietimo įstaigų buitinių tinklų remontas
</t>
        </r>
      </text>
    </comment>
    <comment ref="N180" authorId="0" shapeId="0">
      <text>
        <r>
          <rPr>
            <sz val="9"/>
            <color indexed="81"/>
            <rFont val="Tahoma"/>
            <family val="2"/>
            <charset val="186"/>
          </rPr>
          <t xml:space="preserve">l/d "Varpelis", "Pingvinukas" ir "Du gaideliai"
</t>
        </r>
      </text>
    </comment>
    <comment ref="N182" authorId="0" shapeId="0">
      <text>
        <r>
          <rPr>
            <sz val="9"/>
            <color indexed="81"/>
            <rFont val="Tahoma"/>
            <family val="2"/>
            <charset val="186"/>
          </rPr>
          <t xml:space="preserve">l/d "Alksniukas", "Klevelis", "Pingvinukas", "Sakalėlis", "Švyturėlis", "Vėrinėlis" ir "Žemuogėlė
</t>
        </r>
      </text>
    </comment>
    <comment ref="N185" authorId="0" shapeId="0">
      <text>
        <r>
          <rPr>
            <sz val="9"/>
            <color indexed="81"/>
            <rFont val="Tahoma"/>
            <family val="2"/>
            <charset val="186"/>
          </rPr>
          <t xml:space="preserve">„Varpo“ gimnazija, S. Dacho progimnazija, L/d „Varpelis“, „Berželis“, „Alksniukas“, „Du  gaideliai“, „Putinėlis“, „Bangelė“, „Pumpurėlis“, „Pagrandukas“, „Inkarėlis“, “Linelis“, „Nykštukas“, „Aitvarėlis“, „Sakalėlis“ ir „Vyturio“ progimnazija
</t>
        </r>
      </text>
    </comment>
    <comment ref="N186" authorId="0" shapeId="0">
      <text>
        <r>
          <rPr>
            <sz val="9"/>
            <color indexed="81"/>
            <rFont val="Tahoma"/>
            <family val="2"/>
            <charset val="186"/>
          </rPr>
          <t>l/d "Liepaitė", "Pingvinukas", "Rūta", "Boružėlė", "Eglutė", Zudermano, Vydūno gimnazijos, Gabijos progimnazija, Sendvario m-kla, klubas "Draugystė"</t>
        </r>
      </text>
    </comment>
    <comment ref="F187" authorId="0" shapeId="0">
      <text>
        <r>
          <rPr>
            <sz val="9"/>
            <color indexed="81"/>
            <rFont val="Tahoma"/>
            <family val="2"/>
            <charset val="186"/>
          </rPr>
          <t xml:space="preserve">2019 m. - l/d "Ąžuoliukas", "Žuvėdra", "Radastėlė", "Žemuogėlė", "Linelis", "Šermukšnėlė", "Traukinukas", "Versmė", RUC, Gedminų prog., H. Zudermano gimnazija, klubas "Žuvėdra"
</t>
        </r>
      </text>
    </comment>
    <comment ref="N187" authorId="1" shapeId="0">
      <text>
        <r>
          <rPr>
            <sz val="9"/>
            <color indexed="81"/>
            <rFont val="Tahoma"/>
            <family val="2"/>
            <charset val="186"/>
          </rPr>
          <t>2019 m. - l/d "Ąžuoliukas", "Žuvėdra", "Radastėlė", "Žemuogėlė", "Linelis", "Šermukšnėlė", "Traukinukas", "Versmė", RUC, Gedminų prog., H. Zudermano gimnazija, klubas "Žuvėdra".</t>
        </r>
      </text>
    </comment>
    <comment ref="G188" authorId="0" shapeId="0">
      <text>
        <r>
          <rPr>
            <sz val="9"/>
            <color indexed="81"/>
            <rFont val="Tahoma"/>
            <family val="2"/>
            <charset val="186"/>
          </rPr>
          <t>"Kompleksiškai sutvarkyti bendrojo ugdymo mokyklų ir ikimokyklinio ugdymo įstaigų teritorijas"</t>
        </r>
      </text>
    </comment>
    <comment ref="N189" authorId="1" shapeId="0">
      <text>
        <r>
          <rPr>
            <sz val="9"/>
            <color indexed="81"/>
            <rFont val="Tahoma"/>
            <family val="2"/>
            <charset val="186"/>
          </rPr>
          <t xml:space="preserve">2019 m. - "Aitvaro", Vydūno gimnazijos lauko nuotekų tinklų remontas, "Žaliakalnio" gimnazijos, l/d „Radastėlė“ ir „Pingvinukas“ paviršinių ir buitinių nuotekų tinklų statybos darbai </t>
        </r>
      </text>
    </comment>
    <comment ref="O210" authorId="0" shapeId="0">
      <text>
        <r>
          <rPr>
            <sz val="9"/>
            <color indexed="81"/>
            <rFont val="Tahoma"/>
            <family val="2"/>
            <charset val="186"/>
          </rPr>
          <t xml:space="preserve">lopšeliuose-darželiuose „Aitvarėlis“ ir "Versmė"
</t>
        </r>
      </text>
    </comment>
  </commentList>
</comments>
</file>

<file path=xl/sharedStrings.xml><?xml version="1.0" encoding="utf-8"?>
<sst xmlns="http://schemas.openxmlformats.org/spreadsheetml/2006/main" count="1991" uniqueCount="779">
  <si>
    <t>Finansavimo šaltinių suvestinė</t>
  </si>
  <si>
    <t>Finansavimo šaltiniai</t>
  </si>
  <si>
    <t>I</t>
  </si>
  <si>
    <t>LRVB</t>
  </si>
  <si>
    <t>ES</t>
  </si>
  <si>
    <t>10</t>
  </si>
  <si>
    <t>Iš viso tikslui:</t>
  </si>
  <si>
    <t>Iš viso programai:</t>
  </si>
  <si>
    <t>Programos tikslo kodas</t>
  </si>
  <si>
    <t>Uždavinio kodas</t>
  </si>
  <si>
    <t>Priemonės kodas</t>
  </si>
  <si>
    <t>Priemonės požymis</t>
  </si>
  <si>
    <t>Asignavimų valdytojo kodas</t>
  </si>
  <si>
    <t>Finansavimo šaltinis</t>
  </si>
  <si>
    <t>01</t>
  </si>
  <si>
    <t>SB</t>
  </si>
  <si>
    <t>Iš viso:</t>
  </si>
  <si>
    <t>02</t>
  </si>
  <si>
    <t>SB(VB)</t>
  </si>
  <si>
    <t>03</t>
  </si>
  <si>
    <t>Iš viso uždaviniui:</t>
  </si>
  <si>
    <t>04</t>
  </si>
  <si>
    <t>05</t>
  </si>
  <si>
    <t>Pavadinimas</t>
  </si>
  <si>
    <t>SAVIVALDYBĖS  LĖŠOS, IŠ VISO:</t>
  </si>
  <si>
    <t>KITI ŠALTINIAI, IŠ VISO:</t>
  </si>
  <si>
    <t>IŠ VISO:</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</si>
  <si>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</si>
  <si>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</si>
  <si>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Europos Sąjungos paramos lėšos </t>
    </r>
    <r>
      <rPr>
        <b/>
        <sz val="10"/>
        <rFont val="Times New Roman"/>
        <family val="1"/>
      </rPr>
      <t>ES</t>
    </r>
  </si>
  <si>
    <t>10 Ugdymo proceso užtikrinimo programa</t>
  </si>
  <si>
    <r>
      <t xml:space="preserve">Pajamų įmokos už paslaugas </t>
    </r>
    <r>
      <rPr>
        <b/>
        <sz val="10"/>
        <rFont val="Times New Roman"/>
        <family val="1"/>
      </rPr>
      <t>SB(SP)</t>
    </r>
  </si>
  <si>
    <t>Renovuoti ugdymo įstaigų pastatus ir patalpas</t>
  </si>
  <si>
    <t>Organizuoti materialinį, ūkinį ir techninį ugdymo įstaigų aptarnavimą</t>
  </si>
  <si>
    <t>Ugdymo įstaigų ūkinio aptarnavimo organizavimas:</t>
  </si>
  <si>
    <t>Užtikrinti kokybišką ugdymo proceso organizavimą</t>
  </si>
  <si>
    <t>Gerinti ugdymo sąlygas ir aplinką</t>
  </si>
  <si>
    <t>Mokinių pavėžėjimo užtikrinimas</t>
  </si>
  <si>
    <t>Ryšių kabelių kanalų nuoma</t>
  </si>
  <si>
    <t>Šilumos ir karšto vandens tiekimo sistemų renovacija ir remontas</t>
  </si>
  <si>
    <t>Švietimo įstaigų pastatų apsauga</t>
  </si>
  <si>
    <t>Įstaigų skaičius</t>
  </si>
  <si>
    <t>Priešgaisrinių reikalavimų vykdymas švietimo įstaigose</t>
  </si>
  <si>
    <t>Kabelio tinklo ilgis, km</t>
  </si>
  <si>
    <t>Švietimo įstaigų paprastasis remontas</t>
  </si>
  <si>
    <t>SB(SP)</t>
  </si>
  <si>
    <t>Savivaldybės administracijos direktorius</t>
  </si>
  <si>
    <t>Asignavimų valdytojų kodų klasifikatorius*</t>
  </si>
  <si>
    <t xml:space="preserve">                              Pavadinimas</t>
  </si>
  <si>
    <t>Ugdymo ir kultūros departamento direktorius</t>
  </si>
  <si>
    <t>Socialinių reikalų departamento direktorius</t>
  </si>
  <si>
    <t>Urbanistinės plėtros departamento direktorius</t>
  </si>
  <si>
    <t>Investicijų ir ekonomikos departamento direktorius</t>
  </si>
  <si>
    <t>Miesto ūkio departamento direktorius</t>
  </si>
  <si>
    <t>* patvirtinta Klaipėdos miesto savivaldybės administracijos direktoriaus 2011 m. vasario 24 d. įsakymu Nr. AD1-384.</t>
  </si>
  <si>
    <t>Veiklos organizavimo užtikrinimas švietimo įstaigose:</t>
  </si>
  <si>
    <t>Metodinių būrelių skaičius mieste</t>
  </si>
  <si>
    <t>1.4.1.9.</t>
  </si>
  <si>
    <t>1.4.3.3.</t>
  </si>
  <si>
    <t>1.4.1.8.</t>
  </si>
  <si>
    <t>1.4.3.5.</t>
  </si>
  <si>
    <t>Švietimo įstaigų sanitarinių patalpų remontas</t>
  </si>
  <si>
    <r>
      <t xml:space="preserve">BĮ Klaipėdos pedagoginės psichologinės tarnybos </t>
    </r>
    <r>
      <rPr>
        <sz val="10"/>
        <rFont val="Times New Roman"/>
        <family val="1"/>
        <charset val="186"/>
      </rPr>
      <t>veiklos užtikrinimas</t>
    </r>
  </si>
  <si>
    <t>Kt</t>
  </si>
  <si>
    <t>Iš viso priemonei:</t>
  </si>
  <si>
    <t>Vasaros poilsio organizavimas</t>
  </si>
  <si>
    <t xml:space="preserve">Brandos egzaminų administravimas </t>
  </si>
  <si>
    <t>Vaikiškų lovyčių įsigijimas ikimokyklinėse įstaigose</t>
  </si>
  <si>
    <t>Planas</t>
  </si>
  <si>
    <t>Įstaigų, kuriose atlikti remonto darbai, skaičius</t>
  </si>
  <si>
    <t>Įstaigų, kuriose likviduoti pažeidimai, skaičius</t>
  </si>
  <si>
    <t>Įstaigų, kuriose suremontuota sanitarinių patalpų, skaičius</t>
  </si>
  <si>
    <t>Mokinių, kuriems kompensuojamos pavėžėjimo išlaidos, skaičius</t>
  </si>
  <si>
    <t>Švietimo įstaigų elektros instaliacijos remontas</t>
  </si>
  <si>
    <t xml:space="preserve">Parengtas techninis projektas, vnt.  </t>
  </si>
  <si>
    <t>Atlikta statybos darbų, proc.</t>
  </si>
  <si>
    <t>Atlikta rekonstrukcijos darbų, proc.</t>
  </si>
  <si>
    <t>Parengtas techninis projektas</t>
  </si>
  <si>
    <t xml:space="preserve">Atlikta modernizavimo darbų, proc.
</t>
  </si>
  <si>
    <t>SB(SPL)</t>
  </si>
  <si>
    <t xml:space="preserve">03 Strateginis tikslas. Užtikrinti gyventojams aukštą švietimo, kultūros, socialinių, sporto ir sveikatos apsaugos paslaugų kokybę ir prieinamumą </t>
  </si>
  <si>
    <t>Aptarnautų asmenų skaičius</t>
  </si>
  <si>
    <t>Savivaldybės administracijos vaiko gerovės komisijos veiklos užtikrinimas</t>
  </si>
  <si>
    <t>Dalyvių skaičius, vnt.</t>
  </si>
  <si>
    <t>Nuotolinio mokymo savivaldybės švietimo įstaigose diegimas ir plėtojimas</t>
  </si>
  <si>
    <t>Įsigyta įrengimų, vnt.</t>
  </si>
  <si>
    <r>
      <t xml:space="preserve">Pajamų imokų likutis </t>
    </r>
    <r>
      <rPr>
        <b/>
        <sz val="10"/>
        <rFont val="Times New Roman"/>
        <family val="1"/>
        <charset val="186"/>
      </rPr>
      <t>SB(SPL)</t>
    </r>
  </si>
  <si>
    <t>Sudaryti sąlygas ugdytis ir gerinti ugdymo proceso kokybę</t>
  </si>
  <si>
    <t>Švietimo įstaigų persikėlimo į kitas patalpas išlaidų apmokėjimas</t>
  </si>
  <si>
    <t xml:space="preserve">Aprūpinti švietimo įstaigas reikalingu inventoriumi  </t>
  </si>
  <si>
    <r>
      <t xml:space="preserve">Ugdymo proceso ir aplinkos užtikrinimas </t>
    </r>
    <r>
      <rPr>
        <b/>
        <sz val="10"/>
        <rFont val="Times New Roman"/>
        <family val="1"/>
        <charset val="186"/>
      </rPr>
      <t>savivaldybės pradinėje mokykloje ir mokyklose-darželiuose</t>
    </r>
  </si>
  <si>
    <t>tūkst. Eur</t>
  </si>
  <si>
    <t>Bendrojo ugdymo mokyklos pastato statyba šiaurinėje miesto dalyje</t>
  </si>
  <si>
    <t>Vaikų, už kurių išlaikymą ikimokyklinėse ir priešmokyklinėse įstaigose yra kompensuojamos išlaidos, skaičius</t>
  </si>
  <si>
    <t>Sporto mokyklas lankančių vaikų, kurių ugdymas finansuojamas iš mokinio krepšelio lėšų, skaičius</t>
  </si>
  <si>
    <t>„Gilijos“ pradinės mokyklos (Taikos pr. 68) pastato energetinio efektyvumo didinimas</t>
  </si>
  <si>
    <t>Įstaigų, kurių šilumos ir karšto vandens tiekimo sistemos prižiūrimos, skaičius</t>
  </si>
  <si>
    <t>SB(ES)</t>
  </si>
  <si>
    <t>Neformaliojo vaikų švietimo programų įgyvendinimas ir neformaliojo vaikų švietimo paslaugų plėtra</t>
  </si>
  <si>
    <t xml:space="preserve">Įrenginių įsigijimas švietimo įstaigų maisto blokuose </t>
  </si>
  <si>
    <t xml:space="preserve">STRATEGINIO VEIKLOS PLANO VYKDYMO ATASKAITA </t>
  </si>
  <si>
    <t>(UGDYMO PROCESO UŽTIKRINIMO PROGRAMA (NR. 10))</t>
  </si>
  <si>
    <t>planuotos reikšmės</t>
  </si>
  <si>
    <t>faktinės reikšmės</t>
  </si>
  <si>
    <t>Informacija apie pasiektus rezultatus, duomenys apie programai skirtų asignavimų panaudojimo tikslingumą</t>
  </si>
  <si>
    <t>Priežastys, dėl kurių planuotos rodiklių reikšmės nepasiektos</t>
  </si>
  <si>
    <t>Asmenų, kuriems suteikta specialioji ir psichologinė pagalba, dalis nuo bendro mokinių ir vaikų skaičiaus (proc.)</t>
  </si>
  <si>
    <t xml:space="preserve">       UGDYMO PROCESO UŽTIKRINIMO PROGRAMOS (NR. 10)</t>
  </si>
  <si>
    <t>ĮVYKDYMO ATASKAITA</t>
  </si>
  <si>
    <t xml:space="preserve">Programos vykdytojai: </t>
  </si>
  <si>
    <t>faktiškai įvykdyta –</t>
  </si>
  <si>
    <t>(pagal planą arba geriau);</t>
  </si>
  <si>
    <t>iš dalies įvykdyta –</t>
  </si>
  <si>
    <t xml:space="preserve"> (blogiau, nei planuota);</t>
  </si>
  <si>
    <t>neįvykdyta –</t>
  </si>
  <si>
    <t>1) priemonė ir papriemonė laikoma visiškai įvykdyta, jei pasiektos visos planuotų ataskaitiniais metais vertinimo  kriterijų reikšmės;</t>
  </si>
  <si>
    <t>2) priemonė ir papriemonė laikoma iš dalies įvykdyta, jei pasiekta mažiau vertinimo kriterijų reikšmių, nei planuota ataskaitiniais metais;</t>
  </si>
  <si>
    <t>3) priemonė ir papriemonė laikoma neįvykdyta, jei nepasiekta nė viena planuoto ataskaitinių metų produkto kriterijaus reikšmė.</t>
  </si>
  <si>
    <r>
      <rPr>
        <b/>
        <sz val="12"/>
        <rFont val="Times New Roman"/>
        <family val="1"/>
        <charset val="186"/>
      </rPr>
      <t>Pastaba.</t>
    </r>
    <r>
      <rPr>
        <sz val="12"/>
        <rFont val="Times New Roman"/>
        <family val="1"/>
        <charset val="186"/>
      </rPr>
      <t xml:space="preserve"> Strateginio planavimo skyrius, vertindamas programos įgyvendinimo lygį, atsižvelgia į programos priemonių ir papriemonių įgyvendinimo lygį:</t>
    </r>
  </si>
  <si>
    <t>Asignavimai (tūkst. Eur)</t>
  </si>
  <si>
    <t>Įgyvendintas projektas, proc.</t>
  </si>
  <si>
    <t xml:space="preserve">Ugdymo prieinamumo ir ugdymo formų įvairovės užtikrinimas </t>
  </si>
  <si>
    <t>Maitinimo paslaugų kompensavimas</t>
  </si>
  <si>
    <t>Neformaliojo vaikų ir suaugusiųjų švietimo organizavimas:</t>
  </si>
  <si>
    <r>
      <rPr>
        <b/>
        <sz val="10"/>
        <rFont val="Times New Roman"/>
        <family val="1"/>
      </rPr>
      <t>Neformaliojo</t>
    </r>
    <r>
      <rPr>
        <sz val="10"/>
        <rFont val="Times New Roman"/>
        <family val="1"/>
      </rPr>
      <t xml:space="preserve"> vaikų ugdymo proceso užtikrinimas biudžetinėse </t>
    </r>
    <r>
      <rPr>
        <b/>
        <sz val="10"/>
        <rFont val="Times New Roman"/>
        <family val="1"/>
      </rPr>
      <t xml:space="preserve">sporto mokyklose </t>
    </r>
  </si>
  <si>
    <t xml:space="preserve">   </t>
  </si>
  <si>
    <t>Neformaliojo suaugusiųjų švietimo ir tęstinio mokymosi 2016–2019 metais veiksmų plano įgyvendinimas</t>
  </si>
  <si>
    <t>SB(L)</t>
  </si>
  <si>
    <t>Mokinių, aprūpintų elektroniniais pažymėjimais, skaičius, vnt.</t>
  </si>
  <si>
    <t>Atlikta rekonstravimo darbų, proc.</t>
  </si>
  <si>
    <t>Mokymosi aplinkos pritaikymas švietimo reikmėms:</t>
  </si>
  <si>
    <t xml:space="preserve">Baldų ir įrangos atnaujinimas:  </t>
  </si>
  <si>
    <t>Šilumos ir karšto vandens tiekimo sistemų priežiūra</t>
  </si>
  <si>
    <t>Švietimo įstaigų stogų remontas</t>
  </si>
  <si>
    <t>Parengtas techninis projektas, vnt.</t>
  </si>
  <si>
    <t>Švietimo įstaigų energinių išteklių efektyvinimas:</t>
  </si>
  <si>
    <t>Švietimo įstaigų patalpų šildymas</t>
  </si>
  <si>
    <t>Automatizuotos šilumos punkto  kontrolės ir valdymo sistemų aptarnavimas švietimo įstaigų pastatuose</t>
  </si>
  <si>
    <r>
      <t xml:space="preserve">Apyvartos lėšų likutis </t>
    </r>
    <r>
      <rPr>
        <b/>
        <sz val="10"/>
        <rFont val="Times New Roman"/>
        <family val="1"/>
        <charset val="186"/>
      </rPr>
      <t>SB(L)</t>
    </r>
  </si>
  <si>
    <r>
      <t>Valstybės biudžeto lėšos</t>
    </r>
    <r>
      <rPr>
        <b/>
        <sz val="10"/>
        <rFont val="Times New Roman"/>
        <family val="1"/>
        <charset val="186"/>
      </rPr>
      <t xml:space="preserve"> LRVB</t>
    </r>
  </si>
  <si>
    <r>
      <t>Asignavimų valdytojai:</t>
    </r>
    <r>
      <rPr>
        <sz val="12"/>
        <rFont val="Times New Roman"/>
        <family val="1"/>
        <charset val="186"/>
      </rPr>
      <t xml:space="preserve"> Klaipėdos miesto savivaldybės administracija (1), Ugdymo ir kultūros departamentas (2), Investicijų ir ekonomikos departamentas (5), Miesto ūkio departamentas (6). </t>
    </r>
  </si>
  <si>
    <t>Klaipėdos miesto savivaldybės administracijos Informavimo ir e. paslaugų skyrius, Ugdymo ir kultūros departamento Švietimo skyrius, Miesto ūkio departamento Socialinės infrastruktūros priežiūros skyrius, Investicijų ir ekonomikos departamento Projektų ir Statybos ir infrastruktūros plėtros skyriai.</t>
  </si>
  <si>
    <t>Priemonės pavadinimas</t>
  </si>
  <si>
    <t>Produkto kriterijus</t>
  </si>
  <si>
    <t>Savivaldybės švietimo įstaigose ugdomų 1–6 metų amžiaus vaikų dalis nuo bendro atitinkamo amžiaus miesto vaikų skaičiaus (proc.)</t>
  </si>
  <si>
    <t>Vaikų, dalyvaujančių neformaliojo vaikų švietimo programose, dalis nuo bendro miesto mokinių skaičiaus (proc.)</t>
  </si>
  <si>
    <t>SB(ESA)</t>
  </si>
  <si>
    <r>
      <t xml:space="preserve">Ugdymo proceso ir aplinkos užtikrinimas </t>
    </r>
    <r>
      <rPr>
        <b/>
        <sz val="10"/>
        <rFont val="Times New Roman"/>
        <family val="1"/>
        <charset val="186"/>
      </rPr>
      <t xml:space="preserve">savivaldybės </t>
    </r>
    <r>
      <rPr>
        <sz val="10"/>
        <rFont val="Times New Roman"/>
        <family val="1"/>
        <charset val="186"/>
      </rPr>
      <t>ikimokyklinio ugdymo įstaigose</t>
    </r>
  </si>
  <si>
    <t>Įstaigų skaičius, vnt.</t>
  </si>
  <si>
    <t>Vaikų skaičius, vnt.</t>
  </si>
  <si>
    <r>
      <t xml:space="preserve">Ugdymo proceso ir aplinkos užtikrinimas </t>
    </r>
    <r>
      <rPr>
        <b/>
        <sz val="10"/>
        <rFont val="Times New Roman"/>
        <family val="1"/>
        <charset val="186"/>
      </rPr>
      <t>nevalstybinėse</t>
    </r>
    <r>
      <rPr>
        <sz val="10"/>
        <rFont val="Times New Roman"/>
        <family val="1"/>
        <charset val="186"/>
      </rPr>
      <t xml:space="preserve"> ikimokyklinio ugdymo įstaigose</t>
    </r>
  </si>
  <si>
    <t xml:space="preserve">Iš jų mokinių skaičius, vnt. </t>
  </si>
  <si>
    <r>
      <t xml:space="preserve">Ugdymo proceso ir aplinkos užtikrinimas </t>
    </r>
    <r>
      <rPr>
        <b/>
        <sz val="10"/>
        <rFont val="Times New Roman"/>
        <family val="1"/>
        <charset val="186"/>
      </rPr>
      <t>savivaldybės</t>
    </r>
    <r>
      <rPr>
        <sz val="10"/>
        <rFont val="Times New Roman"/>
        <family val="1"/>
        <charset val="186"/>
      </rPr>
      <t xml:space="preserve"> bendrojo ugdymo mokyklose </t>
    </r>
  </si>
  <si>
    <t>Mokinių skaičius, vnt.</t>
  </si>
  <si>
    <r>
      <t xml:space="preserve">Ugdymo proceso ir aplinkos užtikrinimas </t>
    </r>
    <r>
      <rPr>
        <b/>
        <sz val="10"/>
        <rFont val="Times New Roman"/>
        <family val="1"/>
        <charset val="186"/>
      </rPr>
      <t xml:space="preserve">nevalstybinėse </t>
    </r>
    <r>
      <rPr>
        <sz val="10"/>
        <rFont val="Times New Roman"/>
        <family val="1"/>
        <charset val="186"/>
      </rPr>
      <t xml:space="preserve">bendrojo ugdymo mokyklose </t>
    </r>
  </si>
  <si>
    <r>
      <t xml:space="preserve">Ugdymo proceso ir aplinkos užtikrinimas </t>
    </r>
    <r>
      <rPr>
        <b/>
        <sz val="10"/>
        <rFont val="Times New Roman"/>
        <family val="1"/>
        <charset val="186"/>
      </rPr>
      <t>savivaldybės neformaliojo vaikų švietimo įstaigose</t>
    </r>
  </si>
  <si>
    <t>Aptarnautų asmenų skaičius, vnt.</t>
  </si>
  <si>
    <t>BĮ Klaipėdos pedagoginės psichologinės tarnybos dalyvavimas projekte pagal ES INTERREG V-A</t>
  </si>
  <si>
    <r>
      <t xml:space="preserve">BĮ Klaipėdos regos ugdymo centro </t>
    </r>
    <r>
      <rPr>
        <sz val="10"/>
        <rFont val="Times New Roman"/>
        <family val="1"/>
        <charset val="186"/>
      </rPr>
      <t>veiklos užtikrinimas</t>
    </r>
  </si>
  <si>
    <r>
      <t>BĮ Klaipėdos miesto pedagogų švietimo ir kultūros centro</t>
    </r>
    <r>
      <rPr>
        <sz val="10"/>
        <rFont val="Times New Roman"/>
        <family val="1"/>
        <charset val="186"/>
      </rPr>
      <t xml:space="preserve"> veiklos užtikrinimas</t>
    </r>
  </si>
  <si>
    <t>Kvalifikacijos pažymėjimų skaičius, vnt.</t>
  </si>
  <si>
    <t>Mokytojų skaičius, vnt.</t>
  </si>
  <si>
    <t>Mokyklų skaičius, vnt.</t>
  </si>
  <si>
    <t>Bendrojo ugdymo mokyklų tinklo pertvarkos 2016–2020 metų bendrojo plano priemonių įgyvendinimas:</t>
  </si>
  <si>
    <t>Sporto klasių steigimas</t>
  </si>
  <si>
    <t>Tarptautinių programų įgyvendinimas</t>
  </si>
  <si>
    <t>Vaikų, kuriems iš dalies kompensuojamas ugdymas nevalstybinėse įstaigose, skaičius, vnt.</t>
  </si>
  <si>
    <t>Etatų skaičius, vnt.</t>
  </si>
  <si>
    <t>Egzaminų skaičius, vnt.</t>
  </si>
  <si>
    <t>Centralizuotas paviršinių (lietaus) nuotekų tvarkymas</t>
  </si>
  <si>
    <t>Programų skaičius, vnt.</t>
  </si>
  <si>
    <t>Prevencinių renginių skaičius, vnt.</t>
  </si>
  <si>
    <t xml:space="preserve">Miesto metodinių būrelių veiklos užtikrinimas </t>
  </si>
  <si>
    <t>Metodinių būrelių skaičius, vnt.</t>
  </si>
  <si>
    <t>Elektroninio mokinio pažymėjimo diegimas ir naudojimo užtikrinimas savivaldybės bendrojo ugdymo mokyklose, neformaliojo švietimo ir sporto įstaigose</t>
  </si>
  <si>
    <t>06</t>
  </si>
  <si>
    <t>Mokinių priėmimo į savivaldybės bendrojo ugdymo mokyklas informacinės sistemos sukūrimas ir priežiūra</t>
  </si>
  <si>
    <t>Administruojama informacinė sistema, vnt.</t>
  </si>
  <si>
    <t>07</t>
  </si>
  <si>
    <t xml:space="preserve">Savivaldybės švietimo įstaigų civilinės atsakomybės draudimas  </t>
  </si>
  <si>
    <t>Atnaujintų savivaldybės bendrojo ugdymo mokyklų sporto aikštynų skaičius, vnt.</t>
  </si>
  <si>
    <t>Savivaldybės švietimo įstaigų, kuriose atnaujinta ugdymo aplinka, skaičius, vnt.</t>
  </si>
  <si>
    <t>Savivaldybės bendrojo ugdymo mokyklų pastatų ir aplinkos modernizavimas bei plėtra:</t>
  </si>
  <si>
    <t>Modernizuota edukacinių erdvių, skaičius</t>
  </si>
  <si>
    <t>Įstaigų, kuriose įsigyta įrangos ir baldų, skaičius, vnt.</t>
  </si>
  <si>
    <t>Atlikta modernizavimo darbų, proc.</t>
  </si>
  <si>
    <r>
      <rPr>
        <b/>
        <sz val="10"/>
        <rFont val="Times New Roman"/>
        <family val="1"/>
        <charset val="186"/>
      </rPr>
      <t>Bendrojo ugdymo mokyklos pastato statyba</t>
    </r>
    <r>
      <rPr>
        <sz val="10"/>
        <rFont val="Times New Roman"/>
        <family val="1"/>
      </rPr>
      <t xml:space="preserve"> šiaurinėje miesto dalyje</t>
    </r>
  </si>
  <si>
    <t>Atlikta rangos darbų, proc.</t>
  </si>
  <si>
    <t>Atnaujinta aikštynų, skaičius</t>
  </si>
  <si>
    <t>Parengta techninių projektų, vnt.</t>
  </si>
  <si>
    <r>
      <t xml:space="preserve">BĮ Klaipėdos „Žaliakalnio“ gimnazijos </t>
    </r>
    <r>
      <rPr>
        <sz val="10"/>
        <rFont val="Times New Roman"/>
        <family val="1"/>
        <charset val="186"/>
      </rPr>
      <t xml:space="preserve">pastato inžinerinių sistemų ir vidaus patalpų remontas </t>
    </r>
  </si>
  <si>
    <t>Ikimokyklinio ugdymo įstaigų pastatų modernizavimas ir plėtra:</t>
  </si>
  <si>
    <t>Neformaliojo vaikų švietimo įstaigų pastatų rekonstravimas:</t>
  </si>
  <si>
    <t>BĮ Klaipėdos Jeronimo Kačinsko muzikos mokyklos (Statybininkų pr. 5) pastato energinio efektyvumo didinimas</t>
  </si>
  <si>
    <t>P4</t>
  </si>
  <si>
    <t>Vaikiškų lovyčių įsigijimas savivaldybės ikimokyklinio ugdymo įstaigose</t>
  </si>
  <si>
    <t>Lovyčių skaičius, vnt.</t>
  </si>
  <si>
    <t>Įsigyta baldų, vnt.</t>
  </si>
  <si>
    <t>Stacionarių ar nešiojamųjų kompiuterių skaičius, vnt.</t>
  </si>
  <si>
    <t>Įstaigų, kuriose atlikti remonto darbai, skaičius, vnt.</t>
  </si>
  <si>
    <t>Renovuotų, suremontuotų sistemų, skaičius, vnt.</t>
  </si>
  <si>
    <t>Įstaigų, kuriose likviduoti pažeidimai, skaičius, vnt.</t>
  </si>
  <si>
    <t>LITNET programos plėtra</t>
  </si>
  <si>
    <t>Prijungtų prie LITNET įstaigų skaičius, vnt.</t>
  </si>
  <si>
    <t>Saugomų pastatų, objektų skaičius, vnt.</t>
  </si>
  <si>
    <t xml:space="preserve">Parengta techninių projektų, vnt.    </t>
  </si>
  <si>
    <t>Suremontuotų įstaigų skaičius, vnt.</t>
  </si>
  <si>
    <t xml:space="preserve">Centralizuotas ugdymo įstaigų langų valymas </t>
  </si>
  <si>
    <t>Švietimo įstaigų persikėlimo į kitas patalpas organizavimas</t>
  </si>
  <si>
    <t>Perkeltų įstaigų skaičius, vnt.</t>
  </si>
  <si>
    <t xml:space="preserve">Įstaigų skaičius, vnt.  </t>
  </si>
  <si>
    <t>Aptarnaujamų įstaigų skaičius, vnt.</t>
  </si>
  <si>
    <t>Įstaigų, kuriose diegiamos sistemos, skaičius, vnt.</t>
  </si>
  <si>
    <t>Parengta techninių darbo projektų, vnt.</t>
  </si>
  <si>
    <r>
      <t xml:space="preserve">Savivaldybės biudžeto apyvartos lėšos ES finansinės paramos programų laikinam lėšų stygiui dengti  </t>
    </r>
    <r>
      <rPr>
        <b/>
        <sz val="10"/>
        <rFont val="Times New Roman"/>
        <family val="1"/>
        <charset val="186"/>
      </rPr>
      <t>SB(ESA)</t>
    </r>
  </si>
  <si>
    <r>
      <t xml:space="preserve">Europos Sąjungos paramos lėšos, kurios įtrauktos į savivaldybės biudžetą </t>
    </r>
    <r>
      <rPr>
        <b/>
        <sz val="10"/>
        <rFont val="Times New Roman"/>
        <family val="1"/>
        <charset val="186"/>
      </rPr>
      <t>SB(ES)</t>
    </r>
  </si>
  <si>
    <t>.</t>
  </si>
  <si>
    <t>Papriemonės kodas</t>
  </si>
  <si>
    <t>Papariemonės kodas</t>
  </si>
  <si>
    <t>2019 m. asignavimų patvirtintas planas*</t>
  </si>
  <si>
    <t>2019 m. asignavimų patikslintas planas**</t>
  </si>
  <si>
    <t>2019 m. panaudotos lėšos (kasinės išlaidos)</t>
  </si>
  <si>
    <t xml:space="preserve">Mokinių, įgijusių pagrindinį ir vidurinį išsilavinimą, dalis nuo bendro savivaldybės bendrojo ugdymo mokyklose besimokiusių II (10), IV klasių mokinių skaičiaus (proc.)  </t>
  </si>
  <si>
    <t>99,25 / 98,4</t>
  </si>
  <si>
    <t>Per metus organizuotų edukacinių-kultūrinių renginių ir dalykinių projektų skaičius (vnt.)</t>
  </si>
  <si>
    <t xml:space="preserve">iš jų mokinių skaičius, vnt. </t>
  </si>
  <si>
    <t>Įsigyta baldų kompl., vnt.</t>
  </si>
  <si>
    <t>Bendrojo ugdymo mokyklų dalyvavimas projekte ,,Mokinių ugdymosi pasiekimų gerinimas diegiant kokybės krepšelį“</t>
  </si>
  <si>
    <t xml:space="preserve">Klaipėdos miesto bendrojo ugdymo mokyklų antrųjų klasių mokinių vežimo paslaugos mokyti plaukti užtikrinimas  </t>
  </si>
  <si>
    <t>Mokytis plaukti vežiojamų vaikų skaičius, vnt.</t>
  </si>
  <si>
    <t>Suorganizuotų edukacinių ir kultūrinių renginių skaičius, vnt., iš jų:</t>
  </si>
  <si>
    <t>Moksleivių saviraiškos centro</t>
  </si>
  <si>
    <t>Vaikų laisvalaikio centro</t>
  </si>
  <si>
    <t>Karalienės Luizės jaunimo centro</t>
  </si>
  <si>
    <t>Rugsėjo 1-osios šventės organizavimas (renginys „Švyturio“ arenoje), vaikų skaičius, vnt.</t>
  </si>
  <si>
    <t>08</t>
  </si>
  <si>
    <t>09</t>
  </si>
  <si>
    <t>11</t>
  </si>
  <si>
    <t>Renginių (kvalifikacijos tobulinimo ir metodiniai) skaičius, vnt.</t>
  </si>
  <si>
    <t>Edukaciniai renginiai, vnt</t>
  </si>
  <si>
    <t>12</t>
  </si>
  <si>
    <t xml:space="preserve">Pedagogų kompetencijų tobulinimas, siekiant švietimo įstaigose įgyvendinti privalomas prevencines programas </t>
  </si>
  <si>
    <t>13</t>
  </si>
  <si>
    <t>Pasirengimas Gamtos mokslų, technologijų, inžinerijos, matematikos mokslų ir kūrybiškumo ugdymo (STEAM) centro įveiklinimui</t>
  </si>
  <si>
    <t>STEAM metodikos parengimas, vnt.</t>
  </si>
  <si>
    <t>Programų parengimas, vnt.</t>
  </si>
  <si>
    <t>14</t>
  </si>
  <si>
    <t>Maitinamų mokinių skaičius</t>
  </si>
  <si>
    <t>Vežiojamų vaikų skaičius, vnt.</t>
  </si>
  <si>
    <t>Klaipėdos jūrų kadetų mokyklos steigimas:</t>
  </si>
  <si>
    <t>Ugdymo proceso ir aplinkos užtikrinimas</t>
  </si>
  <si>
    <t>Klasių skaičius, vnt.</t>
  </si>
  <si>
    <t>Patalpų pritaikymas</t>
  </si>
  <si>
    <t>Įrengtų technologijų kabinetų skaičius, vnt.</t>
  </si>
  <si>
    <t>Nuotolinio mokymo savivaldybės švietimo įstaigose  plėtojimas</t>
  </si>
  <si>
    <t>Universitetinių klasių steigimas Klaipėdos Baltijos gimnazijoje</t>
  </si>
  <si>
    <t>Inžinerinės-gamtamokslinės laboratorijos įrengimas</t>
  </si>
  <si>
    <t>Dėstytojų etatų skaičius, vnt.</t>
  </si>
  <si>
    <t>15</t>
  </si>
  <si>
    <t>Perkelta mokinių iš  Klaipėdos Ievos Simonaitytės pagrindinė mokyklos į Klaipėdos suaugusiųjų gimnazijos  Jaunimo skyrių, skaičius</t>
  </si>
  <si>
    <t>17</t>
  </si>
  <si>
    <t>18</t>
  </si>
  <si>
    <t>19</t>
  </si>
  <si>
    <t>Ugdymo proceso užtikrinimas  Klaipėdos sutrikusio vystymosi kūdikių namuose</t>
  </si>
  <si>
    <t>20</t>
  </si>
  <si>
    <t>SB(ESL)</t>
  </si>
  <si>
    <t>Programose dalyvaujančių vaikų skaičius</t>
  </si>
  <si>
    <t>Garantinės priežiūros etapų skaičius</t>
  </si>
  <si>
    <t>Švietimo įstaigų modulinių kompleksų įrengimas ir nuoma</t>
  </si>
  <si>
    <t>Išnuomota grupių ikimokykliniam ir priešmokykliniam ugdymui, vnt.</t>
  </si>
  <si>
    <t>SB(VBL)</t>
  </si>
  <si>
    <t>SB(P)</t>
  </si>
  <si>
    <r>
      <rPr>
        <b/>
        <sz val="10"/>
        <rFont val="Times New Roman"/>
        <family val="1"/>
        <charset val="186"/>
      </rPr>
      <t>Modernių ugdymosi erdvių sukūrimas Klaipėdos miesto progimnazijose ir gimnazijose</t>
    </r>
    <r>
      <rPr>
        <sz val="10"/>
        <rFont val="Times New Roman"/>
        <family val="1"/>
        <charset val="186"/>
      </rPr>
      <t xml:space="preserve"> („Smeltės“, Liudviko Stulpino, „Sendvario“, „Gedminų“, „Verdenės“ progimnazijose ir  „Vėtrungės“, „Varpo“ gimnazijose)</t>
    </r>
  </si>
  <si>
    <r>
      <rPr>
        <b/>
        <sz val="10"/>
        <rFont val="Times New Roman"/>
        <family val="1"/>
        <charset val="186"/>
      </rPr>
      <t>BĮ Klaipėdos Prano Mašioto progimnazijos</t>
    </r>
    <r>
      <rPr>
        <sz val="10"/>
        <rFont val="Times New Roman"/>
        <family val="1"/>
      </rPr>
      <t xml:space="preserve"> pastato Varpų g. 3 rekonstravimas</t>
    </r>
  </si>
  <si>
    <t>Apmokėtas kreditorinis įsiskolinimas, proc.</t>
  </si>
  <si>
    <r>
      <rPr>
        <b/>
        <sz val="10"/>
        <rFont val="Times New Roman"/>
        <family val="1"/>
        <charset val="186"/>
      </rPr>
      <t xml:space="preserve">Klaipėdos „Versmės“ progimnazijos </t>
    </r>
    <r>
      <rPr>
        <sz val="10"/>
        <rFont val="Times New Roman"/>
        <family val="1"/>
        <charset val="186"/>
      </rPr>
      <t xml:space="preserve">sporto salės atnaujinimas </t>
    </r>
  </si>
  <si>
    <r>
      <rPr>
        <b/>
        <sz val="10"/>
        <rFont val="Times New Roman"/>
        <family val="1"/>
        <charset val="186"/>
      </rPr>
      <t xml:space="preserve">Sporto aikštynų atnaujinimas </t>
    </r>
    <r>
      <rPr>
        <sz val="10"/>
        <rFont val="Times New Roman"/>
        <family val="1"/>
        <charset val="186"/>
      </rPr>
      <t>(modernizavimas) (2019 m. – „Verdenės“, Simono Dacho, „Vyturio“ progimnazijų)</t>
    </r>
  </si>
  <si>
    <r>
      <t xml:space="preserve">Klaipėdos Tauralaukio progimnazijos pastato (Klaipėdos g. 31) rekonstravimas </t>
    </r>
    <r>
      <rPr>
        <sz val="10"/>
        <rFont val="Times New Roman"/>
        <family val="1"/>
        <charset val="186"/>
      </rPr>
      <t>į ikimokyklinio ir priešmokyklinio ugdymo įstaigą</t>
    </r>
  </si>
  <si>
    <t>Ikimokyklinio ir priešmokyklinio ugdymo prieinamumo didinimas Klaipėdos mieste (lopšelio-darželio „Svirpliukas“ modernizavimas)</t>
  </si>
  <si>
    <t>Energinio efektyvumo didinimas ikimokyklinio ugdymo įstaigose:</t>
  </si>
  <si>
    <t>m.-d „Saulutė“, l.-d „Vėrinėlis“, l.-d „Pingvinukas“, l.-d „Putinėlis“, l.-d „Kregždutė“, l.-d „Radastėlė“, l.-d „Boružėlė“</t>
  </si>
  <si>
    <t>BĮ Klaipėdos lopšelio-darželio „Žiogelis“ pastato (Kauno g. 27) modernizavimas</t>
  </si>
  <si>
    <t>Sumokėtas likutis už techninio projekto parengimo paslaugas, proc.</t>
  </si>
  <si>
    <t>Lauko žaidimų aikštelių ir įrenginių atnaujinimas ikimokyklinėse ugdymo įstaigose</t>
  </si>
  <si>
    <t>Patalpų atnaujinimas užtikrinant atitiktį higienos normoms</t>
  </si>
  <si>
    <t>Klaipėdos „Gilijos“ pradinei mokyklai perduotų patalpų pritaikymas mokyklos reikmėms</t>
  </si>
  <si>
    <t>Patalpų plotas, kv. m</t>
  </si>
  <si>
    <t>Edukacinių erdvių įrengimas Klaipėdos „Verdenės“ progimnazijoje</t>
  </si>
  <si>
    <t>Įrengtų suoliukų skaičius, vnt.</t>
  </si>
  <si>
    <t xml:space="preserve">Patalpų pritaikymas neįgalių vaikų ugdymui   </t>
  </si>
  <si>
    <t>Įrengtas naujas keltuvas lopšelyje darželyje „Sakalėlis“</t>
  </si>
  <si>
    <t>Švietimo paslaugų modernizavimo 2018–2021 m. programos priemonių įgyvendinimas:</t>
  </si>
  <si>
    <t>Kompiuterių mokyklose atnaujinimas</t>
  </si>
  <si>
    <t>Išmaniųjų klasių įrengimas</t>
  </si>
  <si>
    <t xml:space="preserve">Švietimo įstaigų paprastasis remontas (2019 m. – l.-d. „Čiauškutė“, „Eglutė“,  „Linelis“,  „Liepaitė“, „Vyturėlis“,  „Vyturio“, „Aitvarėlis“, „Santarvės“ progimnazijos, „Vėtrungės“, „Pajūrio“ gimnazijos, Regos ugdymo centras, klubas „Draugystė“, 3–6 švietimo įstaigų buitinių tinklų remontas)  </t>
  </si>
  <si>
    <t xml:space="preserve">Švietimo įstaigų lauko inžinerinių tinklų remontas (2019 m. – „Aitvaro“,  Vydūno ir „Žaliakalnio“ gimnazijos,  l.-d. „Radastėlė“ ir „Pingvinukas“) </t>
  </si>
  <si>
    <t>Dušinių atnaujinimas Vydūno ir „Aukuro“ gimnazijose</t>
  </si>
  <si>
    <t>Mokinių pavėžėjimo užtikrinimas mokiniams, kuriems taikomos pavėžėjimo lengvatos</t>
  </si>
  <si>
    <t>Pavėžėta mokinių, skaičius</t>
  </si>
  <si>
    <t>Bandomojo projekto H. Zudermano gimnazijos pastato ūkio priežiūros sistemos diegimas</t>
  </si>
  <si>
    <t>Atsinaujinančių energijos išteklių  panaudojimas švietimo įstaigų pastatuose (l.-d. „Ąžuoliukas“, „Aitvarėlis“ ir „Versmė“, „Verdenės“ progimnazijoje)</t>
  </si>
  <si>
    <t>Ataskaitos patvirtinimas, finansų auditas ir viešinimas, vnt.</t>
  </si>
  <si>
    <t>Įstaigų, kuriose įrengtos saulės (fotovoltinės) elektrinės, skaičius</t>
  </si>
  <si>
    <t>Savivaldybės biudžetinės įstaigos bandomojo energijos vartojimo efektyvumo didinimo projekto įgyvendinimas (2020 m. – l.-d. „Klevelis“)</t>
  </si>
  <si>
    <t>Atlikta modernizavimo darbų, užbaigtumas proc.</t>
  </si>
  <si>
    <t>*Pagal Klaipėdos miesto savivaldybės tarybos 2019 m. sausio 31 d. sprendimą Nr. T2-19</t>
  </si>
  <si>
    <t>**Pagal Klaipėdos miesto savivaldybės tarybos 2019 m. spalio 24 d. sprendimą Nr. T2-293</t>
  </si>
  <si>
    <t>Savivaldybės biudžetas, iš jo:</t>
  </si>
  <si>
    <r>
      <t xml:space="preserve">Savivaldybės paskolų lėšos </t>
    </r>
    <r>
      <rPr>
        <b/>
        <sz val="10"/>
        <rFont val="Times New Roman"/>
        <family val="1"/>
      </rPr>
      <t>SB(P)</t>
    </r>
  </si>
  <si>
    <r>
      <t xml:space="preserve">Europos Sąjungos finansinės paramos lėšų likučio metų pradžioje lėšos </t>
    </r>
    <r>
      <rPr>
        <b/>
        <sz val="10"/>
        <rFont val="Times New Roman"/>
        <family val="1"/>
        <charset val="186"/>
      </rPr>
      <t>SB(ESL)</t>
    </r>
  </si>
  <si>
    <r>
      <t>Valstybės biudžeto tikslinės dotacijos lėšų likutis</t>
    </r>
    <r>
      <rPr>
        <b/>
        <sz val="10"/>
        <rFont val="Times New Roman"/>
        <family val="1"/>
        <charset val="186"/>
      </rPr>
      <t xml:space="preserve"> SB(VBL)</t>
    </r>
  </si>
  <si>
    <r>
      <t xml:space="preserve">Europos Sąjungos paramos lėšos </t>
    </r>
    <r>
      <rPr>
        <b/>
        <sz val="10"/>
        <rFont val="Times New Roman"/>
        <family val="1"/>
        <charset val="186"/>
      </rPr>
      <t>ES</t>
    </r>
  </si>
  <si>
    <t>________________________________________</t>
  </si>
  <si>
    <t>Kodas</t>
  </si>
  <si>
    <t>METINIO VEIKLOS PLANO VYKDYMO ATASKAITA</t>
  </si>
  <si>
    <t>Asign. valdytojas</t>
  </si>
  <si>
    <t>SP lėšos</t>
  </si>
  <si>
    <t>Patvirtintas asignavimų planas</t>
  </si>
  <si>
    <t>Patikslintas asignavimų planas</t>
  </si>
  <si>
    <t>Iš viso gauta asignavimų</t>
  </si>
  <si>
    <t>Likutis</t>
  </si>
  <si>
    <t>Efekto /Rezultato /Produkto</t>
  </si>
  <si>
    <t>Rodiklis</t>
  </si>
  <si>
    <t>Mato vnt.</t>
  </si>
  <si>
    <t>2019</t>
  </si>
  <si>
    <t>Aprašymas</t>
  </si>
  <si>
    <t>Pastaba</t>
  </si>
  <si>
    <t>Faktas</t>
  </si>
  <si>
    <t>Ugdymo proceso užtikrinimo programa</t>
  </si>
  <si>
    <t>10.01.</t>
  </si>
  <si>
    <t xml:space="preserve">Užtikrinti kokybišką ugdymo proceso organizavimą   </t>
  </si>
  <si>
    <t>Mokinių, įgijusių pagrindinį ir vidurinį išsilavinimą, dalis nuo bendro savivaldybės bendrojo ugdymo mokyklose besimokiusių II (10), IV klasių mokinių skaičiaus</t>
  </si>
  <si>
    <t>proc.</t>
  </si>
  <si>
    <t>Vaikų, dalyvaujančių neformaliojo vaikų švietimo programose, dalis nuo bendro miesto mokinių skaičiaus</t>
  </si>
  <si>
    <t>Savivaldybės švietimo įstaigose ugdomų 1–6 metų amžiaus vaikų dalis nuo bendro atitinkamo amžiaus miesto vaikų skaičiaus</t>
  </si>
  <si>
    <t>Suorganizuota edukacinių-kultūrinių renginių ir dalykinių projektų</t>
  </si>
  <si>
    <t>skaičius</t>
  </si>
  <si>
    <t>Asmenų, kuriems suteikta specialioji ir psichologinė pagalba, dalis nuo bendro mokinių ir vaikų skaičiaus</t>
  </si>
  <si>
    <t>Išaugo aptarnaujamų asmenų skaičius.</t>
  </si>
  <si>
    <t>10.01.01.</t>
  </si>
  <si>
    <t>10.01.01.01.</t>
  </si>
  <si>
    <t>10.01.01.01.01.</t>
  </si>
  <si>
    <t>Ugdymo proceso ir aplinkos užtikrinimas savivaldybės ikimokyklinio ugdymo įstaigose</t>
  </si>
  <si>
    <t>Savivaldybės įstaigų skaičius</t>
  </si>
  <si>
    <t>vnt.</t>
  </si>
  <si>
    <t>Vaikų skaičius</t>
  </si>
  <si>
    <t>7 949</t>
  </si>
  <si>
    <t>7 978</t>
  </si>
  <si>
    <t>Vaikų skaičius patikslintas Mokinių registre 2019-09-01 dienai</t>
  </si>
  <si>
    <t>10.01.01.01.0101.</t>
  </si>
  <si>
    <t>Ugdymo proceso ir aplinkos užtikrinimas nevalstybinėse ikimokyklinio ugdymo įstaigose - VšĮ „Mažųjų pasaulis“</t>
  </si>
  <si>
    <t>Nevalstybinių įstaigų skaičius</t>
  </si>
  <si>
    <t>10.01.01.01.0102.</t>
  </si>
  <si>
    <t>Ugdymo proceso ir aplinkos užtikrinimas nevalstybinėse ikimokyklinio ugdymo įstaigose - VšĮ „Jūrų žvaigždutė“</t>
  </si>
  <si>
    <t>10.01.01.01.0103.</t>
  </si>
  <si>
    <t>Ugdymo proceso ir aplinkos užtikrinimas nevalstybinėse ikimokyklinio ugdymo įstaigose - VšĮ „Pasakėlė“</t>
  </si>
  <si>
    <t>10.01.01.01.0105.</t>
  </si>
  <si>
    <t>Ugdymo proceso ir aplinkos užtikrinimas nevalstybinėse ikimokyklinio ugdymo įstaigose - UAB „Vaikų giraitė“</t>
  </si>
  <si>
    <t>10.01.01.01.0106.</t>
  </si>
  <si>
    <t>Ugdymo proceso ir aplinkos užtikrinimas nevalstybinėse ikimokyklinio ugdymo įstaigose - VšĮ „Niektauza“</t>
  </si>
  <si>
    <t>10.01.01.01.0107.</t>
  </si>
  <si>
    <t>Ugdymo proceso ir aplinkos užtikrinimas nevalstybinėse ikimokyklinio ugdymo įstaigose - VšĮ „Laimingų vaikų pilis“</t>
  </si>
  <si>
    <t>10.01.01.01.0108.</t>
  </si>
  <si>
    <t>Ugdymo proceso ir aplinkos užtikrinimas nevalstybinėse ikimokyklinio ugdymo įstaigose - VšĮ „Saulė ir mėnulis“</t>
  </si>
  <si>
    <t>10.01.01.01.0109.</t>
  </si>
  <si>
    <t>Ugdymo proceso ir aplinkos užtikrinimas nevalstybinėse ikimokyklinio ugdymo įstaigose - VšĮ „Šv. Pranciškaus paukšteliai“</t>
  </si>
  <si>
    <t>10.01.01.01.02.</t>
  </si>
  <si>
    <t>Ugdymo proceso ir aplinkos užtikrinimas savivaldybės pradinėje mokykloje ir mokyklose-darželiuose</t>
  </si>
  <si>
    <t>Vaikų skaičius patikslintas Mokinių registre 2019-09-01 dienai: "Gilijos" pradinėje mokykloje ir 3 mokyklose-darželiuose mokosi 908 mokiniai ir 375 ikimokyklinukai</t>
  </si>
  <si>
    <t>iš jų mokinių -</t>
  </si>
  <si>
    <t>1 301</t>
  </si>
  <si>
    <t>1 283</t>
  </si>
  <si>
    <t>10.01.01.01.03.</t>
  </si>
  <si>
    <t>Ugdymo proceso ir aplinkos užtikrinimas savivaldybės bendrojo ugdymo mokyklose</t>
  </si>
  <si>
    <t>VDG palapose nuo 2019 m. rugsėjo 1 d. įsteigtos dvi Vitės progimnazijos pirmos klasės. Joms nupirkti 2 baldų komplektai.</t>
  </si>
  <si>
    <t>Mokinių skaičius</t>
  </si>
  <si>
    <t>17 423</t>
  </si>
  <si>
    <t>Įsigyta baldų</t>
  </si>
  <si>
    <t>10.01.01.01.0301.</t>
  </si>
  <si>
    <t>Ugdymo proceso ir aplinkos užtikrinimas nevalstybinėse bendrojo ugdymo mokyklose - VšĮ „Vaivorykštės tako“ gimnazija</t>
  </si>
  <si>
    <t>10.01.01.01.0302.</t>
  </si>
  <si>
    <t>Ugdymo proceso ir aplinkos užtikrinimas nevalstybinėse bendrojo ugdymo mokyklose - VšĮ daugiafunkcinis centras-pagrindinė mokykla „Svetliačiok“</t>
  </si>
  <si>
    <t>10.01.01.01.0303.</t>
  </si>
  <si>
    <t>Ugdymo proceso ir aplinkos užtikrinimas nevalstybinėse bendrojo ugdymo mokyklose - VšĮ Klaipėdos „Universa Via“ tarptautinė mokykla</t>
  </si>
  <si>
    <t>10.01.01.01.0304.</t>
  </si>
  <si>
    <t>Ugdymo proceso ir aplinkos užtikrinimas nevalstybinėse bendrojo ugdymo mokyklose - VšĮ Klaipėdos licėjus</t>
  </si>
  <si>
    <t>10.01.01.01.0305.</t>
  </si>
  <si>
    <t>Ugdymo proceso ir aplinkos užtikrinimas nevalstybinėse bendrojo ugdymo mokyklose - VšĮ Pajūrio Valdorfo bendruomenė</t>
  </si>
  <si>
    <t>10.01.01.01.0307.</t>
  </si>
  <si>
    <t>Įstaigų</t>
  </si>
  <si>
    <t>IV ketvirtyje pasirašytos 5 sutartys su bendrojo ugdymo mokyklomis turinčioms stiprią raišką: S.Dacho, "Verdenės", "Gijijos", "Versmės", H.Zudermano,  Su silpną raišką turinčia "Pajūrio" mokykla, nebuvo pasirašyta,nes Nacionalinė švietimo agentūra neįvykdė visų pirkimo procedūrų</t>
  </si>
  <si>
    <t>10.01.01.01.0309.</t>
  </si>
  <si>
    <t>Ugdymo proceso ir aplinkos užtikrinimas nevalstybinėse bendrojo ugdymo mokyklose - UAB Mažasis Klaipėdos licėjus</t>
  </si>
  <si>
    <t>10.01.01.01.04.</t>
  </si>
  <si>
    <t>Ugdymo proceso ir aplinkos užtikrinimas neformaliojo vaikų švietimo įstaigose</t>
  </si>
  <si>
    <t>Įgyvendinta programų</t>
  </si>
  <si>
    <t>5 564</t>
  </si>
  <si>
    <t>4 671</t>
  </si>
  <si>
    <t>Neformaliojo vaikų švietimo įstaigose 2019 m. rugsėjo 1 d. registruotas 4671 vaikas. Dar daugiau kaip 900 vaikų apsilanko Atvirose jaunimo ir vaikų erdvėse.</t>
  </si>
  <si>
    <t>Suorganizuota renginių</t>
  </si>
  <si>
    <t>I ketvirtyje suorganizuoti 74 renginiai, II ketvirtyje suorganizuoti 59 renginiai, III ketv. - 8 renginiai, IV ketv. - 89 renginiai.</t>
  </si>
  <si>
    <t>10.01.01.01.05.</t>
  </si>
  <si>
    <t>BĮ Klaipėdos pedagoginės psichologinės tarnybos veiklos organizavimo užtikrinimas</t>
  </si>
  <si>
    <t>8 500</t>
  </si>
  <si>
    <t>11 292</t>
  </si>
  <si>
    <t>Aptarnauti asmenys per metus. Įdarbinta daugiau  savanorių "Vaikų linijoje", todėl Tarnybos psichologai turi galimybę suteikti daugiau psichologo paslaugų. Nemažai psichologo paslaugų teikta ikimokyklinio ugdymo įstaigose, todėl aptarnautų asmenų skaičius didesnis negu buvo planuota</t>
  </si>
  <si>
    <t>10.01.01.01.06.</t>
  </si>
  <si>
    <t>BĮ Klaipėdos regos ugdymo centro veiklos užtikrinimas</t>
  </si>
  <si>
    <t>10.01.01.01.07.</t>
  </si>
  <si>
    <t>BĮ Klaipėdos pedagogų švietimo ir kultūros centro veiklos užtikrinimas</t>
  </si>
  <si>
    <t>Įvykdyta renginių</t>
  </si>
  <si>
    <t>Edukacinių renginių skaičius</t>
  </si>
  <si>
    <t>Išduota kvalifikacijos pažymėjimų</t>
  </si>
  <si>
    <t>15 000</t>
  </si>
  <si>
    <t>13 983</t>
  </si>
  <si>
    <t>10.01.01.01.08.</t>
  </si>
  <si>
    <t>Pedagogų kompetencijų tobulinimas, siekiant švietimo įstaigose įgyvendinti privalomas prevencines programas</t>
  </si>
  <si>
    <t>Mokytojų, dalyvaujančių projekte, skaičius</t>
  </si>
  <si>
    <t>Dalyvavo visi suplanuoti mokytojai</t>
  </si>
  <si>
    <t>Mokyklų, dalyvaujančių projekte, skaičius</t>
  </si>
  <si>
    <t>Dalyvavo visos suplanuotos mokyklos</t>
  </si>
  <si>
    <t>10.01.01.01.09.</t>
  </si>
  <si>
    <t>BĮ Klaipėdos Sendvario progimnazijos dalyvavimas projekte „Padarykime tai!“</t>
  </si>
  <si>
    <t>Projekto veiklose dalyvavo 140 mokinių</t>
  </si>
  <si>
    <t>10.01.01.01.10.</t>
  </si>
  <si>
    <t>1 166</t>
  </si>
  <si>
    <t>1 249</t>
  </si>
  <si>
    <t>10.01.01.01.11.</t>
  </si>
  <si>
    <t>Ugdymo proceso užtikrinimas  biudžetinėje įstaigoje Klaipėdos sutrikusio vystymosi kūdikių namai</t>
  </si>
  <si>
    <t>10.01.01.01.12.</t>
  </si>
  <si>
    <t>Klaipėdos miesto bendrojo ugdymo mokyklų antrųjų klasių mokinių vežimo paslaugos mokyti plaukti užtikrinimas</t>
  </si>
  <si>
    <t>2 019</t>
  </si>
  <si>
    <t>10.01.01.01.13.</t>
  </si>
  <si>
    <t>Ugdymo prieinamumo ir ugdymo formų įvairovės užtikrinimas</t>
  </si>
  <si>
    <t>Vaikų, kuriems iš dalies kompensuojamas ugdymas nevalstybinėse įstaigose</t>
  </si>
  <si>
    <t>Pagal pateiktus ugdymo įstaigų 2019 rugsėjo 1 d. duomenis yra 44 vaikais mažiau nei buvo planuota.</t>
  </si>
  <si>
    <t>Perkelta mokinių iš  Klaipėdos Ievos Simonaitytės pagrindinė mokyklos į Klaipėdos suaugusiųjų gimnazijos Jaunimo skyrių</t>
  </si>
  <si>
    <t>Etatų skaičius</t>
  </si>
  <si>
    <t>10.01.01.01.14.</t>
  </si>
  <si>
    <t>Brandos egzaminų administravimas</t>
  </si>
  <si>
    <t>Organizuota egzaminų</t>
  </si>
  <si>
    <t>10.01.01.01.15.</t>
  </si>
  <si>
    <t>"Vyturio" progimnazijoje sumažėjo mokinių, kurie mokomi nuotoliniu būdu (10-čia mokinių mažiau)</t>
  </si>
  <si>
    <t>10.01.01.01.16.</t>
  </si>
  <si>
    <t>Centralizuotas paviršinių (lietaus) nuotekų tvarkymas (paslaugos apmokėjimas)</t>
  </si>
  <si>
    <t>Sąskaitos apmokėtos pagal faktą.</t>
  </si>
  <si>
    <t>10.01.01.01.19.</t>
  </si>
  <si>
    <t>Įgyvendintas projektas</t>
  </si>
  <si>
    <t>Dėl vėluojančių Klaipėdos pedagoginės psichologinės tarnybos pastatų atnaujinimo darbų vėluoja projekto įgyvendinimas</t>
  </si>
  <si>
    <t>10.01.01.01.20.</t>
  </si>
  <si>
    <t>Biudžetinės įstaigos Klaipėdos jūrų kadetų mokyklos steigimas - ugdymo proceso ir aplinkos užtikrinimas</t>
  </si>
  <si>
    <t>Įsteigta klasių</t>
  </si>
  <si>
    <t>Klasių komplektų skaičius pakoreguotas pagal Savivaldybės tarybos 2019 m. rugsėjo 26 d. sprendimą Nr. T2-279</t>
  </si>
  <si>
    <t>Ugdymo procesas prasidėjo nuo  2019-09-01, norinčiųjų mokytis buvo daugiau negu planuota</t>
  </si>
  <si>
    <t>10.01.01.01.21.</t>
  </si>
  <si>
    <t>10.01.01.01.22.</t>
  </si>
  <si>
    <t>10.01.01.01.26.</t>
  </si>
  <si>
    <t>Parengta metodika</t>
  </si>
  <si>
    <t>STEAM veiklos nebuvo pradėtos įgyvendinti, nes Klaipėdos universitetas (kaip partneris) finansavimą gavo 2019 m. pabaigoje. Veiklos bus pradėtos įgyvendinti 2020 metais.</t>
  </si>
  <si>
    <t>Parengta programų</t>
  </si>
  <si>
    <t>Programas planuojama pradėti rengti 2021 metais.</t>
  </si>
  <si>
    <t>10.01.01.01.27.</t>
  </si>
  <si>
    <t>Universitetinių klasių veiklos organizavimas (2020 m. - Baltijos ir „Žemynos“ gimnazijose)</t>
  </si>
  <si>
    <t>Įsteigta dėstytojų etatų</t>
  </si>
  <si>
    <t>Įrengta inžinerinė-gamtamokslinė laboratorija</t>
  </si>
  <si>
    <t>10.01.01.01.28.</t>
  </si>
  <si>
    <t>Biudžetinės įstaigos Klaipėdos jūrų kadetų mokyklos steigimas - patalpų pritaikymas</t>
  </si>
  <si>
    <t>Įrengta technologijų kabinetų</t>
  </si>
  <si>
    <t>Technologijų kabinetai įrengti.</t>
  </si>
  <si>
    <t>10.01.01.02.</t>
  </si>
  <si>
    <t>Neformaliojo švietimo programų ir renginių vykdymas</t>
  </si>
  <si>
    <t>10.01.01.02.01.</t>
  </si>
  <si>
    <t>Neformaliojo suaugusiųjų švietimo ir tęstinio mokymosi 2016-2019 metais veiksmų plano įgyvendinimas</t>
  </si>
  <si>
    <t>10.01.01.02.02.</t>
  </si>
  <si>
    <t>Neformaliojo vaikų ugdymo proceso užtikrinimas biudžetinėse sporto mokyklose</t>
  </si>
  <si>
    <t>2 692</t>
  </si>
  <si>
    <t>2 739</t>
  </si>
  <si>
    <t>10.01.01.02.03.</t>
  </si>
  <si>
    <t>5 600</t>
  </si>
  <si>
    <t>5 487</t>
  </si>
  <si>
    <t>6 neformaliojo vaikų švietimo teikėjai nepateikė prašymų tęsti programų vykdymą</t>
  </si>
  <si>
    <t>10.01.01.02.04.</t>
  </si>
  <si>
    <t>Edukacinių - kultūrinių renginių organizavimas ir dalykinių projektų vykdymas</t>
  </si>
  <si>
    <t>10.01.01.02.06.</t>
  </si>
  <si>
    <t>4 800</t>
  </si>
  <si>
    <t>3 500</t>
  </si>
  <si>
    <t>10.01.01.03.</t>
  </si>
  <si>
    <t>Surengta prevencinių renginių</t>
  </si>
  <si>
    <t>Dalyvaujančių renginuose mokinių skaičius</t>
  </si>
  <si>
    <t>10.01.01.04.</t>
  </si>
  <si>
    <t>Miesto metodinių būrelių veiklos užtikrinimas</t>
  </si>
  <si>
    <t>10.01.01.04.01.</t>
  </si>
  <si>
    <t>10.01.01.05.</t>
  </si>
  <si>
    <t>Elektroninio mokinio pažymėjimo naudojimo užtikrinimas savivaldybės bendrojo ugdymo mokyklose</t>
  </si>
  <si>
    <t>Mokinių, aprūpintų elektroniniais pažymėjimais</t>
  </si>
  <si>
    <t>7 800</t>
  </si>
  <si>
    <t>9 241</t>
  </si>
  <si>
    <t>Garantinės priežiūros etapų</t>
  </si>
  <si>
    <t>10.01.01.06.</t>
  </si>
  <si>
    <t>Mokinių registravimo į savivaldybės bendrojo ugdymo mokyklas informacinės sistemos sukūrimas ir priežiūra</t>
  </si>
  <si>
    <t>10.01.01.06.01.</t>
  </si>
  <si>
    <t>Administruojama informacinė sistema</t>
  </si>
  <si>
    <t>10.01.01.07.</t>
  </si>
  <si>
    <t>Savivaldybės švietimo įstaigų civilinės atsakomybės draudimas</t>
  </si>
  <si>
    <t>Paslauga nupirkta pigiau, dėl to apdrausta daugiau įstaigų</t>
  </si>
  <si>
    <t>10.02.</t>
  </si>
  <si>
    <t xml:space="preserve">Gerinti ugdymo sąlygas ir aplinką   </t>
  </si>
  <si>
    <t>Atnaujinta savivaldybės bendrojo ugdymo mokyklų sporto aikštynų</t>
  </si>
  <si>
    <t>Savivaldybės švietimo įstaigų, kuriose atnaujinta ugdymo aplinka</t>
  </si>
  <si>
    <t>10.02.01.</t>
  </si>
  <si>
    <t xml:space="preserve">Renovuoti ugdymo įstaigų pastatus ir patalpas  </t>
  </si>
  <si>
    <t>10.02.01.01.</t>
  </si>
  <si>
    <t>Savivaldybės bendrojo ugdymo mokyklų pastatų ir aplinkos modernizavimas ir plėtra</t>
  </si>
  <si>
    <t>10.02.01.01.01.</t>
  </si>
  <si>
    <t>Klaipėdos Tauralaukio progimnazijos pastato (Klaipėdos g. 31) rekonstravimas į ikimokyklinio ir priešmokyklinio ugdymo įstaigą</t>
  </si>
  <si>
    <t>Atlikta rekonstravimo darbų. Užbaigtumas</t>
  </si>
  <si>
    <t>10.02.01.01.02.</t>
  </si>
  <si>
    <t>Modernių ugdymosi erdvių sukūrimas Klaipėdos miesto progimnazijose ir gimnazijose</t>
  </si>
  <si>
    <t>Modernizuota edukacinių erdvių (sporto salių)</t>
  </si>
  <si>
    <t>Įstaigų, kuriose įsigyta įranga ir baldai, skaičius</t>
  </si>
  <si>
    <t>10.02.01.01.03.</t>
  </si>
  <si>
    <t>10.02.01.01.05.</t>
  </si>
  <si>
    <t>Klaipėdos Prano Mašioto progimnazijos pastato, Varpų g. 3 rekonstravimas</t>
  </si>
  <si>
    <t>10.02.01.01.06.</t>
  </si>
  <si>
    <t>Atlikta statybos darbų. Užbaigtumas</t>
  </si>
  <si>
    <t>10.02.01.01.07.</t>
  </si>
  <si>
    <t>BĮ Klaipėdos „Ąžuolyno“ gimnazijos modernizavimas</t>
  </si>
  <si>
    <t>10.02.01.01.10.</t>
  </si>
  <si>
    <t>Sporto aikštynų atnaujinimas</t>
  </si>
  <si>
    <t>Parengta techninių projektų</t>
  </si>
  <si>
    <t>Atnaujintų sporto aikštynų skaičius</t>
  </si>
  <si>
    <t>10.02.01.01.13.</t>
  </si>
  <si>
    <t>BĮ Klaipėdos „Žaliakalnio“ gimnazijos pastato inžinerinių sistemų ir vidaus patalpų remontas</t>
  </si>
  <si>
    <t>10.02.01.01.14.</t>
  </si>
  <si>
    <t>Klaipėdos „Versmės“ progimnazijos sporto salės atnaujinimas</t>
  </si>
  <si>
    <t>Atnaujinta aikštynų</t>
  </si>
  <si>
    <t>10.02.01.02.</t>
  </si>
  <si>
    <t>Ikimokyklinio ugdymo mokyklų pastatų modernizavimas ir plėtra</t>
  </si>
  <si>
    <t>10.02.01.02.01.</t>
  </si>
  <si>
    <t>Energinio efektyvumo didinimas ikimokyklinio ugdymo įstaigose</t>
  </si>
  <si>
    <t>Atlikta modernizavimo darbų. Užbaigtumas</t>
  </si>
  <si>
    <t>10.02.01.02.02.</t>
  </si>
  <si>
    <t>Techninis projektas buvo parengtas, tačiau dėl užsitęsusio techninio projekto ekspertizės atlikimo bei dėl iškilusių problemų gaunant statybos leidimą (dėl AB „ESO“ nederinimo reikėjo papildomai parengti elektros tinklų rekonstravimo projektą) buvo nespėta iki metų pabaigos gauti statybos leidimą bei panaudoti projekto parengimui suplanuotas lėšas.</t>
  </si>
  <si>
    <t>Atlikta rangos darbų</t>
  </si>
  <si>
    <t>10.02.01.02.03.</t>
  </si>
  <si>
    <t>Klaipėdos lopšelio-darželio „Žiogelis“ pastato, Kauno g. 27 modernizavimas</t>
  </si>
  <si>
    <t>Parengtas techninis projektas. Gautas statybą leidžiantis dokumentas.</t>
  </si>
  <si>
    <t>10.02.01.03.</t>
  </si>
  <si>
    <t>Neformaliojo švietimo įstaigų pastatų rekonstravimas</t>
  </si>
  <si>
    <t>10.02.01.03.01.</t>
  </si>
  <si>
    <t>Klaipėdos karalienės Luizės jaunimo centro (Puodžių g.) modernizavimas, plėtojant neformaliojo ugdymosi galimybes</t>
  </si>
  <si>
    <t>Įsigyta įrangos (procentais)</t>
  </si>
  <si>
    <t>Atlikta sporto salės rekonstravimo darbų</t>
  </si>
  <si>
    <t>10.02.01.03.02.</t>
  </si>
  <si>
    <t>Jeronimo Kačinsko muzikos mokyklos (Statybininkų pr. 5) pastato energinio efektyvumo didinimas</t>
  </si>
  <si>
    <t>10.02.01.04.</t>
  </si>
  <si>
    <t>Mokymosi aplinkos pritaikymas švietimo reikmėms</t>
  </si>
  <si>
    <t>10.02.01.04.01.</t>
  </si>
  <si>
    <t>Lauko žaidimų aikštelių ir įrengimų atnaujinimas ikimokyklinėse ugdymo įstaigose</t>
  </si>
  <si>
    <t>10.02.01.04.02.</t>
  </si>
  <si>
    <t>Patalpų atnaujinimas užtikrinant atitiktį Higienos normoms</t>
  </si>
  <si>
    <t>10.02.01.04.06.</t>
  </si>
  <si>
    <t>Pritaikytų patalpų plotas</t>
  </si>
  <si>
    <t>kv.m</t>
  </si>
  <si>
    <t>Mokyklai neperduoti Medicinos kabinetai.</t>
  </si>
  <si>
    <t>Baldai įsigyti pagal planą.</t>
  </si>
  <si>
    <t>10.02.01.04.07.</t>
  </si>
  <si>
    <t>Įrengta suoliukų</t>
  </si>
  <si>
    <t>Įrengta 8 suoliukai</t>
  </si>
  <si>
    <t>10.02.01.04.08.</t>
  </si>
  <si>
    <t>Patalpų pritaikymas neįgalių vaikų ugdymui</t>
  </si>
  <si>
    <t>10.02.01.07.</t>
  </si>
  <si>
    <t>10.02.01.07.01.</t>
  </si>
  <si>
    <t>Išnuomota grupių ikimokykliniam ir priešmokykliniam ugdymui</t>
  </si>
  <si>
    <t>10.02.02.</t>
  </si>
  <si>
    <t>Aprūpinti švietimo įstaigas reikalingu inventoriumi</t>
  </si>
  <si>
    <t>10.02.02.01.</t>
  </si>
  <si>
    <t>10.02.02.01.01.</t>
  </si>
  <si>
    <t xml:space="preserve">Vaikiškų lovyčių įsigijimas ikimokyklinėse įstaigose </t>
  </si>
  <si>
    <t>Pakeista lovyčių</t>
  </si>
  <si>
    <t>10.02.02.03.</t>
  </si>
  <si>
    <t>Baldų ir įrangos atnaujinimas</t>
  </si>
  <si>
    <t>10.02.02.03.03.</t>
  </si>
  <si>
    <t>Įrengimų įsigijimas švietimo įstaigų maisto blokuose</t>
  </si>
  <si>
    <t>Įsigyta įrengimų</t>
  </si>
  <si>
    <t>Savivaldybės įstaigų, įsigijusių įrengimus, skaičius</t>
  </si>
  <si>
    <t>10.02.02.03.0701</t>
  </si>
  <si>
    <t>Kompiuterių atnaujinimas savivaldybės bendrojo ugdymo mokyklose</t>
  </si>
  <si>
    <t>Klaipėdos Baltijos gimnazija</t>
  </si>
  <si>
    <t>Stacionarių ar nešiojamų kompiuterių skaičius</t>
  </si>
  <si>
    <t>lėšos panaudotos III ketvirtyje</t>
  </si>
  <si>
    <t>10.02.02.03.0703</t>
  </si>
  <si>
    <t>Pasirašyta sutartis 2019-12-19 Nr. J9-3221 dėl interaktyvių ekranų ir bevielio tinklo prieigos įrenginių.
Pasirašyta sutartis 2019-12-20 Nr. J9-3227 dėl planšetinių kompiuterių ir planšetinių kompiuterių krovimo stočių.</t>
  </si>
  <si>
    <t>10.02.03.</t>
  </si>
  <si>
    <t xml:space="preserve">Organizuoti materialinį, ūkinį ir techninį ugdymo įstaigų aptarnavimą  </t>
  </si>
  <si>
    <t>10.02.03.01.</t>
  </si>
  <si>
    <t>Ugdymo įstaigų ūkinio aptarnavimo organizavimas</t>
  </si>
  <si>
    <t>10.02.03.01.01.</t>
  </si>
  <si>
    <t>2018 m. - l/d „Berželis“, „Kregždutė“, „Ąžuoliukas“, „Aitvarėlis“, „Žemuogėlė“, „Želmenėlis“, „Nykštukas“, Žilvitis“, „Pumpurėlis“, „Gilijos“ pradinė mokykla, „Santarvės“ progimnazija, Klaipėdos karalienės Luizės jaunimo centras, 3-6 švietimo įstaigų buitinių tinklų remontas</t>
  </si>
  <si>
    <t>10 įstaigų atlikti stambūs paprastojo remonto darbai, bei 11 įstaigų atlikti papildomi (smulkesni) remonto darbai</t>
  </si>
  <si>
    <t>10.02.03.01.02.</t>
  </si>
  <si>
    <t>Šilumos tinklų ir karšto vandens tinklų sistemų priežiūra</t>
  </si>
  <si>
    <t>Priemonė vykdoma pagal planą</t>
  </si>
  <si>
    <t>10.02.03.01.03.</t>
  </si>
  <si>
    <t>Renovuota, suremontuota sistemų</t>
  </si>
  <si>
    <t>Įvykdyta</t>
  </si>
  <si>
    <t>10.02.03.01.04.</t>
  </si>
  <si>
    <t>10.02.03.01.05.</t>
  </si>
  <si>
    <t>Kabelio tinklo ilgis</t>
  </si>
  <si>
    <t>km</t>
  </si>
  <si>
    <t>Priemonė vykdoma pagal planą.</t>
  </si>
  <si>
    <t>10.02.03.01.06.</t>
  </si>
  <si>
    <t>Saugoma įstaigų pastatų</t>
  </si>
  <si>
    <t>Priemonė vykdoma pagal planą.Įvykdytas naujas pirkimas dėl saugojimo dar 3 m.</t>
  </si>
  <si>
    <t>10.02.03.01.07.</t>
  </si>
  <si>
    <t>Įvykdyta, 13 planuotų pirkimų ir 3 papildomi</t>
  </si>
  <si>
    <t>10.02.03.01.09.</t>
  </si>
  <si>
    <t>Įstaigų, kuriose atlikti elektros instaliacijos remonto darbai, skaičius</t>
  </si>
  <si>
    <t>Darbai įvykdyti</t>
  </si>
  <si>
    <t>10.02.03.01.10.</t>
  </si>
  <si>
    <t>Prijungta įstaigų prie LITNET tinklo, įstaigų skaičius</t>
  </si>
  <si>
    <t>10.02.03.01.12.</t>
  </si>
  <si>
    <t>Įstaigų, kurių pastatų stogai suremontuoti, skaičius</t>
  </si>
  <si>
    <t>2018 m. - l/d „Berželis“, „Du gaideliai“, „Giliukas“, „Pumpurėlis“, „Dobiliukas“, „Radastėlė“, Simono Dacho progimnazija, klubas „Saulutė“, klubas „Liepsnelė“, „Varpo“ gimnazija</t>
  </si>
  <si>
    <t>Įvykdyta 10 planinių stogų remonto darbų ir 6 avariniai-papildomi</t>
  </si>
  <si>
    <t>10.02.03.01.13.</t>
  </si>
  <si>
    <t>Švietimo įstaigų lauko inžinerinių tinklų remontas</t>
  </si>
  <si>
    <t>Vydūno gimnazijoje buvo atlikti lietaus nuotekų tinklų remonto darbai, kuriam projekto nereikėjo, o Aitvaro gimnazijos buitinių nuotekų tinklų atskyrimui nuo paviršinių nuotekų tinklų buvo reikalingas projektas, atlikti darbai 2-ose įstaigose, tačiau projekto reikėjo tik vienam jų.</t>
  </si>
  <si>
    <t>Įstaigų, kurių inžineriniai tinklai suremontuoti, skaičius</t>
  </si>
  <si>
    <t>10.02.03.01.15.</t>
  </si>
  <si>
    <t>Švietimo įstaigų centralizuotas langų valymas</t>
  </si>
  <si>
    <t>2 kartus per metus nuvalytos bendrojo ugdymo įstaigos</t>
  </si>
  <si>
    <t>10.02.03.01.16.</t>
  </si>
  <si>
    <t>Dušinių atnaujinimas "Vydūno" ir "Aukuro" gimnazijose</t>
  </si>
  <si>
    <t>Atlikti dušinių ir persirengimo kambarių atnaujinimo darbai</t>
  </si>
  <si>
    <t>10.02.03.02.</t>
  </si>
  <si>
    <t>10.02.03.02.01.</t>
  </si>
  <si>
    <t>IV ketv.  mokyklų pateiktuose dokumentuose nurodyti papildymai, nes  mokiniai pateikė prašymus kompensuoti važiavimo išlaidas mokslo metų eigoje</t>
  </si>
  <si>
    <t>10.02.03.03.</t>
  </si>
  <si>
    <t>10.02.03.03.01.</t>
  </si>
  <si>
    <t>Perkelta įstaigų</t>
  </si>
  <si>
    <t>Dalis "Žaliakalnio" gimnazijos inventoriaus buvo pervežta į Suaugusiųjų gimnazijos patalpas. Kita įstaiga (l/d "Klevelis" ) bus perkelta 2020 metais.</t>
  </si>
  <si>
    <t>10.02.03.04.</t>
  </si>
  <si>
    <t>Švietimo įstaigų energinių išteklių efektyvinimas</t>
  </si>
  <si>
    <t>10.02.03.04.01.</t>
  </si>
  <si>
    <t>Komunalinių paslaugų (šildymo, vandens, nuotekų) įsigijimas</t>
  </si>
  <si>
    <t>Šildoma įstaigų</t>
  </si>
  <si>
    <t>10.02.03.04.02.</t>
  </si>
  <si>
    <t>Aptarnaujamų įstaigų skaičius</t>
  </si>
  <si>
    <t>Įstaigų, kuriose diegiamos automatizuotos šilumos punkto  kontrolės ir valdymo sistemos, skaičius</t>
  </si>
  <si>
    <t>10.02.03.04.03.</t>
  </si>
  <si>
    <t>Atsinaujinančių energijos išteklių  panaudojimas švietimo įstaigų pastatuose</t>
  </si>
  <si>
    <t>lopšelis-darželis „Aitvarėlis“, lopšelis-darželis „Ąžuoliukas“, lopšelis-darželis „Versmė“, progimnazija „Verdenė“</t>
  </si>
  <si>
    <t>2 projektai yra parengti. Vienas rengiamas, kurio teikimas planuojamas 2020 m. yra rengiamas</t>
  </si>
  <si>
    <t>10.02.03.04.04.</t>
  </si>
  <si>
    <t>Savivaldybės biudžetinės įstaigos pilotinio energijos vartojimo efektyvumo didinimo investicijų projekto parengimas</t>
  </si>
  <si>
    <t>Kadangi projektas buvo  parengtas 2019 m. liepos mėn., atsižvelgiant į tai, Rangos darbų sutartis Nr. J9-2860 UAB "Ranstata" pasirašyta tik 2019-11-04.  Todėl darbų 2019 m. atlikta nedaug, ir visi darbai nukeliami į 2020 metus.</t>
  </si>
  <si>
    <t>10.02.03.04.06.</t>
  </si>
  <si>
    <t>Pilotinio projekto H. Zudermano gimnazijos pastato ūkio priežiūros sistemos diegimas</t>
  </si>
  <si>
    <t>Priemonė bus neįgyvendinta. Šią priemonę pasiūlė kitas skyrius, tačiau atsižvelgiant į tai, kad H. Zudermano gimnazijoje yra įdiegta šildymo sistemos automatika ir pastatas yra I vietoje pastato modernizavimo eilėje, priemonės diegti netikslinga. Iš šios priemonės 1,0 tūkst. Eur yra perkeliamas į Automatizuotus šilumos punktus.</t>
  </si>
  <si>
    <t>Europos Sąjungos paramos lėšos</t>
  </si>
  <si>
    <t>Europos Sąjungos paramos lėšų likutis (Savivaldybės biudžetas)</t>
  </si>
  <si>
    <t>Programų lėšų likučių laikinai laisvos lėšos  (apyvartos lėšų likutis)</t>
  </si>
  <si>
    <t>Paskolos lėšos</t>
  </si>
  <si>
    <t>Įstaigų pajamos</t>
  </si>
  <si>
    <t>Pajamų imokų likutis</t>
  </si>
  <si>
    <t>Valstybės biudžeto specialiosios tikslinės dotacijos lėšos</t>
  </si>
  <si>
    <t>Kiti šaltiniai</t>
  </si>
  <si>
    <t>Valstybės biudžeto lėšos</t>
  </si>
  <si>
    <t>Savivaldybės biudžeto</t>
  </si>
  <si>
    <t>Europos Sąjungos paramos lėšos (Savivaldybės biudžetas)</t>
  </si>
  <si>
    <t>Sumažėjo 112 vaikų, nes jie nutraukė paslaugos sutartis su Programos teikėjais</t>
  </si>
  <si>
    <t>Programų vykdytojai organizavo mažiau pamainų, todėl sudalyvavo mažiau vaikų nei planuota.</t>
  </si>
  <si>
    <t>10.01.01.07..</t>
  </si>
  <si>
    <t>Norint gauti teigiamą ekspertizės išvadą buvo nuspręsta įregistruoti sklypą, kuriame turėtų būti įrengta nauja automobilių stovėjimo aikštelė, dėl to nuo 2019 m. gegužės buvo sustabdyta techninio projekto parengimo sutartis ir nors techninis projektas buvo parengtas (teigiama ekspertizės išvada gauta 2019-12-24), nespėta gauti statybos leidimą ir panaudoti suplanuotų lėšų.</t>
  </si>
  <si>
    <t>Projekto metu suplanuotas erdvių modernizavimas 7 mokyklose: 1) atlikti sporto salės su prieigomis remonto darbai „Smeltės“ progimnazijoje, įsigyti baldai suremontuotai erdvei, 2) atlikti bibliotekos ir skaityklos modernizavimo darbai „Vėtrungės“ gimnazijoje, įsigyti baldai naujai suformuotoms erdvėms, 3) sukurtos bibliotekos ir skaityklos erdvės „Gedminų“ progimnazijoje, nupirkti baldai ir kompiuterinė technika, 4) atlikti sporto salės su prieigomis remonto darbai „Verdenės“ progimnazijoje, nupirkti baldai.</t>
  </si>
  <si>
    <t>„Sendvario“ progimnazijos modernizavimas užsitęsė dėl atsiradusių papildomų darbų.</t>
  </si>
  <si>
    <t>KMT 2019-10-24 sprendimu T2-293 techninio projekto parengimas nukeltas į 2020 m., nes darbus planuojama pradėti, kai vaikų namai „Rytas“ atlaisvins BĮ Klaipėdos „Gilijos“ pradinei mokyklos patalpas 2 aukšte. Vaikų perkėlimas planuojamas ne anksčiau 2020 m.</t>
  </si>
  <si>
    <t>2019-06-19 pasirašyta rangos sutartis 10 922 993 Eur sumai, 2019-09-09 papildomu susitarimu  sustabdytas sutarties vykdymas, kol vyksta dujotiekio ir Klaipėdos energijos tinklų iškėlimo darbai. Rangos darbus numatoma atnaujinti 2020 m. gegužės mėn.</t>
  </si>
  <si>
    <t xml:space="preserve">Nuo 2019-09-01 iš Klaipėdos Ievos Simonaitytės mokyklos į Klaipėdos suaugusiųjų gimnazijos jaunimo skyrių buvo perkelta mažiau mokinių nei planuota, nes dalis jų tęsė mokslą kitose įstaigose </t>
  </si>
  <si>
    <t xml:space="preserve"> </t>
  </si>
  <si>
    <t xml:space="preserve">Nuo 2019-01-01 papildomų mokytojų padėjėjų etatų išlaikymui skirtos lėšos VšĮ „Svetliačiok“ (7 etatai), VšĮ Vaivorykštės takas (2,5 etato) ir Klaipėdos licėjui (1 etatas). </t>
  </si>
  <si>
    <t>Užsidarius UAB Karalienės Mortos mokyklos Klaipėdos padaliniui neliko poreikio finansuoti 0,5 etato.</t>
  </si>
  <si>
    <t>Vytauto Didžiojo gimnazijos sukomplektuotos pilnai dvi sporto klasės (60 mokinių).</t>
  </si>
  <si>
    <t xml:space="preserve">VšĮ Klaipėdos licėjus dalį lėšų, skirtų  kvalifikacijos kėlimui nepanaudojo, nes neįvyko visi suplanuoti seminarai. </t>
  </si>
  <si>
    <t>Baldai ir įranga „Sendvario“ progimnazijoэ bus įsigyti 2020 m., užbaigus modernizavimo darbus.</t>
  </si>
  <si>
    <t>„Aukuro“ gimnazijoje nepilnai sukomplektuota viena sporto klasė (21 mokinys), nes buvo mažiau norinčių, nei planuota</t>
  </si>
  <si>
    <t>Pristatyti projektiniai sprendiniai ir pateikta galutinė darbų sąmata buvo didenė nei planuota, todėl prireikė koreguoti projektą išskaidant darbus į 2 etapus. Planuojama 2020 m. parengti projektą ir pradėto atnaujinimo darbus.</t>
  </si>
  <si>
    <t>Nupirkti rangos darbai, sutartis pasirašyta, darbų atlikimo trukmė 18 mėn. Nupirkta ir tech. priežiūra. Darbai vykdomi, atlikta 30 proc. darbų.</t>
  </si>
  <si>
    <t>2019 m. pradėtas vykdyti H. Zudermano gimnazijos aikštyno projektas bus užbaigtas 2020 m.</t>
  </si>
  <si>
    <t>Atlikta mažiau darbų, nei planuota dėl mažo rangovo kaltės (stabdo darbus, neturi didelių pajėgumų)</t>
  </si>
  <si>
    <t>2019 m. buvo parengtos ir su agentūra suderintos rangos darbų pirkimo sąlygos. Dėl vėluojančio techninio projekto parengimo ir užsitęsusių statybos leidimo išdavimo procedūrų 2019 m. nebuvo pasiektas numatytas rodiklis.</t>
  </si>
  <si>
    <t>Įtraukus objektą į Kultūros vertybių registrą atsirado poreikis koreguoti techn. projektą. Pakoregavus projektą, 2019-09-02 gautas statybą leidžiantis dokumentas. Parengtos sąlygos rangos darbų viešajam pirkimui, kurios pateiktos tikrinti CPVA.</t>
  </si>
  <si>
    <t xml:space="preserve">Parengtas projektas S. Dacho progimnazijai. </t>
  </si>
  <si>
    <t>Atnaujintos „Vyturio“ progimnazijos sporto aikštelės, „Vėtrungės“ gimnazijos universali aikštelė, Simono Dacho progimnazijos Parkūr laisvalaikio zona „Verdenės“ progimnazijos aikštynas ir Jaunimo centro krepšinio aikštelė</t>
  </si>
  <si>
    <t>Atliktas patalpų atnaujinimas: l-d.: „Nykštukas“, „Liepaitė“,  „Švyturėlis“, „Saulutės“ m-d, Vitės progimnazijoje, „Baltijos“ gimnazijoje, „Verdenės“ progimnazijoje, Klaipėdos vaikų laisvalaikio centre ir kt.</t>
  </si>
  <si>
    <t>Užsitęsė modulių nuomos pirkimo konkursas (pirkimą teko nutraukti ir skelbti konkursą iš naujo 3 kartus), sutartis pasirašyta tik 2019-10-29, todėl iki metų galo tiekėjas nespės atlikti suplanuotų darbų ir nebus panaudotos suplanuotos lėšos.</t>
  </si>
  <si>
    <t>Lopšeliai-darželiai: „Alksniukas“, „Atžalynas“, „Dobiliukas“, „Eglutė“, „Putinėlis“, „Radastėlė“, „Sakalėlis“ ir „Šermukšnėlė“</t>
  </si>
  <si>
    <t>Violeta</t>
  </si>
  <si>
    <t>Šiam objektui valstybės lėšų 2019 m. nebuvo skirta. SB lėšų projekto vykdymui nereikėjo.</t>
  </si>
  <si>
    <r>
      <t xml:space="preserve">Valstybės biudžeto tikslinės dotacijos lėšų likutis </t>
    </r>
    <r>
      <rPr>
        <b/>
        <sz val="10"/>
        <rFont val="Times New Roman"/>
        <family val="1"/>
        <charset val="186"/>
      </rPr>
      <t>SB(VBL)</t>
    </r>
  </si>
  <si>
    <t>16</t>
  </si>
  <si>
    <t>Švietimo įstaigų lauko inžinerinių tinklų remontas (2019 m. – „Aitvaro“,  Vydūno ir „Žaliakalnio“ gimnazijos, l.-d. „Radastėlė“ ir „Pingvinukas“)</t>
  </si>
  <si>
    <t>Įsigyta įrangos, proc.</t>
  </si>
  <si>
    <t>Atlikta sporto salės rekonstravimo darbų, proc.</t>
  </si>
  <si>
    <t>BĮ Klaipėdos karalienės Luizės jaunimo centro (Puodžių g.) modernizavimas, plėtojant neformaliojo ugdymosi galimybes</t>
  </si>
  <si>
    <t xml:space="preserve">Atlikta rangos darbų, proc.
</t>
  </si>
  <si>
    <t>Ikimokyklinio ir priešmokyklinio prieinamumo didinimas Klaipėdos mieste (lopšelio-darželio „Svirpliukas“ modernizavimas)</t>
  </si>
  <si>
    <r>
      <rPr>
        <b/>
        <sz val="10"/>
        <rFont val="Times New Roman"/>
        <family val="1"/>
        <charset val="186"/>
      </rPr>
      <t xml:space="preserve">BĮ </t>
    </r>
    <r>
      <rPr>
        <b/>
        <sz val="10"/>
        <rFont val="Times New Roman"/>
        <family val="1"/>
      </rPr>
      <t xml:space="preserve">Klaipėdos „Ąžuolyno“ gimnazijos </t>
    </r>
    <r>
      <rPr>
        <sz val="10"/>
        <rFont val="Times New Roman"/>
        <family val="1"/>
      </rPr>
      <t xml:space="preserve">modernizavimas </t>
    </r>
  </si>
  <si>
    <t>Parengtas techninis  projektas, vnt.</t>
  </si>
  <si>
    <r>
      <rPr>
        <b/>
        <sz val="10"/>
        <rFont val="Times New Roman"/>
        <family val="1"/>
        <charset val="186"/>
      </rPr>
      <t xml:space="preserve">BĮ Klaipėdos „Gilijos“ pradinės mokyklos </t>
    </r>
    <r>
      <rPr>
        <sz val="10"/>
        <rFont val="Times New Roman"/>
        <family val="1"/>
      </rPr>
      <t>(Taikos pr. 68) pastato energinio efektyvumo didinimas</t>
    </r>
  </si>
  <si>
    <r>
      <rPr>
        <b/>
        <sz val="10"/>
        <rFont val="Times New Roman"/>
        <family val="1"/>
        <charset val="186"/>
      </rPr>
      <t>Modernių ugdymosi erdvių sukūrimas Klaipėdos miesto progimnazijose ir gimnazijose</t>
    </r>
    <r>
      <rPr>
        <sz val="10"/>
        <rFont val="Times New Roman"/>
        <family val="1"/>
        <charset val="186"/>
      </rPr>
      <t xml:space="preserve"> („Smeltės“, Liudviko Stulpino, Sendvario, Gedminų, „Verdenės“ progimnazijose ir  „Vėtrungės“, „Varpo“ gimnazijose)</t>
    </r>
  </si>
  <si>
    <t>Maitinamų mokinių skaičius, vnt.</t>
  </si>
  <si>
    <t>2019 m. asignavimų patikslintas planas*</t>
  </si>
  <si>
    <t xml:space="preserve">* Pagal Klaipėdos miesto savivaldybės administracijos direktoriaus 2019-03-04 įsakymą Nr. AD1-399  
</t>
  </si>
  <si>
    <t>Suremontuotos patalpos pagal planą.</t>
  </si>
  <si>
    <t>Vaikų skaičius patikslintas Mokinių registre 2019-09-01.</t>
  </si>
  <si>
    <t>Neformaliojo vaikų švietimo įstaigose 2019-09-01 registruotas 4671 vaikas. Dar daugiau kaip 900 vaikų apsilanko Atvirose jaunimo ir vaikų erdvėse.</t>
  </si>
  <si>
    <t>Įdarbinta daugiau  savanorių „Vaikų linijoje“, todėl tarnybos psichologai turėjo galimybę suteikti daugiau psichologo paslaugų. Nemažai psichologo paslaugų teikta ikimokyklinio ugdymo įstaigose, todėl aptarnautų asmenų skaičius didesnis, nei planuota.</t>
  </si>
  <si>
    <t>Programas planuojama pradėti rengti 2021 m.</t>
  </si>
  <si>
    <t xml:space="preserve">2019 M.  KLAIPĖDOS MIESTO SAVIVALDYBĖS </t>
  </si>
  <si>
    <r>
      <rPr>
        <sz val="12"/>
        <rFont val="Times New Roman"/>
        <family val="1"/>
        <charset val="186"/>
      </rPr>
      <t>Iš</t>
    </r>
    <r>
      <rPr>
        <b/>
        <sz val="12"/>
        <rFont val="Times New Roman"/>
        <family val="1"/>
        <charset val="186"/>
      </rPr>
      <t xml:space="preserve"> 2019 m. planuotų </t>
    </r>
    <r>
      <rPr>
        <sz val="12"/>
        <rFont val="Times New Roman"/>
        <family val="1"/>
        <charset val="186"/>
      </rPr>
      <t xml:space="preserve">įgyvendinti 69 priemonių ir papriemonių (kurioms patvirtinti / skirti asignavimai):  </t>
    </r>
  </si>
  <si>
    <t>„Vyturio“ progimnazijoje sumažėjo mokinių, kurie mokomi nuotoliniu būdu (10-čia mokinių)</t>
  </si>
  <si>
    <t>Nupirkti 5 kompiuteriai Klaipėdos Baltijos gimnazijai</t>
  </si>
  <si>
    <t xml:space="preserve">** Pagal Klaipėdos miesto savivaldybės administracijos direktoriaus 2019-12-20 įsakymą Nr. AD1-1534 
</t>
  </si>
  <si>
    <t>Vaikų, kuriems iš dalies kompensuojamas ugdymas nevalstybinėse įstaigose, skaičius</t>
  </si>
  <si>
    <t>Atlikti dušinių ir persirengimo kambarių atnaujinimo darbai.</t>
  </si>
  <si>
    <t>2 kartus per metus nuvalyti bendrojo ugdymo įstaigų langai.</t>
  </si>
  <si>
    <t>Lovytėmis aprūpinti lopšeliai-darželiai: „Alksniukas“, „Atžalynas“, „Dobiliukas“, „Eglutė“, „Putinėlis“, „Radastėlė“, „Sakalėlis“ ir „Šermukšnėlė“</t>
  </si>
  <si>
    <t>Vaikų skaičius patikslintas pagal Mokinių registrą 2019-09-01.</t>
  </si>
  <si>
    <t>STEAM veiklos nebuvo pradėtos įgyvendinti, nes Klaipėdos universitetas (kaip partneris) finansavimą gavo tik 2019 m. pabaigoje. Veiklos bus pradėtos įgyvendinti 2020 m.</t>
  </si>
  <si>
    <t xml:space="preserve">VšĮ Klaipėdos licėjus dalies lėšų, skirtų  kvalifikacijos kėlimui, nepanaudojo, nes neįvyko visi suplanuoti seminarai. </t>
  </si>
  <si>
    <t>Užsitęsė modulių nuomos pirkimo konkursas (pirkimą teko nutraukti ir skelbti konkursą iš naujo 3 kartus), sutartis pasirašyta tik 2019-10-29, todėl iki metų galo tiekėjas nespėjo atlikti suplanuotų darbų ir nebuvo panaudotos suplanuotos lėšos.</t>
  </si>
  <si>
    <t>Įvykdyti darbai: 1) atlikti sporto salės su prieigomis remonto darbai „Smeltės“ progimnazijoje, įsigyti baldai suremontuotai erdvei, 2) atlikti bibliotekos ir skaityklos modernizavimo darbai „Vėtrungės“ gimnazijoje, įsigyti baldai naujai suformuotoms erdvėms, 3) sukurtos bibliotekos ir skaityklos erdvės „Gedminų“ progimnazijoje, nupirkti baldai ir kompiuterinė technika, 4) atlikti sporto salės su prieigomis remonto darbai „Verdenės“ progimnazijoje, nupirkti baldai.</t>
  </si>
  <si>
    <t>Atnaujintos „Vyturio“ progimnazijos sporto aikštelės, „Vėtrungės“ gimnazijos universali aikštelė, Simono Dacho progimnazijos parkūro laisvalaikio zona, „Verdenės“ progimnazijos aikštynas ir Jaunimo centro krepšinio aikštelė</t>
  </si>
  <si>
    <t>2019 m. pradėtas rengti H. Zudermano gimnazijos aikštyno sutvarkymo projektas bus užbaigtas 2020 m.</t>
  </si>
  <si>
    <t>2019 m. buvo parengtos ir su Centrine projektų valdymo agentūra suderintos rangos darbų pirkimo sąlygos. Dėl vėluojančio techninio projekto parengimo ir užsitęsusių statybos leidimo išdavimo procedūrų 2019 m. nebuvo pasiektas numatytas rodiklis.</t>
  </si>
  <si>
    <t>Įtraukus objektą į Kultūros vertybių registrą atsirado poreikis koreguoti techninį projektą. Pakoregavus projektą, 2019-09-02 gautas statybą leidžiantis dokumentas. Parengtos sąlygos rangos darbų viešajam pirkimui, kurios pateiktos tikrinti Centrinei projektų valdymo agentūrai.</t>
  </si>
  <si>
    <t>Įvykdyti  planiniai stogų remonto darbai 10-yje įstaigų ir avarinės būklės likvidavimo (papildomi) darbai 6-iose įstaigose.</t>
  </si>
  <si>
    <t>Vydūno gimnazijoje buvo atlikti lietaus nuotekų tinklų remonto darbai, kuriems projekto nereikėjo, o „Aitvaro“ gimnazijos buitinių nuotekų tinklų atskyrimui nuo paviršinių nuotekų tinklų buvo reikalingas projektas. Todėl atlikti darbai 2-ose įstaigose, tačiau projekto reikėjo tik vienai įstaigai.</t>
  </si>
  <si>
    <t>Rodiklis nepasiektas, nes vėlavo techninio projekto parengimas ir rangos darbų sutartis pasirašyta tik 2019-11-04. Modernizavimo darbai pradėti, juos planuojama užbaigti 2020 m.</t>
  </si>
  <si>
    <t>UGDYMO PROCESO UŽTIKRINIMO PROGRAMA (NR. 10)</t>
  </si>
  <si>
    <t>Įsigyta baldų komplektų, vnt.</t>
  </si>
  <si>
    <t>Vaikų skaičius patikslintas pagal Mokinių registrą 2019-09-01: „Gilijos“ pradinėje mokykloje ir 3 mokyklose-darželiuose mokosi 908 mokiniai ir 375 ikimokyklinukai.</t>
  </si>
  <si>
    <t>Vytauto Didžiojo gimnazijos patalpose nuo 2019 m. rugsėjo 1 d. įsteigtos dvi Vitės progimnazijos pirmos klasės. Joms nupirkti 2 baldų komplektai.</t>
  </si>
  <si>
    <t>Dėl vėluojančių pastato Debreceno g. 41 atnaujinimo darbų (jie vykdomi per SVP 3 programą), vėluoja projekto įgyvendinimas.</t>
  </si>
  <si>
    <t>Perkelta mokinių iš Klaipėdos Ievos Simonaitytės pagrindinės mokyklos į Klaipėdos suaugusiųjų gimnazijos  Jaunimo skyrių, skaičius</t>
  </si>
  <si>
    <t>Vytauto Didžiojo gimnazijoje visiškai sukomplektuotos dvi sporto klasės (60 mokinių).</t>
  </si>
  <si>
    <t>„Aukuro“ gimnazijoje nevisiškai sukomplektuota viena sporto klasė (21 mokinys), nes buvo mažiau norinčių, nei planuota.</t>
  </si>
  <si>
    <t>Ugdymo procesas prasidėjo nuo  2019-09-01, norinčiųjų mokytis buvo daugiau, negu planuota.</t>
  </si>
  <si>
    <t>Klasių komplektų skaičius pakoreguotas pagal Savivaldybės tarybos 2019-09-26 sprendimą Nr. T2-279.</t>
  </si>
  <si>
    <t>Užsidarius UAB „Karalienės Mortos“ mokyklos Klaipėdos padaliniui neliko poreikio finansuoti 0,5 etato.</t>
  </si>
  <si>
    <t xml:space="preserve">Nuo 2019-09-01 iš Klaipėdos Ievos Simonaitytės pagrindinės mokyklos į Klaipėdos suaugusiųjų gimnazijos Jaunimo skyrių buvo perkelta mažiau mokinių, nei planuota, nes dalis jų tęsė mokslą kitose įstaigose. </t>
  </si>
  <si>
    <t>Programų vykdytojai organizavo mažiau pamainų, todėl sudalyvavo mažiau vaikų, nei planuota.</t>
  </si>
  <si>
    <t>Baldai ir įranga „Sendvario“ progimnazijoje bus įsigyti 2020 m., užbaigus modernizavimo darbus.</t>
  </si>
  <si>
    <t>Savivaldybės tarybos 2019-10-24 sprendimu Nr. T2-293 techninio projekto parengimas nukeltas vėlesniam laikui, nes darbus bus galima pradėti, kai vaikų namai „Rytas“ atlaisvins BĮ Klaipėdos „Gilijos“ pradinei mokyklai numatytas patalpas 2 aukšte. Vaikų perkėlimas planuojamas ne anksčiau kaip 2020 m.</t>
  </si>
  <si>
    <t>Per metus nuspręsta nepradėti naujų, o įgyvendinti jau parengtus švietimo įstaigų techninius projektus.</t>
  </si>
  <si>
    <t>Pristatyti projektiniai sprendiniai. Pateikta galutinė darbų sąmata buvo didesnė, nei planuota, todėl prireikė koreguoti projektą išskaidant darbus į 2 etapus. Planuojama 2020 m. parengti projektą ir pradėti atnaujinimo darbus 2021 m.</t>
  </si>
  <si>
    <t>2019-06-19 pasirašyta rangos sutartis už 10 922 993 Eur sumą, 2019-09-09 papildomu susitarimu  sustabdytas sutarties vykdymas, kol vyksta dujotiekio ir Klaipėdos energijos tinklų iškėlimo darbai. Rangos darbus numatoma atnaujinti 2020 m. gegužės mėn.</t>
  </si>
  <si>
    <r>
      <rPr>
        <b/>
        <sz val="10"/>
        <rFont val="Times New Roman"/>
        <family val="1"/>
        <charset val="186"/>
      </rPr>
      <t xml:space="preserve">Sporto aikštynų atnaujinimas </t>
    </r>
    <r>
      <rPr>
        <sz val="10"/>
        <rFont val="Times New Roman"/>
        <family val="1"/>
        <charset val="186"/>
      </rPr>
      <t>(modernizavimas) (2019 m. – „Verdenės“, Simono Dacho, „Vyturio“ progimnazijose)</t>
    </r>
  </si>
  <si>
    <t>Parengtas S. Dacho progimnazijos parkūro zonos techninis projektas.</t>
  </si>
  <si>
    <t>Nupirkti rangos darbai, sutartis pasirašyta, darbų atlikimo trukmė – 18 mėn. Nupirkta techninė priežiūra. Darbai vykdomi, atlikta 30 proc. darbų.</t>
  </si>
  <si>
    <t>Norint gauti teigiamą ekspertizės išvadą, buvo nuspręsta įregistruoti sklypą, kuriame turėtų būti įrengta nauja automobilių stovėjimo aikštelė, dėl to nuo 2019 m. gegužės buvo sustabdyta techninio projekto parengimo sutartis ir, nors techninis projektas buvo parengtas (teigiama ekspertizės išvada gauta 2019-12-24), nespėta gauti statybos leidimo ir panaudoti suplanuotų lėšų.</t>
  </si>
  <si>
    <t>Techninis projektas buvo parengtas, tačiau dėl užsitęsusio techninio projekto ekspertizės atlikimo bei dėl iškilusių problemų gaunant statybos leidimą (kadangi AB „Energijos skirstymo operatorius“ nederino sprendinių, reikėjo papildomai parengti elektros tinklų rekonstravimo projektą) buvo nespėta iki metų pabaigos gauti statybos leidimą bei panaudoti projekto parengimui suplanuotas lėšas.</t>
  </si>
  <si>
    <t>Įrengtas naujas keltuvas lopšelyje-darželyje „Sakalėlis“</t>
  </si>
  <si>
    <t>Atliktas patalpų atnaujinimas: l.-d.: „Nykštukas“, „Liepaitė“,  „Švyturėlis“, „Saulutės“ m.-d., Vitės progimnazijoje, „Baltijos“ gimnazijoje, „Verdenės“ progimnazijoje, Klaipėdos vaikų laisvalaikio centre ir kt.</t>
  </si>
  <si>
    <t>Parengti „Saulutės“ m.-d. ir l.-d. „Vėrinėlis“ techniniai projektai</t>
  </si>
  <si>
    <t xml:space="preserve">Nupikta 10 nešiojamųjų kompiuterių. Rodiklis nepasiektas, nes vėlai pasirašytos sutartys: 2019-12-19 – dėl interaktyvių ekranų ir bevielio tinklo prieigos įrenginių ir 2019-12-20 – dėl planšetinių kompiuterių ir planšetinių kompiuterių krovimo stočių. 10 nešiojamųjų kompiuterių buvo nupirkta Simono Dacho, Gedminų, Maksimo Gorkio, Prano Mašioto, Martyno Mažvydo, „Santarvės“, Sendvario, Liudviko Stulpino, „Verdenės", „Versmės“ progimnazijoms.
</t>
  </si>
  <si>
    <t xml:space="preserve">Švietimo įstaigų paprastasis remontas (2019 m. – l.-d. „Čiauškutė“, „Eglutė“,  „Linelis“,  „Liepaitė“, „Vyturėlis“,  „Vyturio“, „Aitvarėlis“, „Obelėlė“, „Santarvės“ progimnazijos, „Vėtrungės“, „Pajūrio“ gimnazijos, Regos ugdymo centras, klubas „Draugystė“, 3–6 švietimo įstaigų buitinių tinklų remontas) </t>
  </si>
  <si>
    <t>10-yje įstaigų atlikti stambūs paprastojo remonto darbai bei 11 įstaigų atlikti papildomi (smulkesni) remonto darbai</t>
  </si>
  <si>
    <t>Pavėžėjimo užtikrinimas mokiniams, kuriems taikomos pavėžėjimo lengvatos</t>
  </si>
  <si>
    <t>Atsinaujinančių energijos išteklių  panaudojimas švietimo įstaigų pastatuose (l.-d. „Ąžuoliukas“, „Aitvarėlis“ ir „Versmės“, „Verdenės“ progimnazijos)</t>
  </si>
  <si>
    <t>Atsižvelgiant į tai, kad H. Zudermano gimnazijoje yra įdiegta šildymo sistemos automatika ir pastatas yra 1 vietoje pastato modernizavimo eilėje, priemonės diegti netikslinga.</t>
  </si>
  <si>
    <t>Parengti „Verdenės“ progimnazijos ir l.-d. „Ąžuoliukas“ saulės elektrinių įrengimo projektai. Taip pat pradėtas rengti  l.-d. „Aitvarėlis“ progimnazijos saulės elektrinės techninis projektas.</t>
  </si>
  <si>
    <t>Dalis „Žaliakalnio“ gimnazijos inventoriaus buvo pervežta į Suaugusiųjų gimnazijos patalpas. Kita įstaiga (l.-d. „Klevelis“) bus perkelta 2020 m.</t>
  </si>
  <si>
    <t>Saulės elektrinė įrengta  l.-d. „Verdenės“ progimnazijoje.</t>
  </si>
  <si>
    <t>Neatlikta, paslaugos bus atliekamos įrengus saulės elektrines.</t>
  </si>
  <si>
    <t xml:space="preserve">Saulės elektrinė įrengta  l.-d. „Ąžuoliukas.“ </t>
  </si>
  <si>
    <t>Klaipėdos miesto savivaldybės 2019–2021 m. 
strateginio veiklos plano įgyvendinimo         2019 m. ataskaitos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</si>
</sst>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409]General"/>
    <numFmt numFmtId="167" formatCode="[$-409]#,##0"/>
    <numFmt numFmtId="168" formatCode="[$-409]0.00"/>
    <numFmt numFmtId="169" formatCode="[$-10427]#,##0.00;\-#,##0.00;&quot;&quot;"/>
  </numFmts>
  <fonts count="31" x14ac:knownFonts="1">
    <font>
      <sz val="10"/>
      <name val="Arial"/>
      <charset val="186"/>
    </font>
    <font>
      <sz val="10"/>
      <name val="Times New Roman"/>
      <family val="1"/>
    </font>
    <font>
      <b/>
      <sz val="10"/>
      <name val="Times New Roman"/>
      <family val="1"/>
    </font>
    <font>
      <sz val="10"/>
      <name val="Arial"/>
      <family val="2"/>
      <charset val="186"/>
    </font>
    <font>
      <sz val="10"/>
      <name val="Times New Roman"/>
      <family val="1"/>
      <charset val="186"/>
    </font>
    <font>
      <b/>
      <sz val="10"/>
      <name val="Times New Roman"/>
      <family val="1"/>
      <charset val="186"/>
    </font>
    <font>
      <b/>
      <u/>
      <sz val="10"/>
      <name val="Times New Roman"/>
      <family val="1"/>
      <charset val="186"/>
    </font>
    <font>
      <sz val="9"/>
      <color indexed="81"/>
      <name val="Tahoma"/>
      <family val="2"/>
      <charset val="186"/>
    </font>
    <font>
      <sz val="12"/>
      <name val="Times New Roman"/>
      <family val="1"/>
      <charset val="186"/>
    </font>
    <font>
      <b/>
      <sz val="9"/>
      <color indexed="81"/>
      <name val="Tahoma"/>
      <family val="2"/>
      <charset val="186"/>
    </font>
    <font>
      <b/>
      <sz val="12"/>
      <name val="Times New Roman"/>
      <family val="1"/>
    </font>
    <font>
      <sz val="12"/>
      <name val="Times New Roman"/>
      <family val="1"/>
    </font>
    <font>
      <sz val="8"/>
      <name val="Arial"/>
      <family val="2"/>
      <charset val="186"/>
    </font>
    <font>
      <sz val="9"/>
      <name val="Times New Roman"/>
      <family val="1"/>
      <charset val="186"/>
    </font>
    <font>
      <i/>
      <sz val="10"/>
      <name val="Times New Roman"/>
      <family val="1"/>
      <charset val="186"/>
    </font>
    <font>
      <sz val="10"/>
      <color theme="0"/>
      <name val="Times New Roman"/>
      <family val="1"/>
      <charset val="186"/>
    </font>
    <font>
      <b/>
      <sz val="12"/>
      <name val="Times New Roman"/>
      <family val="1"/>
      <charset val="186"/>
    </font>
    <font>
      <strike/>
      <sz val="10"/>
      <name val="Times New Roman"/>
      <family val="1"/>
      <charset val="186"/>
    </font>
    <font>
      <b/>
      <sz val="9"/>
      <name val="Times New Roman"/>
      <family val="1"/>
    </font>
    <font>
      <sz val="11"/>
      <color rgb="FF000000"/>
      <name val="Calibri"/>
      <family val="2"/>
      <scheme val="minor"/>
    </font>
    <font>
      <sz val="9"/>
      <name val="Times New Roman"/>
      <family val="1"/>
    </font>
    <font>
      <b/>
      <sz val="11"/>
      <name val="Times New Roman"/>
      <family val="1"/>
    </font>
    <font>
      <sz val="11"/>
      <color rgb="FF000000"/>
      <name val="Calibri"/>
      <family val="2"/>
      <charset val="186"/>
    </font>
    <font>
      <u/>
      <sz val="9"/>
      <color indexed="81"/>
      <name val="Tahoma"/>
      <family val="2"/>
      <charset val="186"/>
    </font>
    <font>
      <b/>
      <sz val="10"/>
      <color rgb="FF000000"/>
      <name val="Times New Roman"/>
      <family val="1"/>
      <charset val="186"/>
    </font>
    <font>
      <b/>
      <sz val="12"/>
      <color rgb="FF000000"/>
      <name val="Times New Roman"/>
      <family val="1"/>
      <charset val="186"/>
    </font>
    <font>
      <sz val="12"/>
      <color rgb="FF000000"/>
      <name val="Times New Roman"/>
      <family val="1"/>
      <charset val="186"/>
    </font>
    <font>
      <sz val="10"/>
      <color rgb="FF000000"/>
      <name val="Times New Roman"/>
      <family val="1"/>
      <charset val="186"/>
    </font>
    <font>
      <sz val="12"/>
      <color rgb="FFFF0000"/>
      <name val="Times New Roman"/>
      <family val="1"/>
      <charset val="186"/>
    </font>
    <font>
      <b/>
      <sz val="12"/>
      <color rgb="FFFF0000"/>
      <name val="Times New Roman"/>
      <family val="1"/>
      <charset val="186"/>
    </font>
    <font>
      <sz val="12"/>
      <color theme="0"/>
      <name val="Times New Roman"/>
      <family val="1"/>
      <charset val="186"/>
    </font>
  </fonts>
  <fills count="25">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CCFF"/>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bgColor rgb="FFDBDBDB"/>
      </patternFill>
    </fill>
    <fill>
      <patternFill patternType="solid">
        <fgColor rgb="FFCCFFCC"/>
        <bgColor indexed="64"/>
      </patternFill>
    </fill>
    <fill>
      <patternFill patternType="solid">
        <fgColor theme="0"/>
        <bgColor rgb="FFD9D9D9"/>
      </patternFill>
    </fill>
    <fill>
      <patternFill patternType="solid">
        <fgColor theme="0"/>
        <bgColor rgb="FFFFFFFF"/>
      </patternFill>
    </fill>
    <fill>
      <patternFill patternType="solid">
        <fgColor rgb="FFFBF9C3"/>
        <bgColor rgb="FFFBF9C3"/>
      </patternFill>
    </fill>
    <fill>
      <patternFill patternType="solid">
        <fgColor theme="4" tint="0.79998168889431442"/>
        <bgColor rgb="FFBCB5F8"/>
      </patternFill>
    </fill>
    <fill>
      <patternFill patternType="solid">
        <fgColor theme="4" tint="0.79998168889431442"/>
        <bgColor indexed="64"/>
      </patternFill>
    </fill>
    <fill>
      <patternFill patternType="solid">
        <fgColor rgb="FFC2EFC5"/>
        <bgColor rgb="FFC2EFC5"/>
      </patternFill>
    </fill>
    <fill>
      <patternFill patternType="solid">
        <fgColor rgb="FFEBEBEB"/>
        <bgColor rgb="FFEBEBEB"/>
      </patternFill>
    </fill>
    <fill>
      <patternFill patternType="solid">
        <fgColor rgb="FFFFFF00"/>
        <bgColor indexed="64"/>
      </patternFill>
    </fill>
    <fill>
      <patternFill patternType="solid">
        <fgColor theme="8" tint="0.59999389629810485"/>
        <bgColor indexed="64"/>
      </patternFill>
    </fill>
    <fill>
      <patternFill patternType="solid">
        <fgColor theme="8" tint="0.59999389629810485"/>
        <bgColor rgb="FFBCB5F8"/>
      </patternFill>
    </fill>
    <fill>
      <patternFill patternType="solid">
        <fgColor theme="0"/>
        <bgColor rgb="FFFFFF00"/>
      </patternFill>
    </fill>
    <fill>
      <patternFill patternType="solid">
        <fgColor theme="8" tint="0.79998168889431442"/>
        <bgColor rgb="FFDBDBDB"/>
      </patternFill>
    </fill>
    <fill>
      <patternFill patternType="solid">
        <fgColor rgb="FFFFCCFF"/>
        <bgColor rgb="FFDBDBDB"/>
      </patternFill>
    </fill>
    <fill>
      <patternFill patternType="solid">
        <fgColor theme="8" tint="0.79998168889431442"/>
        <bgColor rgb="FFD9D9D9"/>
      </patternFill>
    </fill>
  </fills>
  <borders count="201">
    <border>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rgb="FF000000"/>
      </top>
      <bottom/>
      <diagonal/>
    </border>
    <border>
      <left style="thin">
        <color rgb="FF000000"/>
      </left>
      <right/>
      <top style="thin">
        <color rgb="FF000000"/>
      </top>
      <bottom/>
      <diagonal/>
    </border>
    <border>
      <left style="medium">
        <color indexed="64"/>
      </left>
      <right/>
      <top/>
      <bottom style="thin">
        <color rgb="FF000000"/>
      </bottom>
      <diagonal/>
    </border>
    <border>
      <left style="thin">
        <color rgb="FF000000"/>
      </left>
      <right/>
      <top/>
      <bottom style="thin">
        <color rgb="FF000000"/>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bottom/>
      <diagonal/>
    </border>
    <border>
      <left style="thin">
        <color rgb="FF000000"/>
      </left>
      <right/>
      <top style="medium">
        <color indexed="64"/>
      </top>
      <bottom/>
      <diagonal/>
    </border>
    <border>
      <left style="thin">
        <color rgb="FF000000"/>
      </left>
      <right/>
      <top/>
      <bottom style="thin">
        <color indexed="64"/>
      </bottom>
      <diagonal/>
    </border>
    <border>
      <left style="thin">
        <color rgb="FF000000"/>
      </left>
      <right/>
      <top/>
      <bottom/>
      <diagonal/>
    </border>
    <border>
      <left style="thin">
        <color rgb="FF000000"/>
      </left>
      <right/>
      <top style="medium">
        <color indexed="64"/>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thin">
        <color rgb="FF000000"/>
      </left>
      <right/>
      <top style="thin">
        <color indexed="64"/>
      </top>
      <bottom/>
      <diagonal/>
    </border>
    <border>
      <left style="thin">
        <color rgb="FF000000"/>
      </left>
      <right/>
      <top style="thin">
        <color indexed="64"/>
      </top>
      <bottom style="thin">
        <color indexed="64"/>
      </bottom>
      <diagonal/>
    </border>
    <border>
      <left style="medium">
        <color indexed="64"/>
      </left>
      <right style="medium">
        <color indexed="64"/>
      </right>
      <top/>
      <bottom style="thin">
        <color rgb="FF000000"/>
      </bottom>
      <diagonal/>
    </border>
    <border>
      <left style="medium">
        <color indexed="64"/>
      </left>
      <right style="thin">
        <color indexed="64"/>
      </right>
      <top/>
      <bottom style="thin">
        <color rgb="FF000000"/>
      </bottom>
      <diagonal/>
    </border>
    <border>
      <left/>
      <right style="medium">
        <color indexed="64"/>
      </right>
      <top/>
      <bottom style="thin">
        <color rgb="FF000000"/>
      </bottom>
      <diagonal/>
    </border>
    <border>
      <left style="medium">
        <color indexed="64"/>
      </left>
      <right style="medium">
        <color indexed="64"/>
      </right>
      <top style="thin">
        <color rgb="FF000000"/>
      </top>
      <bottom/>
      <diagonal/>
    </border>
    <border>
      <left style="medium">
        <color indexed="64"/>
      </left>
      <right style="thin">
        <color rgb="FF000000"/>
      </right>
      <top style="thin">
        <color rgb="FF000000"/>
      </top>
      <bottom/>
      <diagonal/>
    </border>
    <border>
      <left style="medium">
        <color indexed="64"/>
      </left>
      <right style="thin">
        <color indexed="64"/>
      </right>
      <top style="thin">
        <color rgb="FF000000"/>
      </top>
      <bottom/>
      <diagonal/>
    </border>
    <border>
      <left/>
      <right style="medium">
        <color indexed="64"/>
      </right>
      <top style="thin">
        <color rgb="FF000000"/>
      </top>
      <bottom/>
      <diagonal/>
    </border>
    <border>
      <left style="thin">
        <color indexed="64"/>
      </left>
      <right style="thin">
        <color indexed="64"/>
      </right>
      <top/>
      <bottom style="thin">
        <color rgb="FF000000"/>
      </bottom>
      <diagonal/>
    </border>
    <border>
      <left/>
      <right/>
      <top/>
      <bottom style="thin">
        <color rgb="FF000000"/>
      </bottom>
      <diagonal/>
    </border>
    <border>
      <left style="thin">
        <color indexed="64"/>
      </left>
      <right/>
      <top style="thin">
        <color rgb="FF000000"/>
      </top>
      <bottom style="medium">
        <color indexed="64"/>
      </bottom>
      <diagonal/>
    </border>
    <border>
      <left style="thin">
        <color indexed="64"/>
      </left>
      <right style="thin">
        <color indexed="64"/>
      </right>
      <top style="thin">
        <color rgb="FF000000"/>
      </top>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bottom style="medium">
        <color rgb="FF000000"/>
      </bottom>
      <diagonal/>
    </border>
    <border>
      <left style="thin">
        <color rgb="FF000000"/>
      </left>
      <right style="thin">
        <color rgb="FF000000"/>
      </right>
      <top style="thin">
        <color indexed="64"/>
      </top>
      <bottom style="medium">
        <color rgb="FF000000"/>
      </bottom>
      <diagonal/>
    </border>
    <border>
      <left/>
      <right style="medium">
        <color rgb="FF000000"/>
      </right>
      <top style="thin">
        <color rgb="FF000000"/>
      </top>
      <bottom/>
      <diagonal/>
    </border>
    <border>
      <left/>
      <right style="medium">
        <color rgb="FF000000"/>
      </right>
      <top/>
      <bottom/>
      <diagonal/>
    </border>
    <border>
      <left/>
      <right style="medium">
        <color rgb="FF000000"/>
      </right>
      <top/>
      <bottom style="medium">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medium">
        <color rgb="FF000000"/>
      </top>
      <bottom/>
      <diagonal/>
    </border>
    <border>
      <left style="thin">
        <color indexed="64"/>
      </left>
      <right style="medium">
        <color indexed="64"/>
      </right>
      <top style="medium">
        <color rgb="FF000000"/>
      </top>
      <bottom/>
      <diagonal/>
    </border>
    <border>
      <left style="thin">
        <color rgb="FF000000"/>
      </left>
      <right style="medium">
        <color indexed="64"/>
      </right>
      <top style="thin">
        <color indexed="64"/>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thin">
        <color rgb="FF000000"/>
      </left>
      <right style="medium">
        <color indexed="64"/>
      </right>
      <top style="medium">
        <color indexed="64"/>
      </top>
      <bottom/>
      <diagonal/>
    </border>
    <border>
      <left style="medium">
        <color indexed="64"/>
      </left>
      <right style="thin">
        <color rgb="FF000000"/>
      </right>
      <top/>
      <bottom style="thin">
        <color indexed="64"/>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
      <left style="thin">
        <color rgb="FF000000"/>
      </left>
      <right style="medium">
        <color indexed="64"/>
      </right>
      <top/>
      <bottom style="thin">
        <color rgb="FF000000"/>
      </bottom>
      <diagonal/>
    </border>
    <border>
      <left style="medium">
        <color rgb="FF000000"/>
      </left>
      <right style="thin">
        <color rgb="FF000000"/>
      </right>
      <top style="thin">
        <color indexed="64"/>
      </top>
      <bottom/>
      <diagonal/>
    </border>
    <border>
      <left style="thin">
        <color rgb="FF000000"/>
      </left>
      <right style="thin">
        <color rgb="FF000000"/>
      </right>
      <top style="thin">
        <color indexed="64"/>
      </top>
      <bottom/>
      <diagonal/>
    </border>
    <border>
      <left/>
      <right style="medium">
        <color rgb="FF000000"/>
      </right>
      <top/>
      <bottom style="thin">
        <color rgb="FF000000"/>
      </bottom>
      <diagonal/>
    </border>
    <border>
      <left style="medium">
        <color indexed="64"/>
      </left>
      <right/>
      <top style="hair">
        <color indexed="64"/>
      </top>
      <bottom style="thin">
        <color indexed="64"/>
      </bottom>
      <diagonal/>
    </border>
    <border>
      <left style="thin">
        <color indexed="64"/>
      </left>
      <right style="medium">
        <color indexed="64"/>
      </right>
      <top style="thin">
        <color rgb="FF000000"/>
      </top>
      <bottom/>
      <diagonal/>
    </border>
    <border>
      <left style="thin">
        <color indexed="64"/>
      </left>
      <right style="medium">
        <color indexed="64"/>
      </right>
      <top/>
      <bottom style="thin">
        <color rgb="FF000000"/>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right/>
      <top style="thin">
        <color rgb="FF000000"/>
      </top>
      <bottom/>
      <diagonal/>
    </border>
    <border>
      <left style="thin">
        <color indexed="64"/>
      </left>
      <right/>
      <top style="thin">
        <color rgb="FF000000"/>
      </top>
      <bottom/>
      <diagonal/>
    </border>
    <border>
      <left style="thin">
        <color indexed="64"/>
      </left>
      <right style="medium">
        <color indexed="64"/>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right style="medium">
        <color indexed="64"/>
      </right>
      <top/>
      <bottom style="hair">
        <color indexed="64"/>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medium">
        <color indexed="64"/>
      </right>
      <top style="thin">
        <color indexed="64"/>
      </top>
      <bottom style="thin">
        <color rgb="FF000000"/>
      </bottom>
      <diagonal/>
    </border>
    <border>
      <left style="thin">
        <color rgb="FF000000"/>
      </left>
      <right style="medium">
        <color indexed="64"/>
      </right>
      <top style="thin">
        <color indexed="64"/>
      </top>
      <bottom style="thin">
        <color indexed="64"/>
      </bottom>
      <diagonal/>
    </border>
    <border>
      <left style="thin">
        <color indexed="64"/>
      </left>
      <right style="medium">
        <color indexed="64"/>
      </right>
      <top style="thin">
        <color indexed="64"/>
      </top>
      <bottom style="thin">
        <color rgb="FF000000"/>
      </bottom>
      <diagonal/>
    </border>
    <border>
      <left/>
      <right style="thin">
        <color rgb="FF000000"/>
      </right>
      <top style="medium">
        <color indexed="64"/>
      </top>
      <bottom style="thin">
        <color rgb="FF000000"/>
      </bottom>
      <diagonal/>
    </border>
    <border>
      <left/>
      <right style="thin">
        <color rgb="FF000000"/>
      </right>
      <top style="thin">
        <color rgb="FF000000"/>
      </top>
      <bottom style="medium">
        <color indexed="64"/>
      </bottom>
      <diagonal/>
    </border>
    <border>
      <left style="thin">
        <color rgb="FF000000"/>
      </left>
      <right/>
      <top style="thin">
        <color indexed="64"/>
      </top>
      <bottom style="thin">
        <color rgb="FF000000"/>
      </bottom>
      <diagonal/>
    </border>
    <border>
      <left style="medium">
        <color indexed="64"/>
      </left>
      <right style="thin">
        <color rgb="FF000000"/>
      </right>
      <top style="thin">
        <color indexed="64"/>
      </top>
      <bottom style="thin">
        <color rgb="FF000000"/>
      </bottom>
      <diagonal/>
    </border>
    <border>
      <left style="medium">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style="medium">
        <color indexed="64"/>
      </right>
      <top style="medium">
        <color indexed="64"/>
      </top>
      <bottom style="thin">
        <color rgb="FF000000"/>
      </bottom>
      <diagonal/>
    </border>
    <border>
      <left style="medium">
        <color indexed="64"/>
      </left>
      <right/>
      <top style="medium">
        <color indexed="64"/>
      </top>
      <bottom style="thin">
        <color rgb="FF000000"/>
      </bottom>
      <diagonal/>
    </border>
    <border>
      <left style="medium">
        <color indexed="64"/>
      </left>
      <right style="thin">
        <color indexed="64"/>
      </right>
      <top style="medium">
        <color indexed="64"/>
      </top>
      <bottom style="thin">
        <color rgb="FF000000"/>
      </bottom>
      <diagonal/>
    </border>
    <border>
      <left style="medium">
        <color indexed="64"/>
      </left>
      <right style="thin">
        <color indexed="64"/>
      </right>
      <top style="thin">
        <color rgb="FF000000"/>
      </top>
      <bottom style="medium">
        <color indexed="64"/>
      </bottom>
      <diagonal/>
    </border>
    <border>
      <left style="thin">
        <color rgb="FF000000"/>
      </left>
      <right/>
      <top style="thin">
        <color rgb="FF000000"/>
      </top>
      <bottom style="thin">
        <color indexed="64"/>
      </bottom>
      <diagonal/>
    </border>
    <border>
      <left style="medium">
        <color indexed="64"/>
      </left>
      <right/>
      <top style="thin">
        <color rgb="FF000000"/>
      </top>
      <bottom style="medium">
        <color indexed="64"/>
      </bottom>
      <diagonal/>
    </border>
    <border>
      <left style="thin">
        <color indexed="64"/>
      </left>
      <right style="thin">
        <color rgb="FF000000"/>
      </right>
      <top style="medium">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medium">
        <color indexed="64"/>
      </bottom>
      <diagonal/>
    </border>
  </borders>
  <cellStyleXfs count="4">
    <xf numFmtId="0" fontId="0" fillId="0" borderId="0"/>
    <xf numFmtId="0" fontId="3" fillId="0" borderId="0"/>
    <xf numFmtId="0" fontId="19" fillId="0" borderId="0"/>
    <xf numFmtId="166" fontId="22" fillId="0" borderId="0" applyBorder="0" applyProtection="0"/>
  </cellStyleXfs>
  <cellXfs count="2210">
    <xf numFmtId="0" fontId="0" fillId="0" borderId="0" xfId="0"/>
    <xf numFmtId="49" fontId="2" fillId="3" borderId="32" xfId="0" applyNumberFormat="1" applyFont="1" applyFill="1" applyBorder="1" applyAlignment="1">
      <alignment vertical="top"/>
    </xf>
    <xf numFmtId="0" fontId="10" fillId="0" borderId="66" xfId="0" applyFont="1" applyBorder="1" applyAlignment="1">
      <alignment horizontal="center" vertical="top" wrapText="1"/>
    </xf>
    <xf numFmtId="0" fontId="10" fillId="0" borderId="66" xfId="0" applyFont="1" applyBorder="1" applyAlignment="1">
      <alignment vertical="top" wrapText="1"/>
    </xf>
    <xf numFmtId="0" fontId="11" fillId="0" borderId="66" xfId="0" applyFont="1" applyBorder="1" applyAlignment="1">
      <alignment vertical="top" wrapText="1"/>
    </xf>
    <xf numFmtId="0" fontId="8" fillId="0" borderId="66" xfId="0" applyFont="1" applyBorder="1" applyAlignment="1">
      <alignment vertical="top" wrapText="1"/>
    </xf>
    <xf numFmtId="3" fontId="1" fillId="4" borderId="40" xfId="0" applyNumberFormat="1" applyFont="1" applyFill="1" applyBorder="1" applyAlignment="1">
      <alignment horizontal="center" vertical="top"/>
    </xf>
    <xf numFmtId="3" fontId="1" fillId="0" borderId="7" xfId="0" applyNumberFormat="1" applyFont="1" applyBorder="1" applyAlignment="1">
      <alignment horizontal="center" vertical="top"/>
    </xf>
    <xf numFmtId="3" fontId="1" fillId="0" borderId="7" xfId="0" applyNumberFormat="1" applyFont="1" applyFill="1" applyBorder="1" applyAlignment="1">
      <alignment horizontal="center" vertical="top"/>
    </xf>
    <xf numFmtId="3" fontId="4" fillId="4" borderId="53" xfId="0" applyNumberFormat="1" applyFont="1" applyFill="1" applyBorder="1" applyAlignment="1">
      <alignment horizontal="center" vertical="top"/>
    </xf>
    <xf numFmtId="3" fontId="5" fillId="5" borderId="56" xfId="0" applyNumberFormat="1" applyFont="1" applyFill="1" applyBorder="1" applyAlignment="1">
      <alignment horizontal="center" vertical="top" wrapText="1"/>
    </xf>
    <xf numFmtId="3" fontId="1" fillId="4" borderId="15" xfId="0" applyNumberFormat="1" applyFont="1" applyFill="1" applyBorder="1" applyAlignment="1">
      <alignment horizontal="center" vertical="top"/>
    </xf>
    <xf numFmtId="3" fontId="4" fillId="0" borderId="2" xfId="0" applyNumberFormat="1" applyFont="1" applyFill="1" applyBorder="1" applyAlignment="1">
      <alignment horizontal="center" vertical="top" wrapText="1"/>
    </xf>
    <xf numFmtId="3" fontId="1" fillId="0" borderId="0" xfId="0" applyNumberFormat="1" applyFont="1" applyBorder="1" applyAlignment="1">
      <alignment vertical="top"/>
    </xf>
    <xf numFmtId="3" fontId="1" fillId="4" borderId="53" xfId="0" applyNumberFormat="1" applyFont="1" applyFill="1" applyBorder="1" applyAlignment="1">
      <alignment horizontal="center" vertical="top"/>
    </xf>
    <xf numFmtId="3" fontId="1" fillId="3" borderId="18" xfId="0" applyNumberFormat="1" applyFont="1" applyFill="1" applyBorder="1" applyAlignment="1">
      <alignment vertical="top" wrapText="1"/>
    </xf>
    <xf numFmtId="3" fontId="1" fillId="4" borderId="18" xfId="0" applyNumberFormat="1" applyFont="1" applyFill="1" applyBorder="1" applyAlignment="1">
      <alignment horizontal="center" vertical="top" wrapText="1"/>
    </xf>
    <xf numFmtId="3" fontId="1" fillId="4" borderId="31" xfId="0" applyNumberFormat="1" applyFont="1" applyFill="1" applyBorder="1" applyAlignment="1">
      <alignment horizontal="center" vertical="top" wrapText="1"/>
    </xf>
    <xf numFmtId="3" fontId="4" fillId="0" borderId="0" xfId="0" applyNumberFormat="1" applyFont="1" applyFill="1" applyAlignment="1">
      <alignment vertical="top"/>
    </xf>
    <xf numFmtId="3" fontId="5" fillId="0" borderId="18" xfId="0" applyNumberFormat="1" applyFont="1" applyFill="1" applyBorder="1" applyAlignment="1">
      <alignment horizontal="center" vertical="top" wrapText="1"/>
    </xf>
    <xf numFmtId="3" fontId="1" fillId="0" borderId="39" xfId="0" applyNumberFormat="1" applyFont="1" applyBorder="1" applyAlignment="1">
      <alignment horizontal="center" vertical="top"/>
    </xf>
    <xf numFmtId="3" fontId="4" fillId="4" borderId="40" xfId="0" applyNumberFormat="1" applyFont="1" applyFill="1" applyBorder="1" applyAlignment="1">
      <alignment horizontal="center" vertical="top" wrapText="1"/>
    </xf>
    <xf numFmtId="3" fontId="2" fillId="3" borderId="13" xfId="0" applyNumberFormat="1" applyFont="1" applyFill="1" applyBorder="1" applyAlignment="1">
      <alignment horizontal="center" vertical="top" wrapText="1"/>
    </xf>
    <xf numFmtId="49" fontId="2" fillId="3" borderId="0" xfId="0" applyNumberFormat="1" applyFont="1" applyFill="1" applyBorder="1" applyAlignment="1">
      <alignment horizontal="center" vertical="top"/>
    </xf>
    <xf numFmtId="3" fontId="1" fillId="3" borderId="66" xfId="0" applyNumberFormat="1" applyFont="1" applyFill="1" applyBorder="1" applyAlignment="1">
      <alignment vertical="top" wrapText="1"/>
    </xf>
    <xf numFmtId="3" fontId="1" fillId="4" borderId="66" xfId="0" applyNumberFormat="1" applyFont="1" applyFill="1" applyBorder="1" applyAlignment="1">
      <alignment vertical="top" wrapText="1"/>
    </xf>
    <xf numFmtId="3" fontId="1" fillId="4" borderId="26" xfId="0" applyNumberFormat="1" applyFont="1" applyFill="1" applyBorder="1" applyAlignment="1">
      <alignment horizontal="center" vertical="top"/>
    </xf>
    <xf numFmtId="3" fontId="1" fillId="4" borderId="45" xfId="0" applyNumberFormat="1" applyFont="1" applyFill="1" applyBorder="1" applyAlignment="1">
      <alignment horizontal="center" vertical="top"/>
    </xf>
    <xf numFmtId="3" fontId="4" fillId="4" borderId="60" xfId="0" applyNumberFormat="1" applyFont="1" applyFill="1" applyBorder="1" applyAlignment="1">
      <alignment vertical="top" wrapText="1"/>
    </xf>
    <xf numFmtId="3" fontId="1" fillId="4" borderId="0" xfId="0" applyNumberFormat="1" applyFont="1" applyFill="1" applyBorder="1" applyAlignment="1">
      <alignment vertical="top"/>
    </xf>
    <xf numFmtId="3" fontId="5" fillId="0" borderId="13" xfId="0" applyNumberFormat="1" applyFont="1" applyFill="1" applyBorder="1" applyAlignment="1">
      <alignment horizontal="center" vertical="top" wrapText="1"/>
    </xf>
    <xf numFmtId="3" fontId="4" fillId="0" borderId="0" xfId="0" applyNumberFormat="1" applyFont="1" applyAlignment="1">
      <alignment vertical="top"/>
    </xf>
    <xf numFmtId="3" fontId="1" fillId="0" borderId="31" xfId="0" applyNumberFormat="1" applyFont="1" applyBorder="1" applyAlignment="1">
      <alignment horizontal="center" vertical="top"/>
    </xf>
    <xf numFmtId="3" fontId="2" fillId="0" borderId="32" xfId="0" applyNumberFormat="1" applyFont="1" applyFill="1" applyBorder="1" applyAlignment="1">
      <alignment horizontal="center" vertical="top" textRotation="90" wrapText="1"/>
    </xf>
    <xf numFmtId="3" fontId="1" fillId="4" borderId="38" xfId="0" applyNumberFormat="1" applyFont="1" applyFill="1" applyBorder="1" applyAlignment="1">
      <alignment vertical="top" wrapText="1"/>
    </xf>
    <xf numFmtId="3" fontId="4" fillId="4" borderId="52" xfId="0" applyNumberFormat="1" applyFont="1" applyFill="1" applyBorder="1" applyAlignment="1">
      <alignment horizontal="center" vertical="top"/>
    </xf>
    <xf numFmtId="3" fontId="1" fillId="3" borderId="43" xfId="0" applyNumberFormat="1" applyFont="1" applyFill="1" applyBorder="1" applyAlignment="1">
      <alignment vertical="top" wrapText="1"/>
    </xf>
    <xf numFmtId="3" fontId="2" fillId="4" borderId="32" xfId="0" applyNumberFormat="1" applyFont="1" applyFill="1" applyBorder="1" applyAlignment="1">
      <alignment horizontal="center" vertical="top"/>
    </xf>
    <xf numFmtId="49" fontId="1" fillId="0" borderId="0" xfId="0" applyNumberFormat="1" applyFont="1" applyBorder="1" applyAlignment="1">
      <alignment horizontal="center" vertical="top" wrapText="1"/>
    </xf>
    <xf numFmtId="3" fontId="2" fillId="3" borderId="32" xfId="0" applyNumberFormat="1" applyFont="1" applyFill="1" applyBorder="1" applyAlignment="1">
      <alignment horizontal="center" vertical="top"/>
    </xf>
    <xf numFmtId="164" fontId="1" fillId="4" borderId="16" xfId="0" applyNumberFormat="1" applyFont="1" applyFill="1" applyBorder="1" applyAlignment="1">
      <alignment horizontal="center" vertical="top"/>
    </xf>
    <xf numFmtId="164" fontId="4" fillId="4" borderId="7" xfId="0" applyNumberFormat="1" applyFont="1" applyFill="1" applyBorder="1" applyAlignment="1">
      <alignment horizontal="center" vertical="top"/>
    </xf>
    <xf numFmtId="164" fontId="1" fillId="4" borderId="62" xfId="0" applyNumberFormat="1" applyFont="1" applyFill="1" applyBorder="1" applyAlignment="1">
      <alignment horizontal="center" vertical="top"/>
    </xf>
    <xf numFmtId="164" fontId="1" fillId="4" borderId="7" xfId="0" applyNumberFormat="1" applyFont="1" applyFill="1" applyBorder="1" applyAlignment="1">
      <alignment horizontal="center" vertical="top"/>
    </xf>
    <xf numFmtId="164" fontId="1" fillId="4" borderId="24" xfId="0" applyNumberFormat="1" applyFont="1" applyFill="1" applyBorder="1" applyAlignment="1">
      <alignment horizontal="center" vertical="top"/>
    </xf>
    <xf numFmtId="164" fontId="2" fillId="5" borderId="48" xfId="0" applyNumberFormat="1" applyFont="1" applyFill="1" applyBorder="1" applyAlignment="1">
      <alignment horizontal="center" vertical="top"/>
    </xf>
    <xf numFmtId="164" fontId="4" fillId="4" borderId="62" xfId="0" applyNumberFormat="1" applyFont="1" applyFill="1" applyBorder="1" applyAlignment="1">
      <alignment horizontal="center" vertical="top"/>
    </xf>
    <xf numFmtId="164" fontId="2" fillId="5" borderId="62" xfId="0" applyNumberFormat="1" applyFont="1" applyFill="1" applyBorder="1" applyAlignment="1">
      <alignment horizontal="center" vertical="top"/>
    </xf>
    <xf numFmtId="3" fontId="1" fillId="4" borderId="53" xfId="0" applyNumberFormat="1" applyFont="1" applyFill="1" applyBorder="1" applyAlignment="1">
      <alignment horizontal="center" vertical="top" wrapText="1"/>
    </xf>
    <xf numFmtId="3" fontId="4" fillId="4" borderId="17" xfId="0" applyNumberFormat="1" applyFont="1" applyFill="1" applyBorder="1" applyAlignment="1">
      <alignment vertical="top" wrapText="1"/>
    </xf>
    <xf numFmtId="164" fontId="4" fillId="4" borderId="17" xfId="0" applyNumberFormat="1" applyFont="1" applyFill="1" applyBorder="1" applyAlignment="1">
      <alignment horizontal="center" vertical="top"/>
    </xf>
    <xf numFmtId="3" fontId="1" fillId="4" borderId="32" xfId="0" applyNumberFormat="1" applyFont="1" applyFill="1" applyBorder="1" applyAlignment="1">
      <alignment horizontal="center" vertical="top" wrapText="1"/>
    </xf>
    <xf numFmtId="164" fontId="1" fillId="4" borderId="28" xfId="0" applyNumberFormat="1" applyFont="1" applyFill="1" applyBorder="1" applyAlignment="1">
      <alignment horizontal="center" vertical="top"/>
    </xf>
    <xf numFmtId="164" fontId="4" fillId="4" borderId="65" xfId="0" applyNumberFormat="1" applyFont="1" applyFill="1" applyBorder="1" applyAlignment="1">
      <alignment horizontal="center" vertical="top"/>
    </xf>
    <xf numFmtId="3" fontId="1" fillId="0" borderId="24" xfId="0" applyNumberFormat="1" applyFont="1" applyBorder="1" applyAlignment="1">
      <alignment horizontal="center" vertical="top"/>
    </xf>
    <xf numFmtId="3" fontId="4" fillId="4" borderId="6" xfId="0" applyNumberFormat="1" applyFont="1" applyFill="1" applyBorder="1" applyAlignment="1">
      <alignment horizontal="center" vertical="top" wrapText="1"/>
    </xf>
    <xf numFmtId="3" fontId="4" fillId="4" borderId="54" xfId="0" applyNumberFormat="1" applyFont="1" applyFill="1" applyBorder="1" applyAlignment="1">
      <alignment horizontal="center" vertical="top"/>
    </xf>
    <xf numFmtId="3" fontId="4" fillId="4" borderId="66" xfId="0" applyNumberFormat="1" applyFont="1" applyFill="1" applyBorder="1" applyAlignment="1">
      <alignment horizontal="left" vertical="top" wrapText="1"/>
    </xf>
    <xf numFmtId="3" fontId="4" fillId="4" borderId="54" xfId="0" applyNumberFormat="1" applyFont="1" applyFill="1" applyBorder="1" applyAlignment="1">
      <alignment horizontal="left" vertical="top" wrapText="1"/>
    </xf>
    <xf numFmtId="3" fontId="1" fillId="0" borderId="32" xfId="0" applyNumberFormat="1" applyFont="1" applyBorder="1" applyAlignment="1">
      <alignment horizontal="center" vertical="top"/>
    </xf>
    <xf numFmtId="164" fontId="2" fillId="5" borderId="4" xfId="0" applyNumberFormat="1" applyFont="1" applyFill="1" applyBorder="1" applyAlignment="1">
      <alignment horizontal="center" vertical="top"/>
    </xf>
    <xf numFmtId="164" fontId="1" fillId="4" borderId="60" xfId="0" applyNumberFormat="1" applyFont="1" applyFill="1" applyBorder="1" applyAlignment="1">
      <alignment horizontal="center" vertical="top"/>
    </xf>
    <xf numFmtId="164" fontId="1" fillId="4" borderId="18" xfId="0" applyNumberFormat="1" applyFont="1" applyFill="1" applyBorder="1" applyAlignment="1">
      <alignment horizontal="center" vertical="top"/>
    </xf>
    <xf numFmtId="164" fontId="1" fillId="4" borderId="13" xfId="0" applyNumberFormat="1" applyFont="1" applyFill="1" applyBorder="1" applyAlignment="1">
      <alignment horizontal="center" vertical="top"/>
    </xf>
    <xf numFmtId="164" fontId="4" fillId="4" borderId="60" xfId="0" applyNumberFormat="1" applyFont="1" applyFill="1" applyBorder="1" applyAlignment="1">
      <alignment horizontal="center" vertical="top"/>
    </xf>
    <xf numFmtId="164" fontId="2" fillId="5" borderId="60" xfId="0" applyNumberFormat="1" applyFont="1" applyFill="1" applyBorder="1" applyAlignment="1">
      <alignment horizontal="center" vertical="top"/>
    </xf>
    <xf numFmtId="164" fontId="4" fillId="4" borderId="18" xfId="0" applyNumberFormat="1" applyFont="1" applyFill="1" applyBorder="1" applyAlignment="1">
      <alignment horizontal="center" vertical="top"/>
    </xf>
    <xf numFmtId="164" fontId="4" fillId="0" borderId="65" xfId="0" applyNumberFormat="1" applyFont="1" applyFill="1" applyBorder="1" applyAlignment="1">
      <alignment horizontal="center" vertical="top" wrapText="1"/>
    </xf>
    <xf numFmtId="164" fontId="1" fillId="4" borderId="65" xfId="0" applyNumberFormat="1" applyFont="1" applyFill="1" applyBorder="1" applyAlignment="1">
      <alignment horizontal="center" vertical="top"/>
    </xf>
    <xf numFmtId="164" fontId="4" fillId="0" borderId="62" xfId="0" applyNumberFormat="1" applyFont="1" applyBorder="1" applyAlignment="1">
      <alignment horizontal="center" vertical="top" wrapText="1"/>
    </xf>
    <xf numFmtId="164" fontId="5" fillId="5" borderId="12" xfId="0" applyNumberFormat="1" applyFont="1" applyFill="1" applyBorder="1" applyAlignment="1">
      <alignment horizontal="center" vertical="top" wrapText="1"/>
    </xf>
    <xf numFmtId="164" fontId="4" fillId="0" borderId="66" xfId="0" applyNumberFormat="1" applyFont="1" applyFill="1" applyBorder="1" applyAlignment="1">
      <alignment horizontal="center" vertical="top" wrapText="1"/>
    </xf>
    <xf numFmtId="164" fontId="4" fillId="0" borderId="60" xfId="0" applyNumberFormat="1" applyFont="1" applyBorder="1" applyAlignment="1">
      <alignment horizontal="center" vertical="top" wrapText="1"/>
    </xf>
    <xf numFmtId="164" fontId="4" fillId="0" borderId="60" xfId="0" applyNumberFormat="1" applyFont="1" applyFill="1" applyBorder="1" applyAlignment="1">
      <alignment horizontal="center" vertical="top" wrapText="1"/>
    </xf>
    <xf numFmtId="164" fontId="5" fillId="5" borderId="11" xfId="0" applyNumberFormat="1" applyFont="1" applyFill="1" applyBorder="1" applyAlignment="1">
      <alignment horizontal="center" vertical="top" wrapText="1"/>
    </xf>
    <xf numFmtId="164" fontId="4" fillId="4" borderId="66" xfId="0" applyNumberFormat="1" applyFont="1" applyFill="1" applyBorder="1" applyAlignment="1">
      <alignment horizontal="center" vertical="top"/>
    </xf>
    <xf numFmtId="164" fontId="1" fillId="4" borderId="66" xfId="0" applyNumberFormat="1" applyFont="1" applyFill="1" applyBorder="1" applyAlignment="1">
      <alignment horizontal="center" vertical="top"/>
    </xf>
    <xf numFmtId="164" fontId="1" fillId="4" borderId="26" xfId="0" applyNumberFormat="1" applyFont="1" applyFill="1" applyBorder="1" applyAlignment="1">
      <alignment horizontal="center" vertical="top"/>
    </xf>
    <xf numFmtId="3" fontId="1" fillId="4" borderId="18" xfId="0" applyNumberFormat="1" applyFont="1" applyFill="1" applyBorder="1" applyAlignment="1">
      <alignment vertical="top" wrapText="1"/>
    </xf>
    <xf numFmtId="164" fontId="4" fillId="0" borderId="17" xfId="0" applyNumberFormat="1" applyFont="1" applyFill="1" applyBorder="1" applyAlignment="1">
      <alignment horizontal="center" vertical="top" wrapText="1"/>
    </xf>
    <xf numFmtId="3" fontId="1" fillId="4" borderId="17" xfId="0" applyNumberFormat="1" applyFont="1" applyFill="1" applyBorder="1" applyAlignment="1">
      <alignment vertical="top" wrapText="1"/>
    </xf>
    <xf numFmtId="3" fontId="1" fillId="4" borderId="54" xfId="0" applyNumberFormat="1" applyFont="1" applyFill="1" applyBorder="1" applyAlignment="1">
      <alignment horizontal="center" vertical="top" wrapText="1"/>
    </xf>
    <xf numFmtId="3" fontId="4" fillId="4" borderId="53" xfId="0" applyNumberFormat="1" applyFont="1" applyFill="1" applyBorder="1" applyAlignment="1">
      <alignment horizontal="center" vertical="top" wrapText="1"/>
    </xf>
    <xf numFmtId="3" fontId="4" fillId="4" borderId="8" xfId="0" applyNumberFormat="1" applyFont="1" applyFill="1" applyBorder="1" applyAlignment="1">
      <alignment horizontal="center" vertical="top" wrapText="1"/>
    </xf>
    <xf numFmtId="164" fontId="4" fillId="4" borderId="0" xfId="0" applyNumberFormat="1" applyFont="1" applyFill="1" applyBorder="1" applyAlignment="1">
      <alignment horizontal="center" vertical="top" wrapText="1"/>
    </xf>
    <xf numFmtId="164" fontId="1" fillId="3" borderId="24" xfId="0" applyNumberFormat="1" applyFont="1" applyFill="1" applyBorder="1" applyAlignment="1">
      <alignment horizontal="center" vertical="top" wrapText="1"/>
    </xf>
    <xf numFmtId="164" fontId="4" fillId="4" borderId="28" xfId="0" applyNumberFormat="1" applyFont="1" applyFill="1" applyBorder="1" applyAlignment="1">
      <alignment horizontal="center" vertical="top"/>
    </xf>
    <xf numFmtId="164" fontId="4" fillId="0" borderId="43" xfId="0" applyNumberFormat="1" applyFont="1" applyFill="1" applyBorder="1" applyAlignment="1">
      <alignment horizontal="center" vertical="top" wrapText="1"/>
    </xf>
    <xf numFmtId="164" fontId="4" fillId="0" borderId="18" xfId="0" applyNumberFormat="1" applyFont="1" applyFill="1" applyBorder="1" applyAlignment="1">
      <alignment horizontal="center" vertical="top" wrapText="1"/>
    </xf>
    <xf numFmtId="3" fontId="1" fillId="4" borderId="43" xfId="0" applyNumberFormat="1" applyFont="1" applyFill="1" applyBorder="1" applyAlignment="1">
      <alignment horizontal="center" vertical="top" wrapText="1"/>
    </xf>
    <xf numFmtId="3" fontId="1" fillId="0" borderId="0" xfId="0" applyNumberFormat="1" applyFont="1" applyBorder="1" applyAlignment="1">
      <alignment horizontal="center" vertical="top" wrapText="1"/>
    </xf>
    <xf numFmtId="3" fontId="4" fillId="4" borderId="52" xfId="0" applyNumberFormat="1" applyFont="1" applyFill="1" applyBorder="1" applyAlignment="1">
      <alignment horizontal="center" vertical="top" wrapText="1"/>
    </xf>
    <xf numFmtId="3" fontId="1" fillId="4" borderId="52" xfId="0" applyNumberFormat="1" applyFont="1" applyFill="1" applyBorder="1" applyAlignment="1">
      <alignment horizontal="center" vertical="top" wrapText="1"/>
    </xf>
    <xf numFmtId="3" fontId="1" fillId="4" borderId="34" xfId="0" applyNumberFormat="1" applyFont="1" applyFill="1" applyBorder="1" applyAlignment="1">
      <alignment horizontal="center" vertical="top"/>
    </xf>
    <xf numFmtId="3" fontId="1" fillId="4" borderId="72" xfId="0" applyNumberFormat="1" applyFont="1" applyFill="1" applyBorder="1" applyAlignment="1">
      <alignment horizontal="center" vertical="top"/>
    </xf>
    <xf numFmtId="3" fontId="4" fillId="4" borderId="72" xfId="0" applyNumberFormat="1" applyFont="1" applyFill="1" applyBorder="1" applyAlignment="1">
      <alignment horizontal="center" vertical="top" wrapText="1"/>
    </xf>
    <xf numFmtId="3" fontId="4" fillId="4" borderId="64" xfId="0" applyNumberFormat="1" applyFont="1" applyFill="1" applyBorder="1" applyAlignment="1">
      <alignment horizontal="center" vertical="top" wrapText="1"/>
    </xf>
    <xf numFmtId="3" fontId="4" fillId="4" borderId="32" xfId="0" applyNumberFormat="1" applyFont="1" applyFill="1" applyBorder="1" applyAlignment="1">
      <alignment horizontal="center" vertical="top" wrapText="1"/>
    </xf>
    <xf numFmtId="3" fontId="1" fillId="0" borderId="69" xfId="0" applyNumberFormat="1" applyFont="1" applyBorder="1" applyAlignment="1">
      <alignment horizontal="center" vertical="top"/>
    </xf>
    <xf numFmtId="3" fontId="4" fillId="4" borderId="24" xfId="0" applyNumberFormat="1" applyFont="1" applyFill="1" applyBorder="1" applyAlignment="1">
      <alignment horizontal="center" vertical="top" wrapText="1"/>
    </xf>
    <xf numFmtId="3" fontId="1" fillId="4" borderId="52" xfId="0" applyNumberFormat="1" applyFont="1" applyFill="1" applyBorder="1" applyAlignment="1">
      <alignment horizontal="center" vertical="top"/>
    </xf>
    <xf numFmtId="3" fontId="4" fillId="4" borderId="34" xfId="0" applyNumberFormat="1" applyFont="1" applyFill="1" applyBorder="1" applyAlignment="1">
      <alignment horizontal="center" vertical="top" wrapText="1"/>
    </xf>
    <xf numFmtId="3" fontId="4" fillId="4" borderId="28" xfId="0" applyNumberFormat="1" applyFont="1" applyFill="1" applyBorder="1" applyAlignment="1">
      <alignment horizontal="center" vertical="top" wrapText="1"/>
    </xf>
    <xf numFmtId="3" fontId="5" fillId="4" borderId="67" xfId="0" applyNumberFormat="1" applyFont="1" applyFill="1" applyBorder="1" applyAlignment="1">
      <alignment horizontal="center" vertical="top" wrapText="1"/>
    </xf>
    <xf numFmtId="3" fontId="1" fillId="4" borderId="0" xfId="0" applyNumberFormat="1" applyFont="1" applyFill="1" applyBorder="1" applyAlignment="1">
      <alignment vertical="top" wrapText="1"/>
    </xf>
    <xf numFmtId="3" fontId="2" fillId="4" borderId="68" xfId="0" applyNumberFormat="1" applyFont="1" applyFill="1" applyBorder="1" applyAlignment="1">
      <alignment horizontal="center" vertical="top" wrapText="1"/>
    </xf>
    <xf numFmtId="3" fontId="1" fillId="0" borderId="26" xfId="0" applyNumberFormat="1" applyFont="1" applyFill="1" applyBorder="1" applyAlignment="1">
      <alignment horizontal="center" vertical="top" wrapText="1"/>
    </xf>
    <xf numFmtId="3" fontId="1" fillId="0" borderId="64" xfId="0" applyNumberFormat="1" applyFont="1" applyBorder="1" applyAlignment="1">
      <alignment horizontal="center" vertical="top" wrapText="1"/>
    </xf>
    <xf numFmtId="3" fontId="1" fillId="0" borderId="7" xfId="0" applyNumberFormat="1" applyFont="1" applyBorder="1" applyAlignment="1">
      <alignment horizontal="center" vertical="top" wrapText="1"/>
    </xf>
    <xf numFmtId="3" fontId="4" fillId="4" borderId="54" xfId="0" applyNumberFormat="1" applyFont="1" applyFill="1" applyBorder="1" applyAlignment="1">
      <alignment horizontal="center" vertical="top" wrapText="1"/>
    </xf>
    <xf numFmtId="3" fontId="1" fillId="4" borderId="0" xfId="0" applyNumberFormat="1" applyFont="1" applyFill="1" applyBorder="1" applyAlignment="1">
      <alignment horizontal="center" vertical="top" wrapText="1"/>
    </xf>
    <xf numFmtId="3" fontId="1" fillId="4" borderId="2" xfId="0" applyNumberFormat="1" applyFont="1" applyFill="1" applyBorder="1" applyAlignment="1">
      <alignment horizontal="center" vertical="top" wrapText="1"/>
    </xf>
    <xf numFmtId="164" fontId="4" fillId="4" borderId="0" xfId="0" applyNumberFormat="1" applyFont="1" applyFill="1" applyBorder="1" applyAlignment="1">
      <alignment horizontal="center" vertical="top"/>
    </xf>
    <xf numFmtId="164" fontId="1" fillId="0" borderId="62" xfId="0" applyNumberFormat="1" applyFont="1" applyFill="1" applyBorder="1" applyAlignment="1">
      <alignment horizontal="center" vertical="top" wrapText="1"/>
    </xf>
    <xf numFmtId="164" fontId="1" fillId="0" borderId="17" xfId="0" applyNumberFormat="1" applyFont="1" applyFill="1" applyBorder="1" applyAlignment="1">
      <alignment horizontal="center" vertical="top" wrapText="1"/>
    </xf>
    <xf numFmtId="164" fontId="1" fillId="0" borderId="63" xfId="0" applyNumberFormat="1" applyFont="1" applyFill="1" applyBorder="1" applyAlignment="1">
      <alignment horizontal="center" vertical="top" wrapText="1"/>
    </xf>
    <xf numFmtId="164" fontId="4" fillId="4" borderId="62" xfId="0" applyNumberFormat="1" applyFont="1" applyFill="1" applyBorder="1" applyAlignment="1">
      <alignment horizontal="center" vertical="top" wrapText="1"/>
    </xf>
    <xf numFmtId="164" fontId="4" fillId="4" borderId="65" xfId="0" applyNumberFormat="1" applyFont="1" applyFill="1" applyBorder="1" applyAlignment="1">
      <alignment horizontal="center" vertical="top" wrapText="1"/>
    </xf>
    <xf numFmtId="164" fontId="2" fillId="5" borderId="47" xfId="0" applyNumberFormat="1" applyFont="1" applyFill="1" applyBorder="1" applyAlignment="1">
      <alignment horizontal="center" vertical="top"/>
    </xf>
    <xf numFmtId="164" fontId="1" fillId="0" borderId="60" xfId="0" applyNumberFormat="1" applyFont="1" applyFill="1" applyBorder="1" applyAlignment="1">
      <alignment horizontal="center" vertical="top" wrapText="1"/>
    </xf>
    <xf numFmtId="164" fontId="1" fillId="0" borderId="18" xfId="0" applyNumberFormat="1" applyFont="1" applyFill="1" applyBorder="1" applyAlignment="1">
      <alignment horizontal="center" vertical="top" wrapText="1"/>
    </xf>
    <xf numFmtId="164" fontId="1" fillId="0" borderId="43" xfId="0" applyNumberFormat="1" applyFont="1" applyFill="1" applyBorder="1" applyAlignment="1">
      <alignment horizontal="center" vertical="top" wrapText="1"/>
    </xf>
    <xf numFmtId="164" fontId="4" fillId="4" borderId="60" xfId="0" applyNumberFormat="1" applyFont="1" applyFill="1" applyBorder="1" applyAlignment="1">
      <alignment horizontal="center" vertical="top" wrapText="1"/>
    </xf>
    <xf numFmtId="164" fontId="4" fillId="4" borderId="66" xfId="0" applyNumberFormat="1" applyFont="1" applyFill="1" applyBorder="1" applyAlignment="1">
      <alignment horizontal="center" vertical="top" wrapText="1"/>
    </xf>
    <xf numFmtId="164" fontId="4" fillId="4" borderId="17" xfId="0" applyNumberFormat="1" applyFont="1" applyFill="1" applyBorder="1" applyAlignment="1">
      <alignment horizontal="center" vertical="top" wrapText="1"/>
    </xf>
    <xf numFmtId="164" fontId="1" fillId="3" borderId="13" xfId="0" applyNumberFormat="1" applyFont="1" applyFill="1" applyBorder="1" applyAlignment="1">
      <alignment horizontal="center" vertical="top" wrapText="1"/>
    </xf>
    <xf numFmtId="164" fontId="4" fillId="4" borderId="18" xfId="0" applyNumberFormat="1" applyFont="1" applyFill="1" applyBorder="1" applyAlignment="1">
      <alignment horizontal="center" vertical="top" wrapText="1"/>
    </xf>
    <xf numFmtId="3" fontId="1" fillId="0" borderId="0" xfId="0" applyNumberFormat="1" applyFont="1" applyFill="1" applyBorder="1" applyAlignment="1">
      <alignment vertical="top" wrapText="1"/>
    </xf>
    <xf numFmtId="3" fontId="1" fillId="4" borderId="35" xfId="0" applyNumberFormat="1" applyFont="1" applyFill="1" applyBorder="1" applyAlignment="1">
      <alignment vertical="top" wrapText="1"/>
    </xf>
    <xf numFmtId="3" fontId="4" fillId="4" borderId="35" xfId="0" applyNumberFormat="1" applyFont="1" applyFill="1" applyBorder="1" applyAlignment="1">
      <alignment horizontal="center" vertical="top" wrapText="1"/>
    </xf>
    <xf numFmtId="164" fontId="1" fillId="0" borderId="16" xfId="0" applyNumberFormat="1" applyFont="1" applyFill="1" applyBorder="1" applyAlignment="1">
      <alignment horizontal="center" vertical="top" wrapText="1"/>
    </xf>
    <xf numFmtId="164" fontId="1" fillId="0" borderId="13" xfId="0" applyNumberFormat="1" applyFont="1" applyFill="1" applyBorder="1" applyAlignment="1">
      <alignment horizontal="center" vertical="top" wrapText="1"/>
    </xf>
    <xf numFmtId="164" fontId="4" fillId="0" borderId="62" xfId="0" applyNumberFormat="1" applyFont="1" applyFill="1" applyBorder="1" applyAlignment="1">
      <alignment horizontal="center" vertical="top" wrapText="1"/>
    </xf>
    <xf numFmtId="164" fontId="4" fillId="4" borderId="53" xfId="0" applyNumberFormat="1" applyFont="1" applyFill="1" applyBorder="1" applyAlignment="1">
      <alignment horizontal="center" vertical="top"/>
    </xf>
    <xf numFmtId="164" fontId="1" fillId="3" borderId="16" xfId="0" applyNumberFormat="1" applyFont="1" applyFill="1" applyBorder="1" applyAlignment="1">
      <alignment horizontal="center" vertical="top" wrapText="1"/>
    </xf>
    <xf numFmtId="3" fontId="1" fillId="4" borderId="28" xfId="0" applyNumberFormat="1" applyFont="1" applyFill="1" applyBorder="1" applyAlignment="1">
      <alignment horizontal="center" vertical="top" wrapText="1"/>
    </xf>
    <xf numFmtId="3" fontId="4" fillId="4" borderId="0" xfId="0" applyNumberFormat="1" applyFont="1" applyFill="1" applyBorder="1" applyAlignment="1">
      <alignment vertical="top" wrapText="1"/>
    </xf>
    <xf numFmtId="3" fontId="4" fillId="4" borderId="57" xfId="0" applyNumberFormat="1" applyFont="1" applyFill="1" applyBorder="1" applyAlignment="1">
      <alignment vertical="top" wrapText="1"/>
    </xf>
    <xf numFmtId="164" fontId="2" fillId="4" borderId="17" xfId="0" applyNumberFormat="1" applyFont="1" applyFill="1" applyBorder="1" applyAlignment="1">
      <alignment horizontal="center" vertical="top"/>
    </xf>
    <xf numFmtId="164" fontId="4" fillId="0" borderId="63" xfId="0" applyNumberFormat="1" applyFont="1" applyFill="1" applyBorder="1" applyAlignment="1">
      <alignment horizontal="center" vertical="top" wrapText="1"/>
    </xf>
    <xf numFmtId="3" fontId="1" fillId="4" borderId="26" xfId="0" applyNumberFormat="1" applyFont="1" applyFill="1" applyBorder="1" applyAlignment="1">
      <alignment horizontal="center" vertical="top" wrapText="1"/>
    </xf>
    <xf numFmtId="3" fontId="6" fillId="0" borderId="18" xfId="0" applyNumberFormat="1" applyFont="1" applyFill="1" applyBorder="1" applyAlignment="1">
      <alignment horizontal="left" vertical="top" wrapText="1"/>
    </xf>
    <xf numFmtId="3" fontId="1" fillId="4" borderId="16" xfId="0" applyNumberFormat="1" applyFont="1" applyFill="1" applyBorder="1" applyAlignment="1">
      <alignment vertical="top" wrapText="1"/>
    </xf>
    <xf numFmtId="3" fontId="1" fillId="0" borderId="6" xfId="0" applyNumberFormat="1" applyFont="1" applyFill="1" applyBorder="1" applyAlignment="1">
      <alignment horizontal="center" vertical="top" wrapText="1"/>
    </xf>
    <xf numFmtId="3" fontId="4" fillId="0" borderId="10" xfId="0" applyNumberFormat="1" applyFont="1" applyFill="1" applyBorder="1" applyAlignment="1">
      <alignment horizontal="center" vertical="top" wrapText="1"/>
    </xf>
    <xf numFmtId="3" fontId="1" fillId="0" borderId="26" xfId="0" applyNumberFormat="1" applyFont="1" applyBorder="1" applyAlignment="1">
      <alignment horizontal="center" vertical="top"/>
    </xf>
    <xf numFmtId="3" fontId="1" fillId="4" borderId="31" xfId="0" applyNumberFormat="1" applyFont="1" applyFill="1" applyBorder="1" applyAlignment="1">
      <alignment horizontal="center" vertical="top"/>
    </xf>
    <xf numFmtId="3" fontId="1" fillId="0" borderId="8" xfId="0" applyNumberFormat="1" applyFont="1" applyFill="1" applyBorder="1" applyAlignment="1">
      <alignment horizontal="center" vertical="top" wrapText="1"/>
    </xf>
    <xf numFmtId="3" fontId="4" fillId="0" borderId="8" xfId="0" applyNumberFormat="1" applyFont="1" applyFill="1" applyBorder="1" applyAlignment="1">
      <alignment horizontal="center" vertical="top" wrapText="1"/>
    </xf>
    <xf numFmtId="3" fontId="1" fillId="0" borderId="10" xfId="0" applyNumberFormat="1" applyFont="1" applyFill="1" applyBorder="1" applyAlignment="1">
      <alignment horizontal="center" vertical="top" wrapText="1"/>
    </xf>
    <xf numFmtId="164" fontId="5" fillId="5" borderId="48" xfId="0" applyNumberFormat="1" applyFont="1" applyFill="1" applyBorder="1" applyAlignment="1">
      <alignment horizontal="center" vertical="top" wrapText="1"/>
    </xf>
    <xf numFmtId="3" fontId="1" fillId="0" borderId="64" xfId="0" applyNumberFormat="1" applyFont="1" applyBorder="1" applyAlignment="1">
      <alignment horizontal="center" vertical="top"/>
    </xf>
    <xf numFmtId="3" fontId="1" fillId="4" borderId="41" xfId="0" applyNumberFormat="1" applyFont="1" applyFill="1" applyBorder="1" applyAlignment="1">
      <alignment horizontal="center" vertical="top"/>
    </xf>
    <xf numFmtId="3" fontId="1" fillId="4" borderId="54" xfId="0" applyNumberFormat="1" applyFont="1" applyFill="1" applyBorder="1" applyAlignment="1">
      <alignment horizontal="center" vertical="top"/>
    </xf>
    <xf numFmtId="3" fontId="1" fillId="4" borderId="28" xfId="0" applyNumberFormat="1" applyFont="1" applyFill="1" applyBorder="1" applyAlignment="1">
      <alignment horizontal="center" vertical="top"/>
    </xf>
    <xf numFmtId="3" fontId="1" fillId="4" borderId="69" xfId="0" applyNumberFormat="1" applyFont="1" applyFill="1" applyBorder="1" applyAlignment="1">
      <alignment horizontal="center" vertical="top"/>
    </xf>
    <xf numFmtId="0" fontId="20" fillId="4" borderId="0" xfId="0" applyFont="1" applyFill="1" applyBorder="1" applyAlignment="1">
      <alignment vertical="top"/>
    </xf>
    <xf numFmtId="0" fontId="3" fillId="4" borderId="0" xfId="0" applyFont="1" applyFill="1"/>
    <xf numFmtId="0" fontId="21" fillId="4" borderId="0" xfId="0" applyFont="1" applyFill="1" applyBorder="1" applyAlignment="1">
      <alignment horizontal="left" vertical="top" wrapText="1"/>
    </xf>
    <xf numFmtId="0" fontId="3" fillId="4" borderId="0" xfId="0" applyFont="1" applyFill="1" applyAlignment="1">
      <alignment vertical="top"/>
    </xf>
    <xf numFmtId="165" fontId="8" fillId="4" borderId="0" xfId="0" applyNumberFormat="1" applyFont="1" applyFill="1" applyBorder="1" applyAlignment="1">
      <alignment horizontal="right" vertical="top"/>
    </xf>
    <xf numFmtId="1" fontId="8" fillId="4" borderId="0" xfId="0" applyNumberFormat="1" applyFont="1" applyFill="1" applyBorder="1" applyAlignment="1">
      <alignment horizontal="center" vertical="top"/>
    </xf>
    <xf numFmtId="0" fontId="8" fillId="4" borderId="0" xfId="0" applyFont="1" applyFill="1"/>
    <xf numFmtId="165" fontId="8" fillId="4" borderId="0" xfId="0" applyNumberFormat="1" applyFont="1" applyFill="1" applyBorder="1" applyAlignment="1">
      <alignment horizontal="right"/>
    </xf>
    <xf numFmtId="1" fontId="8" fillId="4" borderId="0" xfId="0" applyNumberFormat="1" applyFont="1" applyFill="1" applyBorder="1" applyAlignment="1">
      <alignment horizontal="center"/>
    </xf>
    <xf numFmtId="0" fontId="8" fillId="4" borderId="0" xfId="0" applyFont="1" applyFill="1" applyAlignment="1">
      <alignment horizontal="left" wrapText="1"/>
    </xf>
    <xf numFmtId="0" fontId="3" fillId="4" borderId="0" xfId="0" applyFont="1" applyFill="1" applyBorder="1" applyAlignment="1">
      <alignment horizontal="left"/>
    </xf>
    <xf numFmtId="0" fontId="3" fillId="4" borderId="0" xfId="0" applyFont="1" applyFill="1" applyAlignment="1">
      <alignment horizontal="right"/>
    </xf>
    <xf numFmtId="0" fontId="3" fillId="4" borderId="0" xfId="0" applyFont="1" applyFill="1" applyAlignment="1">
      <alignment horizontal="center"/>
    </xf>
    <xf numFmtId="0" fontId="4" fillId="4" borderId="0" xfId="0" applyFont="1" applyFill="1"/>
    <xf numFmtId="3" fontId="1" fillId="4" borderId="7" xfId="0" applyNumberFormat="1" applyFont="1" applyFill="1" applyBorder="1" applyAlignment="1">
      <alignment horizontal="center" vertical="top"/>
    </xf>
    <xf numFmtId="3" fontId="1" fillId="4" borderId="32" xfId="0" applyNumberFormat="1" applyFont="1" applyFill="1" applyBorder="1" applyAlignment="1">
      <alignment horizontal="center" vertical="top"/>
    </xf>
    <xf numFmtId="3" fontId="4" fillId="3" borderId="0" xfId="0" applyNumberFormat="1" applyFont="1" applyFill="1" applyBorder="1" applyAlignment="1">
      <alignment horizontal="center" vertical="top" wrapText="1"/>
    </xf>
    <xf numFmtId="3" fontId="5" fillId="3" borderId="0" xfId="0" applyNumberFormat="1" applyFont="1" applyFill="1" applyBorder="1" applyAlignment="1">
      <alignment horizontal="center" vertical="top" wrapText="1"/>
    </xf>
    <xf numFmtId="3" fontId="1" fillId="4" borderId="66" xfId="0" applyNumberFormat="1" applyFont="1" applyFill="1" applyBorder="1" applyAlignment="1">
      <alignment horizontal="left" vertical="top" wrapText="1"/>
    </xf>
    <xf numFmtId="49" fontId="2" fillId="7" borderId="41" xfId="0" applyNumberFormat="1" applyFont="1" applyFill="1" applyBorder="1" applyAlignment="1">
      <alignment horizontal="center" vertical="top"/>
    </xf>
    <xf numFmtId="0" fontId="4" fillId="0" borderId="0" xfId="0" applyFont="1" applyBorder="1" applyAlignment="1">
      <alignment vertical="top"/>
    </xf>
    <xf numFmtId="3" fontId="4" fillId="4" borderId="62" xfId="0" applyNumberFormat="1" applyFont="1" applyFill="1" applyBorder="1" applyAlignment="1">
      <alignment horizontal="center" vertical="top" wrapText="1"/>
    </xf>
    <xf numFmtId="3" fontId="4" fillId="4" borderId="63" xfId="0" applyNumberFormat="1" applyFont="1" applyFill="1" applyBorder="1" applyAlignment="1">
      <alignment horizontal="center" vertical="top" wrapText="1"/>
    </xf>
    <xf numFmtId="3" fontId="1" fillId="4" borderId="63" xfId="0" applyNumberFormat="1" applyFont="1" applyFill="1" applyBorder="1" applyAlignment="1">
      <alignment horizontal="center" vertical="top"/>
    </xf>
    <xf numFmtId="3" fontId="1" fillId="4" borderId="61" xfId="0" applyNumberFormat="1" applyFont="1" applyFill="1" applyBorder="1" applyAlignment="1">
      <alignment horizontal="center" vertical="top"/>
    </xf>
    <xf numFmtId="49" fontId="2" fillId="7" borderId="17" xfId="0" applyNumberFormat="1" applyFont="1" applyFill="1" applyBorder="1" applyAlignment="1">
      <alignment horizontal="center" vertical="top"/>
    </xf>
    <xf numFmtId="3" fontId="1" fillId="4" borderId="63" xfId="0" applyNumberFormat="1" applyFont="1" applyFill="1" applyBorder="1" applyAlignment="1">
      <alignment horizontal="center" vertical="top" wrapText="1"/>
    </xf>
    <xf numFmtId="3" fontId="2" fillId="0" borderId="0" xfId="0" applyNumberFormat="1" applyFont="1" applyFill="1" applyBorder="1" applyAlignment="1">
      <alignment horizontal="center" vertical="top" textRotation="90" wrapText="1"/>
    </xf>
    <xf numFmtId="164" fontId="2" fillId="5" borderId="48" xfId="0" applyNumberFormat="1" applyFont="1" applyFill="1" applyBorder="1" applyAlignment="1">
      <alignment horizontal="center" vertical="top" wrapText="1"/>
    </xf>
    <xf numFmtId="3" fontId="1" fillId="0" borderId="16" xfId="0" applyNumberFormat="1" applyFont="1" applyBorder="1" applyAlignment="1">
      <alignment horizontal="center" vertical="top"/>
    </xf>
    <xf numFmtId="3" fontId="4" fillId="4" borderId="65" xfId="0" applyNumberFormat="1" applyFont="1" applyFill="1" applyBorder="1" applyAlignment="1">
      <alignment horizontal="center" vertical="top" wrapText="1"/>
    </xf>
    <xf numFmtId="3" fontId="1" fillId="4" borderId="62" xfId="0" applyNumberFormat="1" applyFont="1" applyFill="1" applyBorder="1" applyAlignment="1">
      <alignment horizontal="center" vertical="top" wrapText="1"/>
    </xf>
    <xf numFmtId="3" fontId="1" fillId="4" borderId="17" xfId="0" applyNumberFormat="1" applyFont="1" applyFill="1" applyBorder="1" applyAlignment="1">
      <alignment horizontal="center" vertical="top"/>
    </xf>
    <xf numFmtId="3" fontId="1" fillId="0" borderId="17" xfId="0" applyNumberFormat="1" applyFont="1" applyFill="1" applyBorder="1" applyAlignment="1">
      <alignment horizontal="center" vertical="top" wrapText="1"/>
    </xf>
    <xf numFmtId="3" fontId="2" fillId="5" borderId="48" xfId="0" applyNumberFormat="1" applyFont="1" applyFill="1" applyBorder="1" applyAlignment="1">
      <alignment horizontal="center" vertical="top" wrapText="1"/>
    </xf>
    <xf numFmtId="3" fontId="1" fillId="0" borderId="68" xfId="0" applyNumberFormat="1" applyFont="1" applyBorder="1" applyAlignment="1">
      <alignment horizontal="center" vertical="top"/>
    </xf>
    <xf numFmtId="3" fontId="1" fillId="0" borderId="16" xfId="0" applyNumberFormat="1" applyFont="1" applyFill="1" applyBorder="1" applyAlignment="1">
      <alignment horizontal="center" vertical="top" wrapText="1"/>
    </xf>
    <xf numFmtId="3" fontId="1" fillId="4" borderId="47" xfId="0" applyNumberFormat="1" applyFont="1" applyFill="1" applyBorder="1" applyAlignment="1">
      <alignment horizontal="center" vertical="top" wrapText="1"/>
    </xf>
    <xf numFmtId="3" fontId="1" fillId="0" borderId="57" xfId="0" applyNumberFormat="1" applyFont="1" applyBorder="1" applyAlignment="1">
      <alignment horizontal="center" vertical="top"/>
    </xf>
    <xf numFmtId="3" fontId="4" fillId="4" borderId="66" xfId="0" applyNumberFormat="1" applyFont="1" applyFill="1" applyBorder="1" applyAlignment="1">
      <alignment vertical="top" wrapText="1"/>
    </xf>
    <xf numFmtId="49" fontId="4" fillId="4" borderId="18" xfId="0" applyNumberFormat="1" applyFont="1" applyFill="1" applyBorder="1" applyAlignment="1">
      <alignment horizontal="center" vertical="top"/>
    </xf>
    <xf numFmtId="0" fontId="4" fillId="4" borderId="41" xfId="0" applyFont="1" applyFill="1" applyBorder="1" applyAlignment="1">
      <alignment horizontal="center" vertical="top" wrapText="1"/>
    </xf>
    <xf numFmtId="3" fontId="1" fillId="0" borderId="0" xfId="0" applyNumberFormat="1" applyFont="1" applyFill="1" applyBorder="1" applyAlignment="1">
      <alignment horizontal="center" vertical="center" wrapText="1"/>
    </xf>
    <xf numFmtId="3" fontId="2" fillId="3" borderId="64" xfId="0" applyNumberFormat="1" applyFont="1" applyFill="1" applyBorder="1" applyAlignment="1">
      <alignment horizontal="center" vertical="top" wrapText="1"/>
    </xf>
    <xf numFmtId="3" fontId="1" fillId="4" borderId="15" xfId="0" applyNumberFormat="1" applyFont="1" applyFill="1" applyBorder="1" applyAlignment="1">
      <alignment horizontal="center" vertical="top" wrapText="1"/>
    </xf>
    <xf numFmtId="3" fontId="2" fillId="4" borderId="29" xfId="0" applyNumberFormat="1" applyFont="1" applyFill="1" applyBorder="1" applyAlignment="1">
      <alignment horizontal="left" vertical="top" wrapText="1"/>
    </xf>
    <xf numFmtId="164" fontId="1" fillId="4" borderId="16" xfId="0" applyNumberFormat="1" applyFont="1" applyFill="1" applyBorder="1" applyAlignment="1">
      <alignment horizontal="center" vertical="top" wrapText="1"/>
    </xf>
    <xf numFmtId="3" fontId="4" fillId="4" borderId="17" xfId="0" applyNumberFormat="1" applyFont="1" applyFill="1" applyBorder="1" applyAlignment="1">
      <alignment horizontal="center" vertical="top" wrapText="1"/>
    </xf>
    <xf numFmtId="49" fontId="2" fillId="3" borderId="19" xfId="0" applyNumberFormat="1" applyFont="1" applyFill="1" applyBorder="1" applyAlignment="1">
      <alignment vertical="top"/>
    </xf>
    <xf numFmtId="3" fontId="2" fillId="0" borderId="3" xfId="0" applyNumberFormat="1" applyFont="1" applyFill="1" applyBorder="1" applyAlignment="1">
      <alignment horizontal="center" vertical="top" textRotation="90" wrapText="1"/>
    </xf>
    <xf numFmtId="3" fontId="4" fillId="4" borderId="16" xfId="0" applyNumberFormat="1" applyFont="1" applyFill="1" applyBorder="1" applyAlignment="1">
      <alignment horizontal="center" vertical="top" wrapText="1"/>
    </xf>
    <xf numFmtId="0" fontId="1" fillId="0" borderId="0" xfId="0" applyFont="1" applyBorder="1" applyAlignment="1">
      <alignment vertical="top"/>
    </xf>
    <xf numFmtId="49" fontId="2" fillId="0" borderId="18" xfId="0" applyNumberFormat="1" applyFont="1" applyBorder="1" applyAlignment="1">
      <alignment horizontal="center" vertical="top" wrapText="1"/>
    </xf>
    <xf numFmtId="49" fontId="2" fillId="0" borderId="32" xfId="0" applyNumberFormat="1" applyFont="1" applyBorder="1" applyAlignment="1">
      <alignment horizontal="center" vertical="top" wrapText="1"/>
    </xf>
    <xf numFmtId="0" fontId="2" fillId="5" borderId="48" xfId="0" applyFont="1" applyFill="1" applyBorder="1" applyAlignment="1">
      <alignment horizontal="center" vertical="top" wrapText="1"/>
    </xf>
    <xf numFmtId="3" fontId="1" fillId="4" borderId="63" xfId="0" applyNumberFormat="1" applyFont="1" applyFill="1" applyBorder="1" applyAlignment="1">
      <alignment vertical="top" wrapText="1"/>
    </xf>
    <xf numFmtId="3" fontId="5" fillId="0" borderId="18" xfId="0" applyNumberFormat="1" applyFont="1" applyFill="1" applyBorder="1" applyAlignment="1">
      <alignment horizontal="center" vertical="top" textRotation="90" wrapText="1"/>
    </xf>
    <xf numFmtId="3" fontId="4" fillId="7" borderId="53" xfId="0" applyNumberFormat="1" applyFont="1" applyFill="1" applyBorder="1" applyAlignment="1">
      <alignment vertical="top" wrapText="1"/>
    </xf>
    <xf numFmtId="3" fontId="5" fillId="0" borderId="67" xfId="0" applyNumberFormat="1" applyFont="1" applyFill="1" applyBorder="1" applyAlignment="1">
      <alignment horizontal="center" vertical="top" wrapText="1"/>
    </xf>
    <xf numFmtId="3" fontId="4" fillId="4" borderId="62" xfId="0" applyNumberFormat="1" applyFont="1" applyFill="1" applyBorder="1" applyAlignment="1">
      <alignment vertical="top" wrapText="1"/>
    </xf>
    <xf numFmtId="3" fontId="4" fillId="4" borderId="38" xfId="0" applyNumberFormat="1" applyFont="1" applyFill="1" applyBorder="1" applyAlignment="1">
      <alignment horizontal="center" vertical="top" wrapText="1"/>
    </xf>
    <xf numFmtId="3" fontId="4" fillId="4" borderId="42" xfId="0" applyNumberFormat="1" applyFont="1" applyFill="1" applyBorder="1" applyAlignment="1">
      <alignment horizontal="center" vertical="top" wrapText="1"/>
    </xf>
    <xf numFmtId="3" fontId="4" fillId="4" borderId="15" xfId="0" applyNumberFormat="1" applyFont="1" applyFill="1" applyBorder="1" applyAlignment="1">
      <alignment horizontal="center" vertical="top" wrapText="1"/>
    </xf>
    <xf numFmtId="3" fontId="4" fillId="4" borderId="48" xfId="0" applyNumberFormat="1" applyFont="1" applyFill="1" applyBorder="1" applyAlignment="1">
      <alignment vertical="top" wrapText="1"/>
    </xf>
    <xf numFmtId="3" fontId="4" fillId="4" borderId="75" xfId="0" applyNumberFormat="1" applyFont="1" applyFill="1" applyBorder="1" applyAlignment="1">
      <alignment horizontal="left" vertical="top" wrapText="1"/>
    </xf>
    <xf numFmtId="3" fontId="4" fillId="4" borderId="65" xfId="0" applyNumberFormat="1" applyFont="1" applyFill="1" applyBorder="1" applyAlignment="1">
      <alignment vertical="top" wrapText="1"/>
    </xf>
    <xf numFmtId="3" fontId="4" fillId="4" borderId="37" xfId="0" applyNumberFormat="1" applyFont="1" applyFill="1" applyBorder="1" applyAlignment="1">
      <alignment horizontal="center" vertical="top"/>
    </xf>
    <xf numFmtId="3" fontId="4" fillId="4" borderId="37" xfId="0" applyNumberFormat="1" applyFont="1" applyFill="1" applyBorder="1" applyAlignment="1">
      <alignment horizontal="center" vertical="top" wrapText="1"/>
    </xf>
    <xf numFmtId="3" fontId="4" fillId="4" borderId="26" xfId="0" applyNumberFormat="1" applyFont="1" applyFill="1" applyBorder="1" applyAlignment="1">
      <alignment horizontal="center" vertical="top" wrapText="1"/>
    </xf>
    <xf numFmtId="3" fontId="4" fillId="4" borderId="49" xfId="0" applyNumberFormat="1" applyFont="1" applyFill="1" applyBorder="1" applyAlignment="1">
      <alignment horizontal="center" vertical="top" wrapText="1"/>
    </xf>
    <xf numFmtId="3" fontId="4" fillId="4" borderId="47" xfId="0" applyNumberFormat="1" applyFont="1" applyFill="1" applyBorder="1" applyAlignment="1">
      <alignment horizontal="center" vertical="top" wrapText="1"/>
    </xf>
    <xf numFmtId="3" fontId="4" fillId="4" borderId="75" xfId="0" applyNumberFormat="1" applyFont="1" applyFill="1" applyBorder="1" applyAlignment="1">
      <alignment vertical="top" wrapText="1"/>
    </xf>
    <xf numFmtId="3" fontId="3" fillId="0" borderId="0" xfId="0" applyNumberFormat="1" applyFont="1"/>
    <xf numFmtId="3" fontId="4" fillId="4" borderId="63" xfId="0" applyNumberFormat="1" applyFont="1" applyFill="1" applyBorder="1" applyAlignment="1">
      <alignment vertical="top" wrapText="1"/>
    </xf>
    <xf numFmtId="3" fontId="4" fillId="4" borderId="7" xfId="0" applyNumberFormat="1" applyFont="1" applyFill="1" applyBorder="1" applyAlignment="1">
      <alignment horizontal="center" vertical="top" wrapText="1"/>
    </xf>
    <xf numFmtId="3" fontId="4" fillId="7" borderId="52" xfId="0" applyNumberFormat="1" applyFont="1" applyFill="1" applyBorder="1" applyAlignment="1">
      <alignment horizontal="center" vertical="top" wrapText="1"/>
    </xf>
    <xf numFmtId="3" fontId="4" fillId="4" borderId="75" xfId="0" applyNumberFormat="1" applyFont="1" applyFill="1" applyBorder="1" applyAlignment="1">
      <alignment horizontal="center" vertical="top" wrapText="1"/>
    </xf>
    <xf numFmtId="3" fontId="2" fillId="4" borderId="70" xfId="0" applyNumberFormat="1" applyFont="1" applyFill="1" applyBorder="1" applyAlignment="1">
      <alignment horizontal="center" vertical="top" textRotation="90" wrapText="1"/>
    </xf>
    <xf numFmtId="3" fontId="1" fillId="4" borderId="65" xfId="0" applyNumberFormat="1" applyFont="1" applyFill="1" applyBorder="1" applyAlignment="1">
      <alignment vertical="top" wrapText="1"/>
    </xf>
    <xf numFmtId="3" fontId="2" fillId="4" borderId="67" xfId="0" applyNumberFormat="1" applyFont="1" applyFill="1" applyBorder="1" applyAlignment="1">
      <alignment horizontal="center" vertical="top" textRotation="90" wrapText="1"/>
    </xf>
    <xf numFmtId="3" fontId="1" fillId="4" borderId="65" xfId="0" applyNumberFormat="1" applyFont="1" applyFill="1" applyBorder="1" applyAlignment="1">
      <alignment horizontal="center" vertical="top" wrapText="1"/>
    </xf>
    <xf numFmtId="3" fontId="1" fillId="4" borderId="65" xfId="0" applyNumberFormat="1" applyFont="1" applyFill="1" applyBorder="1" applyAlignment="1">
      <alignment horizontal="center" vertical="top"/>
    </xf>
    <xf numFmtId="3" fontId="1" fillId="4" borderId="62" xfId="0" applyNumberFormat="1" applyFont="1" applyFill="1" applyBorder="1" applyAlignment="1">
      <alignment vertical="top" wrapText="1"/>
    </xf>
    <xf numFmtId="164" fontId="1" fillId="4" borderId="17" xfId="0" applyNumberFormat="1" applyFont="1" applyFill="1" applyBorder="1" applyAlignment="1">
      <alignment horizontal="center" vertical="top"/>
    </xf>
    <xf numFmtId="3" fontId="1" fillId="4" borderId="34" xfId="0" applyNumberFormat="1" applyFont="1" applyFill="1" applyBorder="1" applyAlignment="1">
      <alignment horizontal="center" vertical="top" wrapText="1"/>
    </xf>
    <xf numFmtId="3" fontId="1" fillId="4" borderId="48" xfId="0" applyNumberFormat="1" applyFont="1" applyFill="1" applyBorder="1" applyAlignment="1">
      <alignment vertical="top" wrapText="1"/>
    </xf>
    <xf numFmtId="3" fontId="1" fillId="4" borderId="51" xfId="0" applyNumberFormat="1" applyFont="1" applyFill="1" applyBorder="1" applyAlignment="1">
      <alignment horizontal="center" vertical="top" wrapText="1"/>
    </xf>
    <xf numFmtId="3" fontId="1" fillId="4" borderId="19" xfId="0" applyNumberFormat="1" applyFont="1" applyFill="1" applyBorder="1" applyAlignment="1">
      <alignment vertical="top" wrapText="1"/>
    </xf>
    <xf numFmtId="3" fontId="1" fillId="4" borderId="57" xfId="0" applyNumberFormat="1" applyFont="1" applyFill="1" applyBorder="1" applyAlignment="1">
      <alignment horizontal="center" vertical="top" wrapText="1"/>
    </xf>
    <xf numFmtId="3" fontId="1" fillId="4" borderId="68" xfId="0" applyNumberFormat="1" applyFont="1" applyFill="1" applyBorder="1" applyAlignment="1">
      <alignment horizontal="center" vertical="top" wrapText="1"/>
    </xf>
    <xf numFmtId="3" fontId="1" fillId="4" borderId="57" xfId="0" applyNumberFormat="1" applyFont="1" applyFill="1" applyBorder="1" applyAlignment="1">
      <alignment vertical="top" wrapText="1"/>
    </xf>
    <xf numFmtId="3" fontId="2" fillId="0" borderId="32" xfId="0" applyNumberFormat="1" applyFont="1" applyFill="1" applyBorder="1" applyAlignment="1">
      <alignment horizontal="center" vertical="top" textRotation="180" wrapText="1"/>
    </xf>
    <xf numFmtId="3" fontId="2" fillId="0" borderId="18" xfId="0" applyNumberFormat="1" applyFont="1" applyFill="1" applyBorder="1" applyAlignment="1">
      <alignment horizontal="center" vertical="top" textRotation="180" wrapText="1"/>
    </xf>
    <xf numFmtId="3" fontId="1" fillId="4" borderId="65" xfId="0" applyNumberFormat="1" applyFont="1" applyFill="1" applyBorder="1" applyAlignment="1">
      <alignment horizontal="left" vertical="top" wrapText="1"/>
    </xf>
    <xf numFmtId="167" fontId="4" fillId="9" borderId="78" xfId="3" applyNumberFormat="1" applyFont="1" applyFill="1" applyBorder="1" applyAlignment="1">
      <alignment horizontal="center" vertical="top" wrapText="1"/>
    </xf>
    <xf numFmtId="167" fontId="4" fillId="9" borderId="79" xfId="3" applyNumberFormat="1" applyFont="1" applyFill="1" applyBorder="1" applyAlignment="1">
      <alignment horizontal="center" vertical="top" wrapText="1"/>
    </xf>
    <xf numFmtId="3" fontId="1" fillId="4" borderId="37" xfId="0" applyNumberFormat="1" applyFont="1" applyFill="1" applyBorder="1" applyAlignment="1">
      <alignment horizontal="center" vertical="top"/>
    </xf>
    <xf numFmtId="3" fontId="2" fillId="4" borderId="60" xfId="0" applyNumberFormat="1" applyFont="1" applyFill="1" applyBorder="1" applyAlignment="1">
      <alignment horizontal="left" vertical="top" wrapText="1"/>
    </xf>
    <xf numFmtId="3" fontId="1" fillId="4" borderId="38" xfId="0" applyNumberFormat="1" applyFont="1" applyFill="1" applyBorder="1" applyAlignment="1">
      <alignment horizontal="center" vertical="top" wrapText="1"/>
    </xf>
    <xf numFmtId="3" fontId="5" fillId="4" borderId="18" xfId="0" applyNumberFormat="1" applyFont="1" applyFill="1" applyBorder="1" applyAlignment="1">
      <alignment horizontal="center" vertical="top" wrapText="1"/>
    </xf>
    <xf numFmtId="3" fontId="4" fillId="4" borderId="16" xfId="0" applyNumberFormat="1" applyFont="1" applyFill="1" applyBorder="1" applyAlignment="1">
      <alignment vertical="top" wrapText="1"/>
    </xf>
    <xf numFmtId="164" fontId="4" fillId="4" borderId="32" xfId="0" applyNumberFormat="1" applyFont="1" applyFill="1" applyBorder="1" applyAlignment="1">
      <alignment horizontal="center" vertical="top"/>
    </xf>
    <xf numFmtId="3" fontId="2" fillId="3" borderId="18" xfId="0" applyNumberFormat="1" applyFont="1" applyFill="1" applyBorder="1" applyAlignment="1">
      <alignment horizontal="center" vertical="top" wrapText="1"/>
    </xf>
    <xf numFmtId="3" fontId="1" fillId="4" borderId="6" xfId="0" applyNumberFormat="1" applyFont="1" applyFill="1" applyBorder="1" applyAlignment="1">
      <alignment vertical="top" wrapText="1"/>
    </xf>
    <xf numFmtId="3" fontId="1" fillId="4" borderId="5" xfId="0" applyNumberFormat="1" applyFont="1" applyFill="1" applyBorder="1" applyAlignment="1">
      <alignment vertical="top" wrapText="1"/>
    </xf>
    <xf numFmtId="3" fontId="1" fillId="4" borderId="40" xfId="0" applyNumberFormat="1" applyFont="1" applyFill="1" applyBorder="1" applyAlignment="1">
      <alignment horizontal="center" vertical="top" wrapText="1"/>
    </xf>
    <xf numFmtId="49" fontId="2" fillId="4" borderId="32" xfId="0" applyNumberFormat="1" applyFont="1" applyFill="1" applyBorder="1" applyAlignment="1">
      <alignment horizontal="center" vertical="top"/>
    </xf>
    <xf numFmtId="3" fontId="2" fillId="4" borderId="0" xfId="0" applyNumberFormat="1" applyFont="1" applyFill="1" applyBorder="1" applyAlignment="1">
      <alignment horizontal="center" vertical="top" textRotation="90" wrapText="1"/>
    </xf>
    <xf numFmtId="3" fontId="2" fillId="3" borderId="32" xfId="0" applyNumberFormat="1" applyFont="1" applyFill="1" applyBorder="1" applyAlignment="1">
      <alignment horizontal="center" vertical="top" wrapText="1"/>
    </xf>
    <xf numFmtId="3" fontId="1" fillId="4" borderId="2" xfId="0" applyNumberFormat="1" applyFont="1" applyFill="1" applyBorder="1" applyAlignment="1">
      <alignment vertical="top" wrapText="1"/>
    </xf>
    <xf numFmtId="3" fontId="1" fillId="4" borderId="47" xfId="0" applyNumberFormat="1" applyFont="1" applyFill="1" applyBorder="1" applyAlignment="1">
      <alignment horizontal="center" vertical="top"/>
    </xf>
    <xf numFmtId="3" fontId="2" fillId="4" borderId="18" xfId="0" applyNumberFormat="1" applyFont="1" applyFill="1" applyBorder="1" applyAlignment="1">
      <alignment horizontal="center" vertical="top" textRotation="90" wrapText="1"/>
    </xf>
    <xf numFmtId="3" fontId="1" fillId="3" borderId="60" xfId="0" applyNumberFormat="1" applyFont="1" applyFill="1" applyBorder="1" applyAlignment="1">
      <alignment vertical="top" wrapText="1"/>
    </xf>
    <xf numFmtId="3" fontId="2" fillId="4" borderId="18" xfId="0" applyNumberFormat="1" applyFont="1" applyFill="1" applyBorder="1" applyAlignment="1">
      <alignment horizontal="center" vertical="center" textRotation="90" wrapText="1"/>
    </xf>
    <xf numFmtId="3" fontId="1" fillId="4" borderId="38" xfId="0" applyNumberFormat="1" applyFont="1" applyFill="1" applyBorder="1" applyAlignment="1">
      <alignment horizontal="center" vertical="top"/>
    </xf>
    <xf numFmtId="3" fontId="2" fillId="0" borderId="4" xfId="0" applyNumberFormat="1" applyFont="1" applyFill="1" applyBorder="1" applyAlignment="1">
      <alignment vertical="top" wrapText="1"/>
    </xf>
    <xf numFmtId="3" fontId="5" fillId="5" borderId="48" xfId="0" applyNumberFormat="1" applyFont="1" applyFill="1" applyBorder="1" applyAlignment="1">
      <alignment horizontal="center" vertical="top" wrapText="1"/>
    </xf>
    <xf numFmtId="3" fontId="4" fillId="0" borderId="26" xfId="0" applyNumberFormat="1" applyFont="1" applyFill="1" applyBorder="1" applyAlignment="1">
      <alignment horizontal="center" vertical="top" wrapText="1"/>
    </xf>
    <xf numFmtId="3" fontId="2" fillId="0" borderId="0" xfId="0" applyNumberFormat="1" applyFont="1" applyFill="1" applyBorder="1" applyAlignment="1">
      <alignment horizontal="center" vertical="top" textRotation="180" wrapText="1"/>
    </xf>
    <xf numFmtId="3" fontId="1" fillId="4" borderId="42" xfId="0" applyNumberFormat="1" applyFont="1" applyFill="1" applyBorder="1" applyAlignment="1">
      <alignment horizontal="center" vertical="top"/>
    </xf>
    <xf numFmtId="0" fontId="1" fillId="4" borderId="65" xfId="0" applyFont="1" applyFill="1" applyBorder="1" applyAlignment="1">
      <alignment vertical="top" wrapText="1"/>
    </xf>
    <xf numFmtId="0" fontId="1" fillId="4" borderId="62" xfId="0" applyFont="1" applyFill="1" applyBorder="1" applyAlignment="1">
      <alignment vertical="top" wrapText="1"/>
    </xf>
    <xf numFmtId="3" fontId="2" fillId="0" borderId="44" xfId="0" applyNumberFormat="1" applyFont="1" applyFill="1" applyBorder="1" applyAlignment="1">
      <alignment horizontal="center" vertical="top" textRotation="180" wrapText="1"/>
    </xf>
    <xf numFmtId="164" fontId="4" fillId="3" borderId="0" xfId="0" applyNumberFormat="1" applyFont="1" applyFill="1" applyBorder="1" applyAlignment="1">
      <alignment horizontal="center" vertical="top" wrapText="1"/>
    </xf>
    <xf numFmtId="3" fontId="1" fillId="4" borderId="42" xfId="0" applyNumberFormat="1" applyFont="1" applyFill="1" applyBorder="1" applyAlignment="1">
      <alignment horizontal="center" vertical="top" wrapText="1"/>
    </xf>
    <xf numFmtId="3" fontId="1" fillId="4" borderId="75" xfId="0" applyNumberFormat="1" applyFont="1" applyFill="1" applyBorder="1" applyAlignment="1">
      <alignment vertical="top" wrapText="1"/>
    </xf>
    <xf numFmtId="3" fontId="1" fillId="3" borderId="60" xfId="0" applyNumberFormat="1" applyFont="1" applyFill="1" applyBorder="1" applyAlignment="1">
      <alignment horizontal="left" vertical="top" wrapText="1"/>
    </xf>
    <xf numFmtId="0" fontId="1" fillId="4" borderId="18" xfId="0" applyFont="1" applyFill="1" applyBorder="1" applyAlignment="1">
      <alignment horizontal="left" vertical="top" wrapText="1"/>
    </xf>
    <xf numFmtId="3" fontId="1" fillId="4" borderId="16" xfId="0" applyNumberFormat="1" applyFont="1" applyFill="1" applyBorder="1" applyAlignment="1">
      <alignment horizontal="left" vertical="top" wrapText="1"/>
    </xf>
    <xf numFmtId="3" fontId="1" fillId="4" borderId="57" xfId="0" applyNumberFormat="1" applyFont="1" applyFill="1" applyBorder="1" applyAlignment="1">
      <alignment horizontal="left" vertical="top" wrapText="1"/>
    </xf>
    <xf numFmtId="3" fontId="1" fillId="4" borderId="13" xfId="0" applyNumberFormat="1" applyFont="1" applyFill="1" applyBorder="1" applyAlignment="1">
      <alignment horizontal="left" vertical="top" wrapText="1"/>
    </xf>
    <xf numFmtId="3" fontId="1" fillId="4" borderId="19" xfId="0" applyNumberFormat="1" applyFont="1" applyFill="1" applyBorder="1" applyAlignment="1">
      <alignment horizontal="left" vertical="top" wrapText="1"/>
    </xf>
    <xf numFmtId="3" fontId="2" fillId="0" borderId="13" xfId="0" applyNumberFormat="1" applyFont="1" applyFill="1" applyBorder="1" applyAlignment="1">
      <alignment horizontal="center" vertical="top" textRotation="90" wrapText="1"/>
    </xf>
    <xf numFmtId="3" fontId="2" fillId="0" borderId="18" xfId="0" applyNumberFormat="1" applyFont="1" applyFill="1" applyBorder="1" applyAlignment="1">
      <alignment horizontal="center" vertical="top" textRotation="90" wrapText="1"/>
    </xf>
    <xf numFmtId="3" fontId="5" fillId="4" borderId="18" xfId="0" applyNumberFormat="1" applyFont="1" applyFill="1" applyBorder="1" applyAlignment="1">
      <alignment horizontal="left" vertical="top" wrapText="1"/>
    </xf>
    <xf numFmtId="49" fontId="2" fillId="2" borderId="18" xfId="0" applyNumberFormat="1" applyFont="1" applyFill="1" applyBorder="1" applyAlignment="1">
      <alignment horizontal="center" vertical="top"/>
    </xf>
    <xf numFmtId="3" fontId="1" fillId="4" borderId="10" xfId="0" applyNumberFormat="1" applyFont="1" applyFill="1" applyBorder="1" applyAlignment="1">
      <alignment horizontal="left" vertical="top" wrapText="1"/>
    </xf>
    <xf numFmtId="3" fontId="1" fillId="4" borderId="8" xfId="0" applyNumberFormat="1" applyFont="1" applyFill="1" applyBorder="1" applyAlignment="1">
      <alignment horizontal="left" vertical="top" wrapText="1"/>
    </xf>
    <xf numFmtId="3" fontId="2" fillId="0" borderId="19" xfId="0" applyNumberFormat="1" applyFont="1" applyFill="1" applyBorder="1" applyAlignment="1">
      <alignment horizontal="center" vertical="top" textRotation="90" wrapText="1"/>
    </xf>
    <xf numFmtId="3" fontId="1" fillId="4" borderId="43" xfId="0" applyNumberFormat="1" applyFont="1" applyFill="1" applyBorder="1" applyAlignment="1">
      <alignment horizontal="left" vertical="top" wrapText="1"/>
    </xf>
    <xf numFmtId="3" fontId="1" fillId="4" borderId="60" xfId="0" applyNumberFormat="1" applyFont="1" applyFill="1" applyBorder="1" applyAlignment="1">
      <alignment horizontal="left" vertical="top" wrapText="1"/>
    </xf>
    <xf numFmtId="3" fontId="1" fillId="0" borderId="0" xfId="0" applyNumberFormat="1" applyFont="1" applyFill="1" applyBorder="1" applyAlignment="1">
      <alignment horizontal="center" vertical="top" wrapText="1"/>
    </xf>
    <xf numFmtId="3" fontId="2" fillId="4" borderId="13" xfId="0" applyNumberFormat="1" applyFont="1" applyFill="1" applyBorder="1" applyAlignment="1">
      <alignment horizontal="left" vertical="top" wrapText="1"/>
    </xf>
    <xf numFmtId="3" fontId="2" fillId="4" borderId="18" xfId="0" applyNumberFormat="1" applyFont="1" applyFill="1" applyBorder="1" applyAlignment="1">
      <alignment horizontal="left" vertical="top" wrapText="1"/>
    </xf>
    <xf numFmtId="3" fontId="4" fillId="4" borderId="60" xfId="0" applyNumberFormat="1" applyFont="1" applyFill="1" applyBorder="1" applyAlignment="1">
      <alignment horizontal="left" vertical="top" wrapText="1"/>
    </xf>
    <xf numFmtId="3" fontId="4" fillId="4" borderId="18" xfId="0" applyNumberFormat="1" applyFont="1" applyFill="1" applyBorder="1" applyAlignment="1">
      <alignment horizontal="left" vertical="top" wrapText="1"/>
    </xf>
    <xf numFmtId="3" fontId="4" fillId="4" borderId="43" xfId="0" applyNumberFormat="1" applyFont="1" applyFill="1" applyBorder="1" applyAlignment="1">
      <alignment horizontal="left" vertical="top" wrapText="1"/>
    </xf>
    <xf numFmtId="3" fontId="2" fillId="0" borderId="71" xfId="0" applyNumberFormat="1" applyFont="1" applyFill="1" applyBorder="1" applyAlignment="1">
      <alignment horizontal="center" vertical="top" textRotation="90" wrapText="1"/>
    </xf>
    <xf numFmtId="3" fontId="2" fillId="0" borderId="76" xfId="0" applyNumberFormat="1" applyFont="1" applyFill="1" applyBorder="1" applyAlignment="1">
      <alignment horizontal="center" vertical="top" textRotation="90" wrapText="1"/>
    </xf>
    <xf numFmtId="3" fontId="1" fillId="4" borderId="62" xfId="0" applyNumberFormat="1" applyFont="1" applyFill="1" applyBorder="1" applyAlignment="1">
      <alignment horizontal="left" vertical="top" wrapText="1"/>
    </xf>
    <xf numFmtId="49" fontId="2" fillId="3" borderId="32" xfId="0" applyNumberFormat="1" applyFont="1" applyFill="1" applyBorder="1" applyAlignment="1">
      <alignment horizontal="center" vertical="top"/>
    </xf>
    <xf numFmtId="3" fontId="2" fillId="0" borderId="67" xfId="0" applyNumberFormat="1" applyFont="1" applyFill="1" applyBorder="1" applyAlignment="1">
      <alignment horizontal="center" vertical="top" textRotation="90" wrapText="1"/>
    </xf>
    <xf numFmtId="3" fontId="4" fillId="4" borderId="0" xfId="0" applyNumberFormat="1" applyFont="1" applyFill="1" applyBorder="1" applyAlignment="1">
      <alignment horizontal="center" vertical="top" wrapText="1"/>
    </xf>
    <xf numFmtId="3" fontId="5" fillId="0" borderId="67" xfId="0" applyNumberFormat="1" applyFont="1" applyFill="1" applyBorder="1" applyAlignment="1">
      <alignment horizontal="center" vertical="top" textRotation="90" wrapText="1"/>
    </xf>
    <xf numFmtId="3" fontId="4" fillId="4" borderId="62" xfId="0" applyNumberFormat="1" applyFont="1" applyFill="1" applyBorder="1" applyAlignment="1">
      <alignment horizontal="left" vertical="top" wrapText="1"/>
    </xf>
    <xf numFmtId="3" fontId="4" fillId="4" borderId="17" xfId="0" applyNumberFormat="1" applyFont="1" applyFill="1" applyBorder="1" applyAlignment="1">
      <alignment horizontal="left" vertical="top" wrapText="1"/>
    </xf>
    <xf numFmtId="3" fontId="4" fillId="4" borderId="17" xfId="0" applyNumberFormat="1" applyFont="1" applyFill="1" applyBorder="1" applyAlignment="1">
      <alignment horizontal="center" vertical="top"/>
    </xf>
    <xf numFmtId="3" fontId="4" fillId="4" borderId="32" xfId="0" applyNumberFormat="1" applyFont="1" applyFill="1" applyBorder="1" applyAlignment="1">
      <alignment horizontal="center" vertical="top"/>
    </xf>
    <xf numFmtId="3" fontId="5" fillId="0" borderId="70" xfId="0" applyNumberFormat="1" applyFont="1" applyFill="1" applyBorder="1" applyAlignment="1">
      <alignment horizontal="center" vertical="top" wrapText="1"/>
    </xf>
    <xf numFmtId="3" fontId="5" fillId="0" borderId="67" xfId="0" applyNumberFormat="1" applyFont="1" applyFill="1" applyBorder="1" applyAlignment="1">
      <alignment horizontal="center" vertical="top" textRotation="180" wrapText="1"/>
    </xf>
    <xf numFmtId="3" fontId="4" fillId="0" borderId="44" xfId="0" applyNumberFormat="1" applyFont="1" applyBorder="1" applyAlignment="1">
      <alignment horizontal="right" wrapText="1"/>
    </xf>
    <xf numFmtId="3" fontId="4" fillId="0" borderId="68" xfId="0" applyNumberFormat="1" applyFont="1" applyBorder="1" applyAlignment="1">
      <alignment horizontal="center" vertical="center" textRotation="90" wrapText="1"/>
    </xf>
    <xf numFmtId="3" fontId="5" fillId="4" borderId="43" xfId="0" applyNumberFormat="1" applyFont="1" applyFill="1" applyBorder="1" applyAlignment="1">
      <alignment horizontal="left" vertical="top" wrapText="1"/>
    </xf>
    <xf numFmtId="3" fontId="4" fillId="0" borderId="18" xfId="0" applyNumberFormat="1" applyFont="1" applyFill="1" applyBorder="1" applyAlignment="1">
      <alignment horizontal="center" vertical="top" wrapText="1"/>
    </xf>
    <xf numFmtId="3" fontId="5" fillId="4" borderId="60" xfId="0" applyNumberFormat="1" applyFont="1" applyFill="1" applyBorder="1" applyAlignment="1">
      <alignment horizontal="left" vertical="top" wrapText="1"/>
    </xf>
    <xf numFmtId="3" fontId="1" fillId="4" borderId="63" xfId="0" applyNumberFormat="1" applyFont="1" applyFill="1" applyBorder="1" applyAlignment="1">
      <alignment horizontal="left" vertical="top" wrapText="1"/>
    </xf>
    <xf numFmtId="3" fontId="4" fillId="4" borderId="63" xfId="0" applyNumberFormat="1" applyFont="1" applyFill="1" applyBorder="1" applyAlignment="1">
      <alignment horizontal="left" vertical="top" wrapText="1"/>
    </xf>
    <xf numFmtId="3" fontId="4" fillId="4" borderId="65" xfId="0" applyNumberFormat="1" applyFont="1" applyFill="1" applyBorder="1" applyAlignment="1">
      <alignment horizontal="left" vertical="top" wrapText="1"/>
    </xf>
    <xf numFmtId="3" fontId="1" fillId="4" borderId="6" xfId="0" applyNumberFormat="1" applyFont="1" applyFill="1" applyBorder="1" applyAlignment="1">
      <alignment horizontal="left" vertical="top" wrapText="1"/>
    </xf>
    <xf numFmtId="3" fontId="1" fillId="4" borderId="17" xfId="0" applyNumberFormat="1" applyFont="1" applyFill="1" applyBorder="1" applyAlignment="1">
      <alignment horizontal="left" vertical="top" wrapText="1"/>
    </xf>
    <xf numFmtId="3" fontId="2" fillId="0" borderId="64" xfId="0" applyNumberFormat="1" applyFont="1" applyFill="1" applyBorder="1" applyAlignment="1">
      <alignment horizontal="center" vertical="top" textRotation="90" wrapText="1"/>
    </xf>
    <xf numFmtId="3" fontId="4" fillId="4" borderId="16" xfId="0" applyNumberFormat="1" applyFont="1" applyFill="1" applyBorder="1" applyAlignment="1">
      <alignment horizontal="left" vertical="top" wrapText="1"/>
    </xf>
    <xf numFmtId="3" fontId="4" fillId="4" borderId="57" xfId="0" applyNumberFormat="1" applyFont="1" applyFill="1" applyBorder="1" applyAlignment="1">
      <alignment horizontal="left" vertical="top" wrapText="1"/>
    </xf>
    <xf numFmtId="3" fontId="1" fillId="3" borderId="43" xfId="0" applyNumberFormat="1" applyFont="1" applyFill="1" applyBorder="1" applyAlignment="1">
      <alignment horizontal="left" vertical="top" wrapText="1"/>
    </xf>
    <xf numFmtId="3" fontId="1" fillId="0" borderId="54" xfId="0" applyNumberFormat="1" applyFont="1" applyBorder="1" applyAlignment="1">
      <alignment horizontal="center" vertical="top" wrapText="1"/>
    </xf>
    <xf numFmtId="3" fontId="1" fillId="0" borderId="0" xfId="0" applyNumberFormat="1" applyFont="1" applyBorder="1" applyAlignment="1">
      <alignment horizontal="left" vertical="top" wrapText="1"/>
    </xf>
    <xf numFmtId="3" fontId="8" fillId="0" borderId="0" xfId="0" applyNumberFormat="1" applyFont="1" applyBorder="1" applyAlignment="1">
      <alignment vertical="top" wrapText="1"/>
    </xf>
    <xf numFmtId="49" fontId="1" fillId="0" borderId="0" xfId="0" applyNumberFormat="1" applyFont="1" applyAlignment="1">
      <alignment vertical="top" wrapText="1"/>
    </xf>
    <xf numFmtId="49" fontId="4" fillId="0" borderId="0" xfId="0" applyNumberFormat="1" applyFont="1" applyAlignment="1">
      <alignment vertical="top" wrapText="1"/>
    </xf>
    <xf numFmtId="49" fontId="4" fillId="0" borderId="0" xfId="0" applyNumberFormat="1" applyFont="1" applyAlignment="1">
      <alignment horizontal="center" vertical="top" wrapText="1"/>
    </xf>
    <xf numFmtId="3" fontId="4" fillId="0" borderId="44" xfId="0" applyNumberFormat="1" applyFont="1" applyBorder="1" applyAlignment="1">
      <alignment horizontal="right" vertical="top" wrapText="1"/>
    </xf>
    <xf numFmtId="3" fontId="4" fillId="0" borderId="44" xfId="0" applyNumberFormat="1" applyFont="1" applyBorder="1" applyAlignment="1">
      <alignment horizontal="center" wrapText="1"/>
    </xf>
    <xf numFmtId="3" fontId="1" fillId="0" borderId="0" xfId="0" applyNumberFormat="1" applyFont="1" applyBorder="1" applyAlignment="1">
      <alignment vertical="top" wrapText="1"/>
    </xf>
    <xf numFmtId="3" fontId="4" fillId="0" borderId="57" xfId="0" applyNumberFormat="1" applyFont="1" applyBorder="1" applyAlignment="1">
      <alignment horizontal="center" vertical="center" textRotation="90" wrapText="1"/>
    </xf>
    <xf numFmtId="164" fontId="4" fillId="0" borderId="0" xfId="0" applyNumberFormat="1" applyFont="1" applyBorder="1" applyAlignment="1">
      <alignment vertical="top" wrapText="1"/>
    </xf>
    <xf numFmtId="3" fontId="4" fillId="0" borderId="0" xfId="0" applyNumberFormat="1" applyFont="1" applyBorder="1" applyAlignment="1">
      <alignment vertical="top" wrapText="1"/>
    </xf>
    <xf numFmtId="3" fontId="4" fillId="7" borderId="10" xfId="0" applyNumberFormat="1" applyFont="1" applyFill="1" applyBorder="1" applyAlignment="1">
      <alignment vertical="top" wrapText="1"/>
    </xf>
    <xf numFmtId="3" fontId="4" fillId="7" borderId="77" xfId="0" applyNumberFormat="1" applyFont="1" applyFill="1" applyBorder="1" applyAlignment="1">
      <alignment horizontal="center" vertical="top" wrapText="1"/>
    </xf>
    <xf numFmtId="3" fontId="4" fillId="7" borderId="72" xfId="0" applyNumberFormat="1" applyFont="1" applyFill="1" applyBorder="1" applyAlignment="1">
      <alignment horizontal="center" vertical="top" wrapText="1"/>
    </xf>
    <xf numFmtId="3" fontId="4" fillId="7" borderId="36" xfId="0" applyNumberFormat="1" applyFont="1" applyFill="1" applyBorder="1" applyAlignment="1">
      <alignment vertical="top" wrapText="1"/>
    </xf>
    <xf numFmtId="3" fontId="4" fillId="7" borderId="30" xfId="0" applyNumberFormat="1" applyFont="1" applyFill="1" applyBorder="1" applyAlignment="1">
      <alignment vertical="top" wrapText="1"/>
    </xf>
    <xf numFmtId="3" fontId="4" fillId="7" borderId="2" xfId="0" applyNumberFormat="1" applyFont="1" applyFill="1" applyBorder="1" applyAlignment="1">
      <alignment vertical="top" wrapText="1"/>
    </xf>
    <xf numFmtId="3" fontId="4" fillId="7" borderId="33" xfId="0" applyNumberFormat="1" applyFont="1" applyFill="1" applyBorder="1" applyAlignment="1">
      <alignment horizontal="center" vertical="top" wrapText="1"/>
    </xf>
    <xf numFmtId="3" fontId="4" fillId="7" borderId="37" xfId="0" applyNumberFormat="1" applyFont="1" applyFill="1" applyBorder="1" applyAlignment="1">
      <alignment vertical="top" wrapText="1"/>
    </xf>
    <xf numFmtId="3" fontId="4" fillId="7" borderId="56" xfId="0" applyNumberFormat="1" applyFont="1" applyFill="1" applyBorder="1" applyAlignment="1">
      <alignment vertical="top" wrapText="1"/>
    </xf>
    <xf numFmtId="3" fontId="4" fillId="7" borderId="82" xfId="0" applyNumberFormat="1" applyFont="1" applyFill="1" applyBorder="1" applyAlignment="1">
      <alignment horizontal="center" vertical="top" wrapText="1"/>
    </xf>
    <xf numFmtId="3" fontId="4" fillId="7" borderId="47" xfId="0" applyNumberFormat="1" applyFont="1" applyFill="1" applyBorder="1" applyAlignment="1">
      <alignment horizontal="center" vertical="top" wrapText="1"/>
    </xf>
    <xf numFmtId="3" fontId="4" fillId="7" borderId="49" xfId="0" applyNumberFormat="1" applyFont="1" applyFill="1" applyBorder="1" applyAlignment="1">
      <alignment vertical="top" wrapText="1"/>
    </xf>
    <xf numFmtId="3" fontId="4" fillId="7" borderId="45" xfId="0" applyNumberFormat="1" applyFont="1" applyFill="1" applyBorder="1" applyAlignment="1">
      <alignment vertical="top" wrapText="1"/>
    </xf>
    <xf numFmtId="49" fontId="5" fillId="7" borderId="17" xfId="0" applyNumberFormat="1" applyFont="1" applyFill="1" applyBorder="1" applyAlignment="1">
      <alignment horizontal="center" vertical="top" wrapText="1"/>
    </xf>
    <xf numFmtId="49" fontId="5" fillId="2" borderId="32" xfId="0" applyNumberFormat="1" applyFont="1" applyFill="1" applyBorder="1" applyAlignment="1">
      <alignment horizontal="center" vertical="top" wrapText="1"/>
    </xf>
    <xf numFmtId="49" fontId="5" fillId="7" borderId="16" xfId="0" applyNumberFormat="1" applyFont="1" applyFill="1" applyBorder="1" applyAlignment="1">
      <alignment vertical="top" wrapText="1"/>
    </xf>
    <xf numFmtId="49" fontId="5" fillId="2" borderId="13" xfId="0" applyNumberFormat="1" applyFont="1" applyFill="1" applyBorder="1" applyAlignment="1">
      <alignment vertical="top" wrapText="1"/>
    </xf>
    <xf numFmtId="49" fontId="5" fillId="3" borderId="64" xfId="0" applyNumberFormat="1" applyFont="1" applyFill="1" applyBorder="1" applyAlignment="1">
      <alignment horizontal="center" vertical="top" wrapText="1"/>
    </xf>
    <xf numFmtId="49" fontId="4" fillId="3" borderId="13" xfId="0" applyNumberFormat="1" applyFont="1" applyFill="1" applyBorder="1" applyAlignment="1">
      <alignment horizontal="center" vertical="top" wrapText="1"/>
    </xf>
    <xf numFmtId="3" fontId="5" fillId="0" borderId="64" xfId="0" applyNumberFormat="1" applyFont="1" applyBorder="1" applyAlignment="1">
      <alignment horizontal="center" vertical="top" wrapText="1"/>
    </xf>
    <xf numFmtId="164" fontId="4" fillId="4" borderId="16" xfId="0" applyNumberFormat="1" applyFont="1" applyFill="1" applyBorder="1" applyAlignment="1">
      <alignment horizontal="center" vertical="top" wrapText="1"/>
    </xf>
    <xf numFmtId="164" fontId="4" fillId="4" borderId="13" xfId="0" applyNumberFormat="1" applyFont="1" applyFill="1" applyBorder="1" applyAlignment="1">
      <alignment horizontal="center" vertical="top" wrapText="1"/>
    </xf>
    <xf numFmtId="3" fontId="4" fillId="4" borderId="22" xfId="0" applyNumberFormat="1" applyFont="1" applyFill="1" applyBorder="1" applyAlignment="1">
      <alignment horizontal="center" vertical="top" wrapText="1"/>
    </xf>
    <xf numFmtId="3" fontId="4" fillId="4" borderId="3" xfId="0" applyNumberFormat="1" applyFont="1" applyFill="1" applyBorder="1" applyAlignment="1">
      <alignment horizontal="center" vertical="top" wrapText="1"/>
    </xf>
    <xf numFmtId="3" fontId="4" fillId="4" borderId="39" xfId="0" applyNumberFormat="1" applyFont="1" applyFill="1" applyBorder="1" applyAlignment="1">
      <alignment horizontal="center" vertical="top" wrapText="1"/>
    </xf>
    <xf numFmtId="49" fontId="5" fillId="7" borderId="17" xfId="0" applyNumberFormat="1" applyFont="1" applyFill="1" applyBorder="1" applyAlignment="1">
      <alignment vertical="top" wrapText="1"/>
    </xf>
    <xf numFmtId="49" fontId="5" fillId="2" borderId="18" xfId="0" applyNumberFormat="1" applyFont="1" applyFill="1" applyBorder="1" applyAlignment="1">
      <alignment vertical="top" wrapText="1"/>
    </xf>
    <xf numFmtId="49" fontId="5" fillId="3" borderId="32" xfId="0" applyNumberFormat="1" applyFont="1" applyFill="1" applyBorder="1" applyAlignment="1">
      <alignment horizontal="center" vertical="top" wrapText="1"/>
    </xf>
    <xf numFmtId="49" fontId="4" fillId="3" borderId="18" xfId="0" applyNumberFormat="1" applyFont="1" applyFill="1" applyBorder="1" applyAlignment="1">
      <alignment horizontal="center" vertical="top" wrapText="1"/>
    </xf>
    <xf numFmtId="3" fontId="5" fillId="0" borderId="32" xfId="0" applyNumberFormat="1" applyFont="1" applyBorder="1" applyAlignment="1">
      <alignment horizontal="center" vertical="top" wrapText="1"/>
    </xf>
    <xf numFmtId="3" fontId="4" fillId="4" borderId="31" xfId="0" applyNumberFormat="1" applyFont="1" applyFill="1" applyBorder="1" applyAlignment="1">
      <alignment horizontal="center" vertical="top" wrapText="1"/>
    </xf>
    <xf numFmtId="3" fontId="5" fillId="0" borderId="31" xfId="0" applyNumberFormat="1" applyFont="1" applyBorder="1" applyAlignment="1">
      <alignment horizontal="center" vertical="top" wrapText="1"/>
    </xf>
    <xf numFmtId="49" fontId="5" fillId="2" borderId="18" xfId="0" applyNumberFormat="1" applyFont="1" applyFill="1" applyBorder="1" applyAlignment="1">
      <alignment horizontal="center" vertical="top" wrapText="1"/>
    </xf>
    <xf numFmtId="49" fontId="5" fillId="3" borderId="32" xfId="0" applyNumberFormat="1" applyFont="1" applyFill="1" applyBorder="1" applyAlignment="1">
      <alignment vertical="top" wrapText="1"/>
    </xf>
    <xf numFmtId="49" fontId="4" fillId="3" borderId="60" xfId="0" applyNumberFormat="1" applyFont="1" applyFill="1" applyBorder="1" applyAlignment="1">
      <alignment vertical="top" wrapText="1"/>
    </xf>
    <xf numFmtId="49" fontId="4" fillId="3" borderId="60" xfId="0" applyNumberFormat="1" applyFont="1" applyFill="1" applyBorder="1" applyAlignment="1">
      <alignment horizontal="center" vertical="top" wrapText="1"/>
    </xf>
    <xf numFmtId="164" fontId="4" fillId="4" borderId="0" xfId="0" applyNumberFormat="1" applyFont="1" applyFill="1" applyBorder="1" applyAlignment="1">
      <alignment vertical="top" wrapText="1"/>
    </xf>
    <xf numFmtId="49" fontId="4" fillId="3" borderId="18" xfId="0" applyNumberFormat="1" applyFont="1" applyFill="1" applyBorder="1" applyAlignment="1">
      <alignment vertical="top" wrapText="1"/>
    </xf>
    <xf numFmtId="164" fontId="5" fillId="4" borderId="17" xfId="0" applyNumberFormat="1" applyFont="1" applyFill="1" applyBorder="1" applyAlignment="1">
      <alignment horizontal="center" vertical="top" wrapText="1"/>
    </xf>
    <xf numFmtId="164" fontId="5" fillId="4" borderId="18" xfId="0" applyNumberFormat="1" applyFont="1" applyFill="1" applyBorder="1" applyAlignment="1">
      <alignment horizontal="center" vertical="top" wrapText="1"/>
    </xf>
    <xf numFmtId="3" fontId="4" fillId="4" borderId="57" xfId="0" applyNumberFormat="1" applyFont="1" applyFill="1" applyBorder="1" applyAlignment="1">
      <alignment horizontal="center" vertical="top" wrapText="1"/>
    </xf>
    <xf numFmtId="3" fontId="4" fillId="4" borderId="68" xfId="0" applyNumberFormat="1" applyFont="1" applyFill="1" applyBorder="1" applyAlignment="1">
      <alignment horizontal="center" vertical="top" wrapText="1"/>
    </xf>
    <xf numFmtId="3" fontId="4" fillId="4" borderId="21" xfId="0" applyNumberFormat="1" applyFont="1" applyFill="1" applyBorder="1" applyAlignment="1">
      <alignment horizontal="center" vertical="top" wrapText="1"/>
    </xf>
    <xf numFmtId="49" fontId="5" fillId="7" borderId="41" xfId="0" applyNumberFormat="1" applyFont="1" applyFill="1" applyBorder="1" applyAlignment="1">
      <alignment horizontal="center" vertical="top" wrapText="1"/>
    </xf>
    <xf numFmtId="49" fontId="5" fillId="3" borderId="0" xfId="0" applyNumberFormat="1" applyFont="1" applyFill="1" applyBorder="1" applyAlignment="1">
      <alignment horizontal="center" vertical="top" wrapText="1"/>
    </xf>
    <xf numFmtId="3" fontId="4" fillId="4" borderId="41" xfId="0" applyNumberFormat="1" applyFont="1" applyFill="1" applyBorder="1" applyAlignment="1">
      <alignment horizontal="center" vertical="top" wrapText="1"/>
    </xf>
    <xf numFmtId="49" fontId="4" fillId="3" borderId="19" xfId="0" applyNumberFormat="1" applyFont="1" applyFill="1" applyBorder="1" applyAlignment="1">
      <alignment horizontal="center" vertical="top" wrapText="1"/>
    </xf>
    <xf numFmtId="3" fontId="5" fillId="0" borderId="32" xfId="0" applyNumberFormat="1" applyFont="1" applyFill="1" applyBorder="1" applyAlignment="1">
      <alignment horizontal="center" vertical="top" wrapText="1"/>
    </xf>
    <xf numFmtId="164" fontId="4" fillId="4" borderId="17" xfId="0" applyNumberFormat="1" applyFont="1" applyFill="1" applyBorder="1" applyAlignment="1">
      <alignment horizontal="center" vertical="center"/>
    </xf>
    <xf numFmtId="164" fontId="4" fillId="4" borderId="18" xfId="0" applyNumberFormat="1" applyFont="1" applyFill="1" applyBorder="1" applyAlignment="1">
      <alignment horizontal="center" vertical="center"/>
    </xf>
    <xf numFmtId="3" fontId="4" fillId="4" borderId="36" xfId="0" applyNumberFormat="1" applyFont="1" applyFill="1" applyBorder="1" applyAlignment="1">
      <alignment horizontal="center" vertical="top" wrapText="1"/>
    </xf>
    <xf numFmtId="3" fontId="4" fillId="4" borderId="30" xfId="0" applyNumberFormat="1" applyFont="1" applyFill="1" applyBorder="1" applyAlignment="1">
      <alignment horizontal="center" vertical="top" wrapText="1"/>
    </xf>
    <xf numFmtId="3" fontId="4" fillId="4" borderId="61" xfId="0" applyNumberFormat="1" applyFont="1" applyFill="1" applyBorder="1" applyAlignment="1">
      <alignment horizontal="center" vertical="top" wrapText="1"/>
    </xf>
    <xf numFmtId="164" fontId="4" fillId="4" borderId="17" xfId="0" applyNumberFormat="1" applyFont="1" applyFill="1" applyBorder="1" applyAlignment="1">
      <alignment horizontal="center" vertical="center" wrapText="1"/>
    </xf>
    <xf numFmtId="164" fontId="4" fillId="4" borderId="18"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top" wrapText="1"/>
    </xf>
    <xf numFmtId="3" fontId="4" fillId="4" borderId="4" xfId="0" applyNumberFormat="1" applyFont="1" applyFill="1" applyBorder="1" applyAlignment="1">
      <alignment horizontal="left" vertical="top" wrapText="1"/>
    </xf>
    <xf numFmtId="3" fontId="4" fillId="4" borderId="48" xfId="0" applyNumberFormat="1" applyFont="1" applyFill="1" applyBorder="1" applyAlignment="1">
      <alignment horizontal="center" vertical="top" wrapText="1"/>
    </xf>
    <xf numFmtId="3" fontId="4" fillId="4" borderId="45" xfId="0" applyNumberFormat="1" applyFont="1" applyFill="1" applyBorder="1" applyAlignment="1">
      <alignment horizontal="center" vertical="top" wrapText="1"/>
    </xf>
    <xf numFmtId="3" fontId="5" fillId="4" borderId="32" xfId="0" applyNumberFormat="1" applyFont="1" applyFill="1" applyBorder="1" applyAlignment="1">
      <alignment horizontal="center" vertical="top" wrapText="1"/>
    </xf>
    <xf numFmtId="3" fontId="2" fillId="0" borderId="0" xfId="0" applyNumberFormat="1" applyFont="1" applyFill="1" applyBorder="1" applyAlignment="1">
      <alignment horizontal="center" vertical="center" wrapText="1"/>
    </xf>
    <xf numFmtId="3" fontId="2" fillId="0" borderId="32" xfId="0" applyNumberFormat="1" applyFont="1" applyBorder="1" applyAlignment="1">
      <alignment horizontal="center" vertical="top" wrapText="1"/>
    </xf>
    <xf numFmtId="3" fontId="1" fillId="4" borderId="17" xfId="0" applyNumberFormat="1" applyFont="1" applyFill="1" applyBorder="1" applyAlignment="1">
      <alignment horizontal="center" vertical="top" wrapText="1"/>
    </xf>
    <xf numFmtId="3" fontId="3" fillId="0" borderId="0" xfId="0" applyNumberFormat="1" applyFont="1" applyAlignment="1">
      <alignment wrapText="1"/>
    </xf>
    <xf numFmtId="49" fontId="4" fillId="3" borderId="43" xfId="0" applyNumberFormat="1" applyFont="1" applyFill="1" applyBorder="1" applyAlignment="1">
      <alignment horizontal="center" vertical="top" wrapText="1"/>
    </xf>
    <xf numFmtId="3" fontId="4" fillId="4" borderId="20" xfId="0" applyNumberFormat="1" applyFont="1" applyFill="1" applyBorder="1" applyAlignment="1">
      <alignment horizontal="center" vertical="top" wrapText="1"/>
    </xf>
    <xf numFmtId="49" fontId="5" fillId="7" borderId="41" xfId="0" applyNumberFormat="1" applyFont="1" applyFill="1" applyBorder="1" applyAlignment="1">
      <alignment vertical="top" wrapText="1"/>
    </xf>
    <xf numFmtId="3" fontId="5" fillId="0" borderId="31" xfId="0" applyNumberFormat="1" applyFont="1" applyFill="1" applyBorder="1" applyAlignment="1">
      <alignment horizontal="center" vertical="top" wrapText="1"/>
    </xf>
    <xf numFmtId="164" fontId="1" fillId="4" borderId="17" xfId="0" applyNumberFormat="1" applyFont="1" applyFill="1" applyBorder="1" applyAlignment="1">
      <alignment horizontal="center" vertical="top" wrapText="1"/>
    </xf>
    <xf numFmtId="164" fontId="1" fillId="4" borderId="18" xfId="0" applyNumberFormat="1" applyFont="1" applyFill="1" applyBorder="1" applyAlignment="1">
      <alignment horizontal="center" vertical="top" wrapText="1"/>
    </xf>
    <xf numFmtId="3" fontId="17" fillId="4" borderId="17" xfId="0" applyNumberFormat="1" applyFont="1" applyFill="1" applyBorder="1" applyAlignment="1">
      <alignment horizontal="center" vertical="top" wrapText="1"/>
    </xf>
    <xf numFmtId="3" fontId="17" fillId="4" borderId="32" xfId="0" applyNumberFormat="1" applyFont="1" applyFill="1" applyBorder="1" applyAlignment="1">
      <alignment horizontal="center" vertical="top" wrapText="1"/>
    </xf>
    <xf numFmtId="49" fontId="4" fillId="3" borderId="43" xfId="0" applyNumberFormat="1" applyFont="1" applyFill="1" applyBorder="1" applyAlignment="1">
      <alignment vertical="top" wrapText="1"/>
    </xf>
    <xf numFmtId="3" fontId="4" fillId="4" borderId="44" xfId="0" applyNumberFormat="1" applyFont="1" applyFill="1" applyBorder="1" applyAlignment="1">
      <alignment horizontal="center" vertical="top" wrapText="1"/>
    </xf>
    <xf numFmtId="3" fontId="4" fillId="4" borderId="69" xfId="0" applyNumberFormat="1" applyFont="1" applyFill="1" applyBorder="1" applyAlignment="1">
      <alignment horizontal="center" vertical="top" wrapText="1"/>
    </xf>
    <xf numFmtId="3" fontId="5" fillId="0" borderId="32" xfId="0" applyNumberFormat="1" applyFont="1" applyBorder="1" applyAlignment="1">
      <alignment vertical="top" wrapText="1"/>
    </xf>
    <xf numFmtId="3" fontId="1" fillId="4" borderId="30" xfId="0" applyNumberFormat="1" applyFont="1" applyFill="1" applyBorder="1" applyAlignment="1">
      <alignment horizontal="center" vertical="top" wrapText="1"/>
    </xf>
    <xf numFmtId="3" fontId="1" fillId="4" borderId="45" xfId="0" applyNumberFormat="1" applyFont="1" applyFill="1" applyBorder="1" applyAlignment="1">
      <alignment horizontal="center" vertical="top" wrapText="1"/>
    </xf>
    <xf numFmtId="3" fontId="1" fillId="4" borderId="21" xfId="0" applyNumberFormat="1" applyFont="1" applyFill="1" applyBorder="1" applyAlignment="1">
      <alignment horizontal="center" vertical="top" wrapText="1"/>
    </xf>
    <xf numFmtId="3" fontId="5" fillId="4" borderId="60" xfId="0" applyNumberFormat="1" applyFont="1" applyFill="1" applyBorder="1" applyAlignment="1">
      <alignment vertical="top" wrapText="1"/>
    </xf>
    <xf numFmtId="3" fontId="1" fillId="4" borderId="39" xfId="0" applyNumberFormat="1" applyFont="1" applyFill="1" applyBorder="1" applyAlignment="1">
      <alignment horizontal="center" vertical="top" wrapText="1"/>
    </xf>
    <xf numFmtId="3" fontId="4" fillId="4" borderId="48" xfId="0" applyNumberFormat="1" applyFont="1" applyFill="1" applyBorder="1" applyAlignment="1">
      <alignment horizontal="left" vertical="top" wrapText="1"/>
    </xf>
    <xf numFmtId="49" fontId="2" fillId="7" borderId="17" xfId="0" applyNumberFormat="1" applyFont="1" applyFill="1" applyBorder="1" applyAlignment="1">
      <alignment vertical="top" wrapText="1"/>
    </xf>
    <xf numFmtId="49" fontId="2" fillId="2" borderId="18" xfId="0" applyNumberFormat="1" applyFont="1" applyFill="1" applyBorder="1" applyAlignment="1">
      <alignment vertical="top" wrapText="1"/>
    </xf>
    <xf numFmtId="49" fontId="2" fillId="3" borderId="32" xfId="0" applyNumberFormat="1" applyFont="1" applyFill="1" applyBorder="1" applyAlignment="1">
      <alignment vertical="top" wrapText="1"/>
    </xf>
    <xf numFmtId="4" fontId="4" fillId="4" borderId="48" xfId="0" applyNumberFormat="1" applyFont="1" applyFill="1" applyBorder="1" applyAlignment="1">
      <alignment horizontal="center" vertical="top" wrapText="1"/>
    </xf>
    <xf numFmtId="4" fontId="4" fillId="4" borderId="47" xfId="0" applyNumberFormat="1" applyFont="1" applyFill="1" applyBorder="1" applyAlignment="1">
      <alignment horizontal="center" vertical="top" wrapText="1"/>
    </xf>
    <xf numFmtId="4" fontId="4" fillId="4" borderId="45" xfId="0" applyNumberFormat="1" applyFont="1" applyFill="1" applyBorder="1" applyAlignment="1">
      <alignment horizontal="center" vertical="top" wrapText="1"/>
    </xf>
    <xf numFmtId="49" fontId="2" fillId="7" borderId="17" xfId="0" applyNumberFormat="1" applyFont="1" applyFill="1" applyBorder="1" applyAlignment="1">
      <alignment horizontal="center" vertical="top" wrapText="1"/>
    </xf>
    <xf numFmtId="49" fontId="2" fillId="2" borderId="18" xfId="0" applyNumberFormat="1" applyFont="1" applyFill="1" applyBorder="1" applyAlignment="1">
      <alignment horizontal="center" vertical="top" wrapText="1"/>
    </xf>
    <xf numFmtId="49" fontId="2" fillId="3" borderId="32" xfId="0" applyNumberFormat="1" applyFont="1" applyFill="1" applyBorder="1" applyAlignment="1">
      <alignment horizontal="center" vertical="top" wrapText="1"/>
    </xf>
    <xf numFmtId="3" fontId="2" fillId="4" borderId="32" xfId="0" applyNumberFormat="1" applyFont="1" applyFill="1" applyBorder="1" applyAlignment="1">
      <alignment horizontal="center" vertical="top" wrapText="1"/>
    </xf>
    <xf numFmtId="3" fontId="1" fillId="4" borderId="48" xfId="0" applyNumberFormat="1" applyFont="1" applyFill="1" applyBorder="1" applyAlignment="1">
      <alignment horizontal="center" vertical="top" wrapText="1"/>
    </xf>
    <xf numFmtId="49" fontId="4" fillId="3" borderId="66" xfId="0" applyNumberFormat="1" applyFont="1" applyFill="1" applyBorder="1" applyAlignment="1">
      <alignment horizontal="center" vertical="top" wrapText="1"/>
    </xf>
    <xf numFmtId="3" fontId="1" fillId="0" borderId="17" xfId="0" applyNumberFormat="1" applyFont="1" applyBorder="1" applyAlignment="1">
      <alignment horizontal="center" vertical="top" wrapText="1"/>
    </xf>
    <xf numFmtId="3" fontId="1" fillId="4" borderId="12" xfId="0" applyNumberFormat="1" applyFont="1" applyFill="1" applyBorder="1" applyAlignment="1">
      <alignment horizontal="left" vertical="top" wrapText="1"/>
    </xf>
    <xf numFmtId="3" fontId="1" fillId="4" borderId="12" xfId="0" applyNumberFormat="1" applyFont="1" applyFill="1" applyBorder="1" applyAlignment="1">
      <alignment horizontal="center" vertical="top" wrapText="1"/>
    </xf>
    <xf numFmtId="3" fontId="1" fillId="4" borderId="14" xfId="0" applyNumberFormat="1" applyFont="1" applyFill="1" applyBorder="1" applyAlignment="1">
      <alignment horizontal="center" vertical="top" wrapText="1"/>
    </xf>
    <xf numFmtId="3" fontId="1" fillId="0" borderId="83" xfId="0" applyNumberFormat="1" applyFont="1" applyBorder="1" applyAlignment="1">
      <alignment horizontal="center" vertical="top" wrapText="1"/>
    </xf>
    <xf numFmtId="3" fontId="2" fillId="0" borderId="32" xfId="0" applyNumberFormat="1" applyFont="1" applyFill="1" applyBorder="1" applyAlignment="1">
      <alignment horizontal="center" vertical="top" wrapText="1"/>
    </xf>
    <xf numFmtId="3" fontId="1" fillId="4" borderId="12" xfId="0" applyNumberFormat="1" applyFont="1" applyFill="1" applyBorder="1" applyAlignment="1">
      <alignment vertical="top" wrapText="1"/>
    </xf>
    <xf numFmtId="3" fontId="1" fillId="4" borderId="64" xfId="0" applyNumberFormat="1" applyFont="1" applyFill="1" applyBorder="1" applyAlignment="1">
      <alignment horizontal="center" vertical="top" wrapText="1"/>
    </xf>
    <xf numFmtId="3" fontId="1" fillId="4" borderId="16" xfId="0" applyNumberFormat="1" applyFont="1" applyFill="1" applyBorder="1" applyAlignment="1">
      <alignment horizontal="center" vertical="top" wrapText="1"/>
    </xf>
    <xf numFmtId="3" fontId="1" fillId="0" borderId="39" xfId="0" applyNumberFormat="1" applyFont="1" applyBorder="1" applyAlignment="1">
      <alignment horizontal="center" vertical="top" wrapText="1"/>
    </xf>
    <xf numFmtId="0" fontId="4" fillId="4" borderId="36" xfId="0" applyFont="1" applyFill="1" applyBorder="1" applyAlignment="1">
      <alignment horizontal="center" vertical="top" wrapText="1"/>
    </xf>
    <xf numFmtId="0" fontId="1" fillId="4" borderId="72" xfId="0" applyFont="1" applyFill="1" applyBorder="1" applyAlignment="1">
      <alignment horizontal="center" vertical="top" wrapText="1"/>
    </xf>
    <xf numFmtId="0" fontId="1" fillId="4" borderId="75" xfId="0" applyFont="1" applyFill="1" applyBorder="1" applyAlignment="1">
      <alignment horizontal="center" vertical="top" wrapText="1"/>
    </xf>
    <xf numFmtId="3" fontId="1" fillId="0" borderId="30" xfId="0" applyNumberFormat="1" applyFont="1" applyBorder="1" applyAlignment="1">
      <alignment horizontal="center" vertical="top" wrapText="1"/>
    </xf>
    <xf numFmtId="0" fontId="13" fillId="4" borderId="49" xfId="0" applyFont="1" applyFill="1" applyBorder="1" applyAlignment="1">
      <alignment horizontal="center" vertical="top" wrapText="1"/>
    </xf>
    <xf numFmtId="0" fontId="20" fillId="4" borderId="47" xfId="0" applyFont="1" applyFill="1" applyBorder="1" applyAlignment="1">
      <alignment horizontal="center" vertical="top" wrapText="1"/>
    </xf>
    <xf numFmtId="0" fontId="20" fillId="4" borderId="48" xfId="0" applyFont="1" applyFill="1" applyBorder="1" applyAlignment="1">
      <alignment horizontal="center" vertical="top" wrapText="1"/>
    </xf>
    <xf numFmtId="3" fontId="4" fillId="0" borderId="45" xfId="0" applyNumberFormat="1" applyFont="1" applyBorder="1" applyAlignment="1">
      <alignment horizontal="center" vertical="top" wrapText="1"/>
    </xf>
    <xf numFmtId="49" fontId="2" fillId="7" borderId="41" xfId="0" applyNumberFormat="1" applyFont="1" applyFill="1" applyBorder="1" applyAlignment="1">
      <alignment horizontal="center" vertical="top" wrapText="1"/>
    </xf>
    <xf numFmtId="49" fontId="5" fillId="7" borderId="20" xfId="0" applyNumberFormat="1" applyFont="1" applyFill="1" applyBorder="1" applyAlignment="1">
      <alignment vertical="top" wrapText="1"/>
    </xf>
    <xf numFmtId="49" fontId="2" fillId="2" borderId="19" xfId="0" applyNumberFormat="1" applyFont="1" applyFill="1" applyBorder="1" applyAlignment="1">
      <alignment vertical="top" wrapText="1"/>
    </xf>
    <xf numFmtId="49" fontId="2" fillId="3" borderId="68" xfId="0" applyNumberFormat="1" applyFont="1" applyFill="1" applyBorder="1" applyAlignment="1">
      <alignment vertical="top" wrapText="1"/>
    </xf>
    <xf numFmtId="49" fontId="4" fillId="3" borderId="19" xfId="0" applyNumberFormat="1" applyFont="1" applyFill="1" applyBorder="1" applyAlignment="1">
      <alignment vertical="top" wrapText="1"/>
    </xf>
    <xf numFmtId="164" fontId="2" fillId="5" borderId="4" xfId="0" applyNumberFormat="1" applyFont="1" applyFill="1" applyBorder="1" applyAlignment="1">
      <alignment horizontal="center" vertical="top" wrapText="1"/>
    </xf>
    <xf numFmtId="0" fontId="20" fillId="4" borderId="57" xfId="0" applyFont="1" applyFill="1" applyBorder="1" applyAlignment="1">
      <alignment horizontal="center" vertical="top" wrapText="1"/>
    </xf>
    <xf numFmtId="0" fontId="20" fillId="4" borderId="68" xfId="0" applyFont="1" applyFill="1" applyBorder="1" applyAlignment="1">
      <alignment horizontal="center" vertical="top" wrapText="1"/>
    </xf>
    <xf numFmtId="0" fontId="20" fillId="4" borderId="21" xfId="0" applyFont="1" applyFill="1" applyBorder="1" applyAlignment="1">
      <alignment horizontal="center" vertical="top" wrapText="1"/>
    </xf>
    <xf numFmtId="49" fontId="2" fillId="7" borderId="22" xfId="0" applyNumberFormat="1" applyFont="1" applyFill="1" applyBorder="1" applyAlignment="1">
      <alignment horizontal="center" vertical="top" wrapText="1"/>
    </xf>
    <xf numFmtId="49" fontId="2" fillId="2" borderId="13" xfId="0" applyNumberFormat="1" applyFont="1" applyFill="1" applyBorder="1" applyAlignment="1">
      <alignment horizontal="center" vertical="top" wrapText="1"/>
    </xf>
    <xf numFmtId="49" fontId="2" fillId="3" borderId="64" xfId="0" applyNumberFormat="1" applyFont="1" applyFill="1" applyBorder="1" applyAlignment="1">
      <alignment horizontal="center" vertical="top" wrapText="1"/>
    </xf>
    <xf numFmtId="49" fontId="4" fillId="3" borderId="64" xfId="0" applyNumberFormat="1" applyFont="1" applyFill="1" applyBorder="1" applyAlignment="1">
      <alignment horizontal="center" vertical="top" wrapText="1"/>
    </xf>
    <xf numFmtId="3" fontId="2" fillId="0" borderId="64" xfId="0" applyNumberFormat="1" applyFont="1" applyBorder="1" applyAlignment="1">
      <alignment horizontal="center" vertical="top" wrapText="1"/>
    </xf>
    <xf numFmtId="3" fontId="1" fillId="0" borderId="16" xfId="0" applyNumberFormat="1" applyFont="1" applyBorder="1" applyAlignment="1">
      <alignment horizontal="center" vertical="top" wrapText="1"/>
    </xf>
    <xf numFmtId="164" fontId="1" fillId="4" borderId="13" xfId="0" applyNumberFormat="1" applyFont="1" applyFill="1" applyBorder="1" applyAlignment="1">
      <alignment horizontal="center" vertical="top" wrapText="1"/>
    </xf>
    <xf numFmtId="3" fontId="1" fillId="0" borderId="65" xfId="0" applyNumberFormat="1" applyFont="1" applyBorder="1" applyAlignment="1">
      <alignment horizontal="center" vertical="top" wrapText="1"/>
    </xf>
    <xf numFmtId="164" fontId="1" fillId="4" borderId="65" xfId="0" applyNumberFormat="1" applyFont="1" applyFill="1" applyBorder="1" applyAlignment="1">
      <alignment horizontal="center" vertical="top" wrapText="1"/>
    </xf>
    <xf numFmtId="164" fontId="1" fillId="4" borderId="66" xfId="0" applyNumberFormat="1" applyFont="1" applyFill="1" applyBorder="1" applyAlignment="1">
      <alignment horizontal="center" vertical="top" wrapText="1"/>
    </xf>
    <xf numFmtId="3" fontId="20" fillId="4" borderId="65" xfId="0" applyNumberFormat="1" applyFont="1" applyFill="1" applyBorder="1" applyAlignment="1">
      <alignment horizontal="center" vertical="top" wrapText="1"/>
    </xf>
    <xf numFmtId="3" fontId="20" fillId="4" borderId="52" xfId="0" applyNumberFormat="1" applyFont="1" applyFill="1" applyBorder="1" applyAlignment="1">
      <alignment horizontal="center" vertical="top" wrapText="1"/>
    </xf>
    <xf numFmtId="3" fontId="1" fillId="0" borderId="53" xfId="0" applyNumberFormat="1" applyFont="1" applyBorder="1" applyAlignment="1">
      <alignment horizontal="center" vertical="top" wrapText="1"/>
    </xf>
    <xf numFmtId="49" fontId="4" fillId="3" borderId="32" xfId="0" applyNumberFormat="1" applyFont="1" applyFill="1" applyBorder="1" applyAlignment="1">
      <alignment horizontal="center" vertical="top" wrapText="1"/>
    </xf>
    <xf numFmtId="3" fontId="1" fillId="4" borderId="7" xfId="0" applyNumberFormat="1" applyFont="1" applyFill="1" applyBorder="1" applyAlignment="1">
      <alignment horizontal="center" vertical="top" wrapText="1"/>
    </xf>
    <xf numFmtId="3" fontId="1" fillId="0" borderId="63" xfId="0" applyNumberFormat="1" applyFont="1" applyFill="1" applyBorder="1" applyAlignment="1">
      <alignment horizontal="center" vertical="top" wrapText="1"/>
    </xf>
    <xf numFmtId="164" fontId="1" fillId="4" borderId="63" xfId="0" applyNumberFormat="1" applyFont="1" applyFill="1" applyBorder="1" applyAlignment="1">
      <alignment horizontal="center" vertical="top" wrapText="1"/>
    </xf>
    <xf numFmtId="164" fontId="1" fillId="4" borderId="43" xfId="0" applyNumberFormat="1" applyFont="1" applyFill="1" applyBorder="1" applyAlignment="1">
      <alignment horizontal="center" vertical="top" wrapText="1"/>
    </xf>
    <xf numFmtId="3" fontId="1" fillId="0" borderId="65" xfId="0" applyNumberFormat="1" applyFont="1" applyFill="1" applyBorder="1" applyAlignment="1">
      <alignment horizontal="center" vertical="top" wrapText="1"/>
    </xf>
    <xf numFmtId="164" fontId="1" fillId="4" borderId="52" xfId="0" applyNumberFormat="1" applyFont="1" applyFill="1" applyBorder="1" applyAlignment="1">
      <alignment horizontal="center" vertical="top" wrapText="1"/>
    </xf>
    <xf numFmtId="49" fontId="5" fillId="7" borderId="57" xfId="0" applyNumberFormat="1" applyFont="1" applyFill="1" applyBorder="1" applyAlignment="1">
      <alignment horizontal="center" vertical="top" wrapText="1"/>
    </xf>
    <xf numFmtId="49" fontId="2" fillId="2" borderId="19" xfId="0" applyNumberFormat="1" applyFont="1" applyFill="1" applyBorder="1" applyAlignment="1">
      <alignment horizontal="center" vertical="top" wrapText="1"/>
    </xf>
    <xf numFmtId="49" fontId="2" fillId="3" borderId="68" xfId="0" applyNumberFormat="1" applyFont="1" applyFill="1" applyBorder="1" applyAlignment="1">
      <alignment horizontal="center" vertical="top" wrapText="1"/>
    </xf>
    <xf numFmtId="49" fontId="4" fillId="3" borderId="68" xfId="0" applyNumberFormat="1" applyFont="1" applyFill="1" applyBorder="1" applyAlignment="1">
      <alignment horizontal="center" vertical="top" wrapText="1"/>
    </xf>
    <xf numFmtId="3" fontId="2" fillId="0" borderId="68" xfId="0" applyNumberFormat="1" applyFont="1" applyFill="1" applyBorder="1" applyAlignment="1">
      <alignment horizontal="center" vertical="top" wrapText="1"/>
    </xf>
    <xf numFmtId="164" fontId="2" fillId="5" borderId="47" xfId="0" applyNumberFormat="1" applyFont="1" applyFill="1" applyBorder="1" applyAlignment="1">
      <alignment horizontal="center" vertical="top" wrapText="1"/>
    </xf>
    <xf numFmtId="49" fontId="2" fillId="7" borderId="57" xfId="0" applyNumberFormat="1" applyFont="1" applyFill="1" applyBorder="1" applyAlignment="1">
      <alignment horizontal="center" vertical="top" wrapText="1"/>
    </xf>
    <xf numFmtId="49" fontId="5" fillId="7" borderId="16" xfId="0" applyNumberFormat="1" applyFont="1" applyFill="1" applyBorder="1" applyAlignment="1">
      <alignment horizontal="center" vertical="top" wrapText="1"/>
    </xf>
    <xf numFmtId="3" fontId="2" fillId="0" borderId="64" xfId="0" applyNumberFormat="1" applyFont="1" applyFill="1" applyBorder="1" applyAlignment="1">
      <alignment horizontal="center" vertical="top" wrapText="1"/>
    </xf>
    <xf numFmtId="49" fontId="5" fillId="7" borderId="22" xfId="0" applyNumberFormat="1" applyFont="1" applyFill="1" applyBorder="1" applyAlignment="1">
      <alignment horizontal="center" vertical="top" wrapText="1"/>
    </xf>
    <xf numFmtId="3" fontId="1" fillId="4" borderId="75" xfId="0" applyNumberFormat="1" applyFont="1" applyFill="1" applyBorder="1" applyAlignment="1">
      <alignment horizontal="center" vertical="top" wrapText="1"/>
    </xf>
    <xf numFmtId="3" fontId="1" fillId="4" borderId="72" xfId="0" applyNumberFormat="1" applyFont="1" applyFill="1" applyBorder="1" applyAlignment="1">
      <alignment horizontal="center" vertical="top" wrapText="1"/>
    </xf>
    <xf numFmtId="3" fontId="1" fillId="0" borderId="40" xfId="0" applyNumberFormat="1" applyFont="1" applyBorder="1" applyAlignment="1">
      <alignment horizontal="center" vertical="top" wrapText="1"/>
    </xf>
    <xf numFmtId="49" fontId="5" fillId="7" borderId="20" xfId="0" applyNumberFormat="1" applyFont="1" applyFill="1" applyBorder="1" applyAlignment="1">
      <alignment horizontal="center" vertical="top" wrapText="1"/>
    </xf>
    <xf numFmtId="3" fontId="1" fillId="0" borderId="21" xfId="0" applyNumberFormat="1" applyFont="1" applyBorder="1" applyAlignment="1">
      <alignment horizontal="center" vertical="top" wrapText="1"/>
    </xf>
    <xf numFmtId="3" fontId="2" fillId="4" borderId="64" xfId="0" applyNumberFormat="1" applyFont="1" applyFill="1" applyBorder="1" applyAlignment="1">
      <alignment horizontal="center" vertical="top" wrapText="1"/>
    </xf>
    <xf numFmtId="164" fontId="1" fillId="4" borderId="75" xfId="0" applyNumberFormat="1" applyFont="1" applyFill="1" applyBorder="1" applyAlignment="1">
      <alignment horizontal="center" vertical="top" wrapText="1"/>
    </xf>
    <xf numFmtId="164" fontId="1" fillId="4" borderId="29" xfId="0" applyNumberFormat="1" applyFont="1" applyFill="1" applyBorder="1" applyAlignment="1">
      <alignment horizontal="center" vertical="top" wrapText="1"/>
    </xf>
    <xf numFmtId="164" fontId="1" fillId="4" borderId="30" xfId="0" applyNumberFormat="1" applyFont="1" applyFill="1" applyBorder="1" applyAlignment="1">
      <alignment horizontal="center" vertical="top" wrapText="1"/>
    </xf>
    <xf numFmtId="164" fontId="2" fillId="5" borderId="45" xfId="0" applyNumberFormat="1" applyFont="1" applyFill="1" applyBorder="1" applyAlignment="1">
      <alignment horizontal="center" vertical="top" wrapText="1"/>
    </xf>
    <xf numFmtId="49" fontId="2" fillId="7" borderId="12" xfId="0" applyNumberFormat="1" applyFont="1" applyFill="1" applyBorder="1" applyAlignment="1">
      <alignment horizontal="center" vertical="top" wrapText="1"/>
    </xf>
    <xf numFmtId="49" fontId="2" fillId="2" borderId="11" xfId="0" applyNumberFormat="1" applyFont="1" applyFill="1" applyBorder="1" applyAlignment="1">
      <alignment horizontal="center" vertical="top" wrapText="1"/>
    </xf>
    <xf numFmtId="164" fontId="2" fillId="2" borderId="12" xfId="0" applyNumberFormat="1" applyFont="1" applyFill="1" applyBorder="1" applyAlignment="1">
      <alignment horizontal="center" vertical="top" wrapText="1"/>
    </xf>
    <xf numFmtId="3" fontId="2" fillId="2" borderId="12" xfId="0" applyNumberFormat="1" applyFont="1" applyFill="1" applyBorder="1" applyAlignment="1">
      <alignment horizontal="center" vertical="top" wrapText="1"/>
    </xf>
    <xf numFmtId="3" fontId="2" fillId="2" borderId="55" xfId="0" applyNumberFormat="1" applyFont="1" applyFill="1" applyBorder="1" applyAlignment="1">
      <alignment horizontal="center" vertical="top" wrapText="1"/>
    </xf>
    <xf numFmtId="3" fontId="2" fillId="2" borderId="73" xfId="0" applyNumberFormat="1" applyFont="1" applyFill="1" applyBorder="1" applyAlignment="1">
      <alignment horizontal="center" vertical="top" wrapText="1"/>
    </xf>
    <xf numFmtId="164" fontId="2" fillId="7" borderId="12" xfId="0" applyNumberFormat="1" applyFont="1" applyFill="1" applyBorder="1" applyAlignment="1">
      <alignment horizontal="center" vertical="top" wrapText="1"/>
    </xf>
    <xf numFmtId="164" fontId="2" fillId="7" borderId="11" xfId="0" applyNumberFormat="1" applyFont="1" applyFill="1" applyBorder="1" applyAlignment="1">
      <alignment horizontal="center" vertical="top" wrapText="1"/>
    </xf>
    <xf numFmtId="3" fontId="2" fillId="7" borderId="16" xfId="0" applyNumberFormat="1" applyFont="1" applyFill="1" applyBorder="1" applyAlignment="1">
      <alignment horizontal="center" vertical="top" wrapText="1"/>
    </xf>
    <xf numFmtId="3" fontId="2" fillId="7" borderId="3" xfId="0" applyNumberFormat="1" applyFont="1" applyFill="1" applyBorder="1" applyAlignment="1">
      <alignment horizontal="center" vertical="top" wrapText="1"/>
    </xf>
    <xf numFmtId="3" fontId="2" fillId="7" borderId="24" xfId="0" applyNumberFormat="1" applyFont="1" applyFill="1" applyBorder="1" applyAlignment="1">
      <alignment horizontal="center" vertical="top" wrapText="1"/>
    </xf>
    <xf numFmtId="49" fontId="2" fillId="7" borderId="16" xfId="0" applyNumberFormat="1" applyFont="1" applyFill="1" applyBorder="1" applyAlignment="1">
      <alignment horizontal="center" vertical="top" wrapText="1"/>
    </xf>
    <xf numFmtId="3" fontId="4" fillId="7" borderId="16" xfId="0" applyNumberFormat="1" applyFont="1" applyFill="1" applyBorder="1" applyAlignment="1">
      <alignment vertical="top" wrapText="1"/>
    </xf>
    <xf numFmtId="3" fontId="4" fillId="7" borderId="22" xfId="0" applyNumberFormat="1" applyFont="1" applyFill="1" applyBorder="1" applyAlignment="1">
      <alignment horizontal="center" vertical="top" wrapText="1"/>
    </xf>
    <xf numFmtId="3" fontId="4" fillId="7" borderId="39" xfId="0" applyNumberFormat="1" applyFont="1" applyFill="1" applyBorder="1" applyAlignment="1">
      <alignment vertical="top" wrapText="1"/>
    </xf>
    <xf numFmtId="3" fontId="4" fillId="7" borderId="71" xfId="0" applyNumberFormat="1" applyFont="1" applyFill="1" applyBorder="1" applyAlignment="1">
      <alignment vertical="top" wrapText="1"/>
    </xf>
    <xf numFmtId="3" fontId="2" fillId="7" borderId="57" xfId="0" applyNumberFormat="1" applyFont="1" applyFill="1" applyBorder="1" applyAlignment="1">
      <alignment horizontal="left" vertical="top" wrapText="1"/>
    </xf>
    <xf numFmtId="3" fontId="2" fillId="7" borderId="44" xfId="0" applyNumberFormat="1" applyFont="1" applyFill="1" applyBorder="1" applyAlignment="1">
      <alignment horizontal="left" vertical="top" wrapText="1"/>
    </xf>
    <xf numFmtId="3" fontId="2" fillId="7" borderId="69" xfId="0" applyNumberFormat="1" applyFont="1" applyFill="1" applyBorder="1" applyAlignment="1">
      <alignment horizontal="left" vertical="top" wrapText="1"/>
    </xf>
    <xf numFmtId="3" fontId="4" fillId="7" borderId="48" xfId="0" applyNumberFormat="1" applyFont="1" applyFill="1" applyBorder="1" applyAlignment="1">
      <alignment horizontal="left" vertical="top" wrapText="1"/>
    </xf>
    <xf numFmtId="3" fontId="4" fillId="7" borderId="49" xfId="0" applyNumberFormat="1" applyFont="1" applyFill="1" applyBorder="1" applyAlignment="1">
      <alignment horizontal="center" vertical="top" wrapText="1"/>
    </xf>
    <xf numFmtId="3" fontId="4" fillId="7" borderId="45" xfId="0" applyNumberFormat="1" applyFont="1" applyFill="1" applyBorder="1" applyAlignment="1">
      <alignment horizontal="left" vertical="top" wrapText="1"/>
    </xf>
    <xf numFmtId="3" fontId="4" fillId="7" borderId="82" xfId="0" applyNumberFormat="1" applyFont="1" applyFill="1" applyBorder="1" applyAlignment="1">
      <alignment horizontal="left" vertical="top" wrapText="1"/>
    </xf>
    <xf numFmtId="49" fontId="5" fillId="7" borderId="12" xfId="0" applyNumberFormat="1" applyFont="1" applyFill="1" applyBorder="1" applyAlignment="1">
      <alignment horizontal="center" vertical="top" wrapText="1"/>
    </xf>
    <xf numFmtId="49" fontId="2" fillId="2" borderId="14" xfId="0" applyNumberFormat="1" applyFont="1" applyFill="1" applyBorder="1" applyAlignment="1">
      <alignment horizontal="center" vertical="top" wrapText="1"/>
    </xf>
    <xf numFmtId="3" fontId="4" fillId="4" borderId="13" xfId="0" quotePrefix="1" applyNumberFormat="1" applyFont="1" applyFill="1" applyBorder="1" applyAlignment="1">
      <alignment horizontal="center" vertical="top" wrapText="1"/>
    </xf>
    <xf numFmtId="3" fontId="5" fillId="4" borderId="34" xfId="0" applyNumberFormat="1" applyFont="1" applyFill="1" applyBorder="1" applyAlignment="1">
      <alignment horizontal="center" vertical="top" wrapText="1"/>
    </xf>
    <xf numFmtId="3" fontId="4" fillId="4" borderId="10" xfId="0" applyNumberFormat="1" applyFont="1" applyFill="1" applyBorder="1" applyAlignment="1">
      <alignment horizontal="center" vertical="top" wrapText="1"/>
    </xf>
    <xf numFmtId="3" fontId="4" fillId="4" borderId="18" xfId="0" quotePrefix="1" applyNumberFormat="1" applyFont="1" applyFill="1" applyBorder="1" applyAlignment="1">
      <alignment horizontal="center" vertical="top" wrapText="1"/>
    </xf>
    <xf numFmtId="3" fontId="4" fillId="4" borderId="2" xfId="0" applyNumberFormat="1" applyFont="1" applyFill="1" applyBorder="1" applyAlignment="1">
      <alignment horizontal="center" vertical="top" wrapText="1"/>
    </xf>
    <xf numFmtId="3" fontId="4" fillId="4" borderId="19" xfId="0" quotePrefix="1" applyNumberFormat="1" applyFont="1" applyFill="1" applyBorder="1" applyAlignment="1">
      <alignment horizontal="center" vertical="top" wrapText="1"/>
    </xf>
    <xf numFmtId="3" fontId="5" fillId="4" borderId="68" xfId="0" applyNumberFormat="1" applyFont="1" applyFill="1" applyBorder="1" applyAlignment="1">
      <alignment vertical="top" wrapText="1"/>
    </xf>
    <xf numFmtId="164" fontId="5" fillId="5" borderId="4" xfId="0" applyNumberFormat="1" applyFont="1" applyFill="1" applyBorder="1" applyAlignment="1">
      <alignment horizontal="center" vertical="top" wrapText="1"/>
    </xf>
    <xf numFmtId="164" fontId="5" fillId="5" borderId="47" xfId="0" applyNumberFormat="1" applyFont="1" applyFill="1" applyBorder="1" applyAlignment="1">
      <alignment horizontal="center" vertical="top" wrapText="1"/>
    </xf>
    <xf numFmtId="3" fontId="2" fillId="0" borderId="0" xfId="0" applyNumberFormat="1" applyFont="1" applyBorder="1" applyAlignment="1">
      <alignment horizontal="center" vertical="top" wrapText="1"/>
    </xf>
    <xf numFmtId="3" fontId="1" fillId="3" borderId="10" xfId="0" applyNumberFormat="1" applyFont="1" applyFill="1" applyBorder="1" applyAlignment="1">
      <alignment horizontal="center" vertical="top" wrapText="1"/>
    </xf>
    <xf numFmtId="3" fontId="1" fillId="0" borderId="22" xfId="0" applyNumberFormat="1" applyFont="1" applyFill="1" applyBorder="1" applyAlignment="1">
      <alignment horizontal="center" vertical="top" wrapText="1"/>
    </xf>
    <xf numFmtId="3" fontId="1" fillId="0" borderId="22" xfId="0" applyNumberFormat="1" applyFont="1" applyBorder="1" applyAlignment="1">
      <alignment horizontal="center" vertical="top" wrapText="1"/>
    </xf>
    <xf numFmtId="3" fontId="1" fillId="0" borderId="24" xfId="0" applyNumberFormat="1" applyFont="1" applyBorder="1" applyAlignment="1">
      <alignment horizontal="center" vertical="top" wrapText="1"/>
    </xf>
    <xf numFmtId="3" fontId="1" fillId="3" borderId="0" xfId="0" applyNumberFormat="1" applyFont="1" applyFill="1" applyBorder="1" applyAlignment="1">
      <alignment horizontal="center" vertical="top" wrapText="1"/>
    </xf>
    <xf numFmtId="3" fontId="1" fillId="3" borderId="2" xfId="0" applyNumberFormat="1" applyFont="1" applyFill="1" applyBorder="1" applyAlignment="1">
      <alignment horizontal="center" vertical="top" wrapText="1"/>
    </xf>
    <xf numFmtId="3" fontId="1" fillId="0" borderId="32" xfId="0" applyNumberFormat="1" applyFont="1" applyBorder="1" applyAlignment="1">
      <alignment horizontal="center" vertical="top" wrapText="1"/>
    </xf>
    <xf numFmtId="3" fontId="1" fillId="0" borderId="41" xfId="0" applyNumberFormat="1" applyFont="1" applyBorder="1" applyAlignment="1">
      <alignment horizontal="center" vertical="top" wrapText="1"/>
    </xf>
    <xf numFmtId="3" fontId="1" fillId="3" borderId="5" xfId="0" applyNumberFormat="1" applyFont="1" applyFill="1" applyBorder="1" applyAlignment="1">
      <alignment horizontal="center" vertical="top" wrapText="1"/>
    </xf>
    <xf numFmtId="3" fontId="2" fillId="0" borderId="31" xfId="0" applyNumberFormat="1" applyFont="1" applyBorder="1" applyAlignment="1">
      <alignment horizontal="center" vertical="top" wrapText="1"/>
    </xf>
    <xf numFmtId="3" fontId="1" fillId="3" borderId="8" xfId="0" applyNumberFormat="1" applyFont="1" applyFill="1" applyBorder="1" applyAlignment="1">
      <alignment horizontal="center" vertical="top" wrapText="1"/>
    </xf>
    <xf numFmtId="164" fontId="1" fillId="4" borderId="34" xfId="0" applyNumberFormat="1" applyFont="1" applyFill="1" applyBorder="1" applyAlignment="1">
      <alignment horizontal="center" vertical="top" wrapText="1"/>
    </xf>
    <xf numFmtId="164" fontId="1" fillId="4" borderId="60" xfId="0" applyNumberFormat="1" applyFont="1" applyFill="1" applyBorder="1" applyAlignment="1">
      <alignment horizontal="center" vertical="top" wrapText="1"/>
    </xf>
    <xf numFmtId="164" fontId="1" fillId="4" borderId="0" xfId="0" applyNumberFormat="1" applyFont="1" applyFill="1" applyBorder="1" applyAlignment="1">
      <alignment horizontal="center" vertical="top" wrapText="1"/>
    </xf>
    <xf numFmtId="3" fontId="1" fillId="3" borderId="6" xfId="0" applyNumberFormat="1" applyFont="1" applyFill="1" applyBorder="1" applyAlignment="1">
      <alignment horizontal="center" vertical="top" wrapText="1"/>
    </xf>
    <xf numFmtId="164" fontId="1" fillId="4" borderId="62" xfId="0" applyNumberFormat="1" applyFont="1" applyFill="1" applyBorder="1" applyAlignment="1">
      <alignment horizontal="center" vertical="top" wrapText="1"/>
    </xf>
    <xf numFmtId="3" fontId="1" fillId="0" borderId="57" xfId="0" applyNumberFormat="1" applyFont="1" applyBorder="1" applyAlignment="1">
      <alignment horizontal="center" vertical="top" wrapText="1"/>
    </xf>
    <xf numFmtId="3" fontId="1" fillId="0" borderId="68" xfId="0" applyNumberFormat="1" applyFont="1" applyBorder="1" applyAlignment="1">
      <alignment horizontal="center" vertical="top" wrapText="1"/>
    </xf>
    <xf numFmtId="3" fontId="1" fillId="0" borderId="20" xfId="0" applyNumberFormat="1" applyFont="1" applyBorder="1" applyAlignment="1">
      <alignment horizontal="center" vertical="top" wrapText="1"/>
    </xf>
    <xf numFmtId="3" fontId="1" fillId="0" borderId="69" xfId="0" applyNumberFormat="1" applyFont="1" applyBorder="1" applyAlignment="1">
      <alignment horizontal="center" vertical="top" wrapText="1"/>
    </xf>
    <xf numFmtId="49" fontId="4" fillId="4" borderId="8" xfId="3" applyNumberFormat="1" applyFont="1" applyFill="1" applyBorder="1" applyAlignment="1">
      <alignment horizontal="center" vertical="top"/>
    </xf>
    <xf numFmtId="164" fontId="4" fillId="11" borderId="17" xfId="3" applyNumberFormat="1" applyFont="1" applyFill="1" applyBorder="1" applyAlignment="1">
      <alignment horizontal="center" vertical="top"/>
    </xf>
    <xf numFmtId="164" fontId="4" fillId="11" borderId="18" xfId="3" applyNumberFormat="1" applyFont="1" applyFill="1" applyBorder="1" applyAlignment="1">
      <alignment horizontal="center" vertical="top"/>
    </xf>
    <xf numFmtId="164" fontId="4" fillId="12" borderId="84" xfId="3" applyNumberFormat="1" applyFont="1" applyFill="1" applyBorder="1" applyAlignment="1">
      <alignment horizontal="center" vertical="top"/>
    </xf>
    <xf numFmtId="167" fontId="4" fillId="9" borderId="16" xfId="3" applyNumberFormat="1" applyFont="1" applyFill="1" applyBorder="1" applyAlignment="1">
      <alignment horizontal="center" vertical="top" wrapText="1"/>
    </xf>
    <xf numFmtId="167" fontId="4" fillId="9" borderId="85" xfId="3" applyNumberFormat="1" applyFont="1" applyFill="1" applyBorder="1" applyAlignment="1">
      <alignment horizontal="center" vertical="top" wrapText="1"/>
    </xf>
    <xf numFmtId="167" fontId="4" fillId="9" borderId="22" xfId="3" applyNumberFormat="1" applyFont="1" applyFill="1" applyBorder="1" applyAlignment="1">
      <alignment horizontal="center" vertical="top" wrapText="1"/>
    </xf>
    <xf numFmtId="167" fontId="4" fillId="9" borderId="24" xfId="3" applyNumberFormat="1" applyFont="1" applyFill="1" applyBorder="1" applyAlignment="1">
      <alignment horizontal="center" vertical="top" wrapText="1"/>
    </xf>
    <xf numFmtId="164" fontId="1" fillId="4" borderId="0" xfId="0" applyNumberFormat="1" applyFont="1" applyFill="1" applyBorder="1" applyAlignment="1">
      <alignment vertical="top" wrapText="1"/>
    </xf>
    <xf numFmtId="3" fontId="2" fillId="0" borderId="18" xfId="0" applyNumberFormat="1" applyFont="1" applyBorder="1" applyAlignment="1">
      <alignment horizontal="center" vertical="top" wrapText="1"/>
    </xf>
    <xf numFmtId="167" fontId="4" fillId="9" borderId="63" xfId="3" applyNumberFormat="1" applyFont="1" applyFill="1" applyBorder="1" applyAlignment="1">
      <alignment horizontal="center" vertical="top" wrapText="1"/>
    </xf>
    <xf numFmtId="167" fontId="4" fillId="9" borderId="86" xfId="3" applyNumberFormat="1" applyFont="1" applyFill="1" applyBorder="1" applyAlignment="1">
      <alignment horizontal="center" vertical="top" wrapText="1"/>
    </xf>
    <xf numFmtId="167" fontId="4" fillId="9" borderId="42" xfId="3" applyNumberFormat="1" applyFont="1" applyFill="1" applyBorder="1" applyAlignment="1">
      <alignment horizontal="center" vertical="top" wrapText="1"/>
    </xf>
    <xf numFmtId="167" fontId="4" fillId="9" borderId="15" xfId="3" applyNumberFormat="1" applyFont="1" applyFill="1" applyBorder="1" applyAlignment="1">
      <alignment horizontal="center" vertical="top" wrapText="1"/>
    </xf>
    <xf numFmtId="167" fontId="4" fillId="9" borderId="17" xfId="3" applyNumberFormat="1" applyFont="1" applyFill="1" applyBorder="1" applyAlignment="1">
      <alignment horizontal="center" vertical="top" wrapText="1"/>
    </xf>
    <xf numFmtId="167" fontId="4" fillId="9" borderId="87" xfId="3" applyNumberFormat="1" applyFont="1" applyFill="1" applyBorder="1" applyAlignment="1">
      <alignment horizontal="center" vertical="top" wrapText="1"/>
    </xf>
    <xf numFmtId="167" fontId="4" fillId="9" borderId="41" xfId="3" applyNumberFormat="1" applyFont="1" applyFill="1" applyBorder="1" applyAlignment="1">
      <alignment horizontal="center" vertical="top" wrapText="1"/>
    </xf>
    <xf numFmtId="167" fontId="4" fillId="9" borderId="7" xfId="3" applyNumberFormat="1" applyFont="1" applyFill="1" applyBorder="1" applyAlignment="1">
      <alignment horizontal="center" vertical="top" wrapText="1"/>
    </xf>
    <xf numFmtId="3" fontId="1" fillId="4" borderId="20" xfId="0" applyNumberFormat="1" applyFont="1" applyFill="1" applyBorder="1" applyAlignment="1">
      <alignment horizontal="center" vertical="top" wrapText="1"/>
    </xf>
    <xf numFmtId="3" fontId="1" fillId="4" borderId="69" xfId="0" applyNumberFormat="1" applyFont="1" applyFill="1" applyBorder="1" applyAlignment="1">
      <alignment horizontal="center" vertical="top" wrapText="1"/>
    </xf>
    <xf numFmtId="3" fontId="2" fillId="4" borderId="18" xfId="0" applyNumberFormat="1" applyFont="1" applyFill="1" applyBorder="1" applyAlignment="1">
      <alignment horizontal="center" vertical="top" wrapText="1"/>
    </xf>
    <xf numFmtId="168" fontId="4" fillId="9" borderId="12" xfId="3" applyNumberFormat="1" applyFont="1" applyFill="1" applyBorder="1" applyAlignment="1">
      <alignment vertical="top" wrapText="1"/>
    </xf>
    <xf numFmtId="167" fontId="4" fillId="9" borderId="12" xfId="3" applyNumberFormat="1" applyFont="1" applyFill="1" applyBorder="1" applyAlignment="1">
      <alignment horizontal="center" vertical="top"/>
    </xf>
    <xf numFmtId="167" fontId="4" fillId="9" borderId="88" xfId="3" applyNumberFormat="1" applyFont="1" applyFill="1" applyBorder="1" applyAlignment="1">
      <alignment horizontal="center" vertical="top"/>
    </xf>
    <xf numFmtId="167" fontId="4" fillId="9" borderId="1" xfId="3" applyNumberFormat="1" applyFont="1" applyFill="1" applyBorder="1" applyAlignment="1">
      <alignment horizontal="center" vertical="top"/>
    </xf>
    <xf numFmtId="3" fontId="4" fillId="4" borderId="73" xfId="3" applyNumberFormat="1" applyFont="1" applyFill="1" applyBorder="1" applyAlignment="1">
      <alignment horizontal="center" vertical="top"/>
    </xf>
    <xf numFmtId="164" fontId="4" fillId="12" borderId="67" xfId="3" applyNumberFormat="1" applyFont="1" applyFill="1" applyBorder="1" applyAlignment="1">
      <alignment horizontal="center" vertical="top"/>
    </xf>
    <xf numFmtId="167" fontId="4" fillId="9" borderId="89" xfId="3" applyNumberFormat="1" applyFont="1" applyFill="1" applyBorder="1" applyAlignment="1">
      <alignment horizontal="center" vertical="top" wrapText="1"/>
    </xf>
    <xf numFmtId="167" fontId="4" fillId="9" borderId="90" xfId="3" applyNumberFormat="1" applyFont="1" applyFill="1" applyBorder="1" applyAlignment="1">
      <alignment horizontal="center" vertical="top" wrapText="1"/>
    </xf>
    <xf numFmtId="49" fontId="2" fillId="4" borderId="32" xfId="0" applyNumberFormat="1" applyFont="1" applyFill="1" applyBorder="1" applyAlignment="1">
      <alignment horizontal="center" vertical="top" wrapText="1"/>
    </xf>
    <xf numFmtId="49" fontId="4" fillId="4" borderId="13" xfId="0" applyNumberFormat="1" applyFont="1" applyFill="1" applyBorder="1" applyAlignment="1">
      <alignment horizontal="center" vertical="top" wrapText="1"/>
    </xf>
    <xf numFmtId="49" fontId="4" fillId="4" borderId="64" xfId="0" applyNumberFormat="1" applyFont="1" applyFill="1" applyBorder="1" applyAlignment="1">
      <alignment horizontal="center" vertical="top" wrapText="1"/>
    </xf>
    <xf numFmtId="3" fontId="2" fillId="4" borderId="3" xfId="0" applyNumberFormat="1" applyFont="1" applyFill="1" applyBorder="1" applyAlignment="1">
      <alignment horizontal="center" vertical="top" wrapText="1"/>
    </xf>
    <xf numFmtId="3" fontId="1" fillId="4" borderId="9" xfId="0" applyNumberFormat="1" applyFont="1" applyFill="1" applyBorder="1" applyAlignment="1">
      <alignment horizontal="center" vertical="top" wrapText="1"/>
    </xf>
    <xf numFmtId="164" fontId="4" fillId="4" borderId="75" xfId="0" applyNumberFormat="1" applyFont="1" applyFill="1" applyBorder="1" applyAlignment="1">
      <alignment horizontal="center" vertical="top"/>
    </xf>
    <xf numFmtId="164" fontId="4" fillId="4" borderId="29" xfId="0" applyNumberFormat="1" applyFont="1" applyFill="1" applyBorder="1" applyAlignment="1">
      <alignment horizontal="center" vertical="top"/>
    </xf>
    <xf numFmtId="164" fontId="4" fillId="4" borderId="77" xfId="0" applyNumberFormat="1" applyFont="1" applyFill="1" applyBorder="1" applyAlignment="1">
      <alignment horizontal="center" vertical="top"/>
    </xf>
    <xf numFmtId="3" fontId="1" fillId="4" borderId="36" xfId="0" applyNumberFormat="1" applyFont="1" applyFill="1" applyBorder="1" applyAlignment="1">
      <alignment horizontal="left" vertical="top" wrapText="1"/>
    </xf>
    <xf numFmtId="3" fontId="1" fillId="4" borderId="22" xfId="0" applyNumberFormat="1" applyFont="1" applyFill="1" applyBorder="1" applyAlignment="1">
      <alignment horizontal="center" vertical="top" wrapText="1"/>
    </xf>
    <xf numFmtId="3" fontId="1" fillId="4" borderId="24" xfId="0" applyNumberFormat="1" applyFont="1" applyFill="1" applyBorder="1" applyAlignment="1">
      <alignment horizontal="center" vertical="top" wrapText="1"/>
    </xf>
    <xf numFmtId="49" fontId="4" fillId="4" borderId="18" xfId="0" applyNumberFormat="1" applyFont="1" applyFill="1" applyBorder="1" applyAlignment="1">
      <alignment horizontal="center" vertical="top" wrapText="1"/>
    </xf>
    <xf numFmtId="49" fontId="4" fillId="4" borderId="32" xfId="0" applyNumberFormat="1" applyFont="1" applyFill="1" applyBorder="1" applyAlignment="1">
      <alignment horizontal="center" vertical="top" wrapText="1"/>
    </xf>
    <xf numFmtId="3" fontId="2" fillId="4" borderId="0" xfId="0" applyNumberFormat="1" applyFont="1" applyFill="1" applyBorder="1" applyAlignment="1">
      <alignment horizontal="center" vertical="top" wrapText="1"/>
    </xf>
    <xf numFmtId="164" fontId="4" fillId="4" borderId="32" xfId="0" applyNumberFormat="1" applyFont="1" applyFill="1" applyBorder="1" applyAlignment="1">
      <alignment horizontal="center" vertical="top" wrapText="1"/>
    </xf>
    <xf numFmtId="49" fontId="4" fillId="3" borderId="34" xfId="0" applyNumberFormat="1" applyFont="1" applyFill="1" applyBorder="1" applyAlignment="1">
      <alignment horizontal="center" vertical="top" wrapText="1"/>
    </xf>
    <xf numFmtId="3" fontId="5" fillId="0" borderId="0" xfId="0" applyNumberFormat="1" applyFont="1" applyBorder="1" applyAlignment="1">
      <alignment horizontal="center" vertical="top" wrapText="1"/>
    </xf>
    <xf numFmtId="165" fontId="4" fillId="4" borderId="0" xfId="0" applyNumberFormat="1" applyFont="1" applyFill="1" applyBorder="1" applyAlignment="1">
      <alignment horizontal="center" vertical="top" wrapText="1"/>
    </xf>
    <xf numFmtId="164" fontId="1" fillId="0" borderId="0" xfId="0" applyNumberFormat="1" applyFont="1" applyBorder="1" applyAlignment="1">
      <alignment vertical="top" wrapText="1"/>
    </xf>
    <xf numFmtId="49" fontId="4" fillId="3" borderId="54" xfId="0" applyNumberFormat="1" applyFont="1" applyFill="1" applyBorder="1" applyAlignment="1">
      <alignment horizontal="center" vertical="top" wrapText="1"/>
    </xf>
    <xf numFmtId="164" fontId="5" fillId="4" borderId="0" xfId="0" applyNumberFormat="1" applyFont="1" applyFill="1" applyBorder="1" applyAlignment="1">
      <alignment horizontal="center" vertical="top" wrapText="1"/>
    </xf>
    <xf numFmtId="0" fontId="4" fillId="4" borderId="38" xfId="0" applyFont="1" applyFill="1" applyBorder="1" applyAlignment="1">
      <alignment horizontal="center" vertical="top" wrapText="1"/>
    </xf>
    <xf numFmtId="0" fontId="4" fillId="4" borderId="34" xfId="0" applyFont="1" applyFill="1" applyBorder="1" applyAlignment="1">
      <alignment horizontal="center" vertical="top" wrapText="1"/>
    </xf>
    <xf numFmtId="0" fontId="4" fillId="4" borderId="28" xfId="0" applyFont="1" applyFill="1" applyBorder="1" applyAlignment="1">
      <alignment horizontal="center" vertical="top" wrapText="1"/>
    </xf>
    <xf numFmtId="0" fontId="4" fillId="4" borderId="32" xfId="0" applyFont="1" applyFill="1" applyBorder="1" applyAlignment="1">
      <alignment horizontal="center" vertical="top" wrapText="1"/>
    </xf>
    <xf numFmtId="0" fontId="4" fillId="4" borderId="7" xfId="0" applyFont="1" applyFill="1" applyBorder="1" applyAlignment="1">
      <alignment horizontal="center" vertical="top" wrapText="1"/>
    </xf>
    <xf numFmtId="49" fontId="2" fillId="7" borderId="20" xfId="0" applyNumberFormat="1" applyFont="1" applyFill="1" applyBorder="1" applyAlignment="1">
      <alignment horizontal="center" vertical="top" wrapText="1"/>
    </xf>
    <xf numFmtId="49" fontId="5" fillId="3" borderId="68" xfId="0" applyNumberFormat="1" applyFont="1" applyFill="1" applyBorder="1" applyAlignment="1">
      <alignment horizontal="center" vertical="top" wrapText="1"/>
    </xf>
    <xf numFmtId="0" fontId="4" fillId="4" borderId="50" xfId="0" applyFont="1" applyFill="1" applyBorder="1" applyAlignment="1">
      <alignment horizontal="left" vertical="top" wrapText="1"/>
    </xf>
    <xf numFmtId="3" fontId="4" fillId="3" borderId="57" xfId="0" applyNumberFormat="1" applyFont="1" applyFill="1" applyBorder="1" applyAlignment="1">
      <alignment horizontal="center" vertical="top" wrapText="1"/>
    </xf>
    <xf numFmtId="3" fontId="4" fillId="3" borderId="68" xfId="0" applyNumberFormat="1" applyFont="1" applyFill="1" applyBorder="1" applyAlignment="1">
      <alignment horizontal="center" vertical="top" wrapText="1"/>
    </xf>
    <xf numFmtId="3" fontId="4" fillId="3" borderId="20" xfId="0" applyNumberFormat="1" applyFont="1" applyFill="1" applyBorder="1" applyAlignment="1">
      <alignment horizontal="center" vertical="top" wrapText="1"/>
    </xf>
    <xf numFmtId="3" fontId="4" fillId="3" borderId="69" xfId="0" applyNumberFormat="1" applyFont="1" applyFill="1" applyBorder="1" applyAlignment="1">
      <alignment horizontal="center" vertical="top" wrapText="1"/>
    </xf>
    <xf numFmtId="3" fontId="5" fillId="0" borderId="3" xfId="0" applyNumberFormat="1" applyFont="1" applyBorder="1" applyAlignment="1">
      <alignment horizontal="center" vertical="top" wrapText="1"/>
    </xf>
    <xf numFmtId="164" fontId="4" fillId="0" borderId="16" xfId="0" applyNumberFormat="1" applyFont="1" applyFill="1" applyBorder="1" applyAlignment="1">
      <alignment horizontal="center" vertical="top" wrapText="1"/>
    </xf>
    <xf numFmtId="164" fontId="4" fillId="0" borderId="13" xfId="0" applyNumberFormat="1" applyFont="1" applyFill="1" applyBorder="1" applyAlignment="1">
      <alignment horizontal="center" vertical="top" wrapText="1"/>
    </xf>
    <xf numFmtId="164" fontId="4" fillId="0" borderId="64" xfId="0" applyNumberFormat="1" applyFont="1" applyFill="1" applyBorder="1" applyAlignment="1">
      <alignment horizontal="center" vertical="top" wrapText="1"/>
    </xf>
    <xf numFmtId="49" fontId="4" fillId="0" borderId="2" xfId="3" applyNumberFormat="1" applyFont="1" applyFill="1" applyBorder="1" applyAlignment="1">
      <alignment horizontal="center" vertical="top"/>
    </xf>
    <xf numFmtId="164" fontId="4" fillId="0" borderId="52" xfId="0" applyNumberFormat="1" applyFont="1" applyFill="1" applyBorder="1" applyAlignment="1">
      <alignment horizontal="center" vertical="top" wrapText="1"/>
    </xf>
    <xf numFmtId="164" fontId="4" fillId="0" borderId="32" xfId="0" applyNumberFormat="1" applyFont="1" applyFill="1" applyBorder="1" applyAlignment="1">
      <alignment horizontal="center" vertical="top" wrapText="1"/>
    </xf>
    <xf numFmtId="49" fontId="4" fillId="0" borderId="6" xfId="3" applyNumberFormat="1" applyFont="1" applyFill="1" applyBorder="1" applyAlignment="1">
      <alignment horizontal="center" vertical="top"/>
    </xf>
    <xf numFmtId="164" fontId="4" fillId="11" borderId="62" xfId="3" applyNumberFormat="1" applyFont="1" applyFill="1" applyBorder="1" applyAlignment="1">
      <alignment horizontal="center" vertical="top"/>
    </xf>
    <xf numFmtId="164" fontId="4" fillId="11" borderId="60" xfId="3" applyNumberFormat="1" applyFont="1" applyFill="1" applyBorder="1" applyAlignment="1">
      <alignment horizontal="center" vertical="top"/>
    </xf>
    <xf numFmtId="164" fontId="4" fillId="12" borderId="34" xfId="3" applyNumberFormat="1" applyFont="1" applyFill="1" applyBorder="1" applyAlignment="1">
      <alignment horizontal="center" vertical="top"/>
    </xf>
    <xf numFmtId="3" fontId="2" fillId="4" borderId="66" xfId="0" applyNumberFormat="1" applyFont="1" applyFill="1" applyBorder="1" applyAlignment="1">
      <alignment horizontal="left" vertical="top" wrapText="1"/>
    </xf>
    <xf numFmtId="164" fontId="4" fillId="12" borderId="0" xfId="3" applyNumberFormat="1" applyFont="1" applyFill="1" applyBorder="1" applyAlignment="1">
      <alignment horizontal="center" vertical="top"/>
    </xf>
    <xf numFmtId="49" fontId="4" fillId="0" borderId="8" xfId="3" applyNumberFormat="1" applyFont="1" applyFill="1" applyBorder="1" applyAlignment="1">
      <alignment horizontal="center" vertical="top"/>
    </xf>
    <xf numFmtId="164" fontId="4" fillId="12" borderId="32" xfId="3" applyNumberFormat="1" applyFont="1" applyFill="1" applyBorder="1" applyAlignment="1">
      <alignment horizontal="center" vertical="top"/>
    </xf>
    <xf numFmtId="167" fontId="4" fillId="11" borderId="62" xfId="3" applyNumberFormat="1" applyFont="1" applyFill="1" applyBorder="1" applyAlignment="1">
      <alignment horizontal="center" vertical="top"/>
    </xf>
    <xf numFmtId="167" fontId="4" fillId="11" borderId="91" xfId="3" applyNumberFormat="1" applyFont="1" applyFill="1" applyBorder="1" applyAlignment="1">
      <alignment horizontal="center" vertical="top"/>
    </xf>
    <xf numFmtId="167" fontId="4" fillId="11" borderId="38" xfId="3" applyNumberFormat="1" applyFont="1" applyFill="1" applyBorder="1" applyAlignment="1">
      <alignment horizontal="center" vertical="top"/>
    </xf>
    <xf numFmtId="167" fontId="4" fillId="11" borderId="63" xfId="3" applyNumberFormat="1" applyFont="1" applyFill="1" applyBorder="1" applyAlignment="1">
      <alignment horizontal="center" vertical="top"/>
    </xf>
    <xf numFmtId="167" fontId="4" fillId="11" borderId="86" xfId="3" applyNumberFormat="1" applyFont="1" applyFill="1" applyBorder="1" applyAlignment="1">
      <alignment horizontal="center" vertical="top"/>
    </xf>
    <xf numFmtId="167" fontId="4" fillId="11" borderId="42" xfId="3" applyNumberFormat="1" applyFont="1" applyFill="1" applyBorder="1" applyAlignment="1">
      <alignment horizontal="center" vertical="top"/>
    </xf>
    <xf numFmtId="167" fontId="4" fillId="9" borderId="2" xfId="3" applyNumberFormat="1" applyFont="1" applyFill="1" applyBorder="1" applyAlignment="1">
      <alignment horizontal="left" vertical="top" wrapText="1"/>
    </xf>
    <xf numFmtId="167" fontId="4" fillId="9" borderId="65" xfId="3" applyNumberFormat="1" applyFont="1" applyFill="1" applyBorder="1" applyAlignment="1">
      <alignment horizontal="center" vertical="top"/>
    </xf>
    <xf numFmtId="167" fontId="4" fillId="9" borderId="92" xfId="3" applyNumberFormat="1" applyFont="1" applyFill="1" applyBorder="1" applyAlignment="1">
      <alignment horizontal="center" vertical="top"/>
    </xf>
    <xf numFmtId="167" fontId="4" fillId="9" borderId="37" xfId="3" applyNumberFormat="1" applyFont="1" applyFill="1" applyBorder="1" applyAlignment="1">
      <alignment horizontal="center" vertical="top"/>
    </xf>
    <xf numFmtId="164" fontId="4" fillId="4" borderId="26" xfId="3" applyNumberFormat="1" applyFont="1" applyFill="1" applyBorder="1" applyAlignment="1"/>
    <xf numFmtId="167" fontId="4" fillId="9" borderId="6" xfId="3" applyNumberFormat="1" applyFont="1" applyFill="1" applyBorder="1" applyAlignment="1">
      <alignment horizontal="left" vertical="top" wrapText="1"/>
    </xf>
    <xf numFmtId="167" fontId="4" fillId="9" borderId="62" xfId="3" applyNumberFormat="1" applyFont="1" applyFill="1" applyBorder="1" applyAlignment="1">
      <alignment horizontal="center" vertical="top"/>
    </xf>
    <xf numFmtId="167" fontId="4" fillId="9" borderId="91" xfId="3" applyNumberFormat="1" applyFont="1" applyFill="1" applyBorder="1" applyAlignment="1">
      <alignment horizontal="center" vertical="top"/>
    </xf>
    <xf numFmtId="167" fontId="4" fillId="9" borderId="38" xfId="3" applyNumberFormat="1" applyFont="1" applyFill="1" applyBorder="1" applyAlignment="1">
      <alignment horizontal="center" vertical="top"/>
    </xf>
    <xf numFmtId="3" fontId="4" fillId="11" borderId="28" xfId="3" applyNumberFormat="1" applyFont="1" applyFill="1" applyBorder="1" applyAlignment="1">
      <alignment horizontal="center" vertical="top"/>
    </xf>
    <xf numFmtId="167" fontId="4" fillId="9" borderId="93" xfId="3" applyNumberFormat="1" applyFont="1" applyFill="1" applyBorder="1" applyAlignment="1">
      <alignment horizontal="left" vertical="top" wrapText="1"/>
    </xf>
    <xf numFmtId="167" fontId="4" fillId="9" borderId="80" xfId="3" applyNumberFormat="1" applyFont="1" applyFill="1" applyBorder="1" applyAlignment="1">
      <alignment horizontal="center" vertical="top"/>
    </xf>
    <xf numFmtId="167" fontId="4" fillId="9" borderId="81" xfId="3" applyNumberFormat="1" applyFont="1" applyFill="1" applyBorder="1" applyAlignment="1">
      <alignment horizontal="center" vertical="top"/>
    </xf>
    <xf numFmtId="167" fontId="4" fillId="9" borderId="94" xfId="3" applyNumberFormat="1" applyFont="1" applyFill="1" applyBorder="1" applyAlignment="1">
      <alignment horizontal="center" vertical="top"/>
    </xf>
    <xf numFmtId="3" fontId="4" fillId="11" borderId="95" xfId="3" applyNumberFormat="1" applyFont="1" applyFill="1" applyBorder="1" applyAlignment="1">
      <alignment horizontal="center" vertical="top"/>
    </xf>
    <xf numFmtId="167" fontId="4" fillId="9" borderId="97" xfId="3" applyNumberFormat="1" applyFont="1" applyFill="1" applyBorder="1" applyAlignment="1">
      <alignment horizontal="center" vertical="top"/>
    </xf>
    <xf numFmtId="167" fontId="4" fillId="9" borderId="98" xfId="3" applyNumberFormat="1" applyFont="1" applyFill="1" applyBorder="1" applyAlignment="1">
      <alignment horizontal="center" vertical="top" wrapText="1"/>
    </xf>
    <xf numFmtId="164" fontId="4" fillId="4" borderId="99" xfId="3" applyNumberFormat="1" applyFont="1" applyFill="1" applyBorder="1" applyAlignment="1"/>
    <xf numFmtId="164" fontId="1" fillId="0" borderId="0" xfId="0" applyNumberFormat="1" applyFont="1" applyBorder="1" applyAlignment="1">
      <alignment horizontal="left" vertical="top" wrapText="1"/>
    </xf>
    <xf numFmtId="49" fontId="2" fillId="3" borderId="0" xfId="0" applyNumberFormat="1" applyFont="1" applyFill="1" applyBorder="1" applyAlignment="1">
      <alignment horizontal="center" vertical="top" wrapText="1"/>
    </xf>
    <xf numFmtId="167" fontId="4" fillId="9" borderId="17" xfId="3" applyNumberFormat="1" applyFont="1" applyFill="1" applyBorder="1" applyAlignment="1">
      <alignment horizontal="center" vertical="top"/>
    </xf>
    <xf numFmtId="164" fontId="4" fillId="4" borderId="7" xfId="3" applyNumberFormat="1" applyFont="1" applyFill="1" applyBorder="1" applyAlignment="1"/>
    <xf numFmtId="3" fontId="2" fillId="0" borderId="18" xfId="0" applyNumberFormat="1" applyFont="1" applyBorder="1" applyAlignment="1">
      <alignment vertical="top" wrapText="1"/>
    </xf>
    <xf numFmtId="3" fontId="2" fillId="0" borderId="32" xfId="0" applyNumberFormat="1" applyFont="1" applyBorder="1" applyAlignment="1">
      <alignment vertical="top" wrapText="1"/>
    </xf>
    <xf numFmtId="164" fontId="4" fillId="11" borderId="80" xfId="3" applyNumberFormat="1" applyFont="1" applyFill="1" applyBorder="1" applyAlignment="1">
      <alignment horizontal="center" vertical="top"/>
    </xf>
    <xf numFmtId="164" fontId="4" fillId="11" borderId="100" xfId="3" applyNumberFormat="1" applyFont="1" applyFill="1" applyBorder="1" applyAlignment="1">
      <alignment horizontal="center" vertical="top"/>
    </xf>
    <xf numFmtId="164" fontId="4" fillId="12" borderId="101" xfId="3" applyNumberFormat="1" applyFont="1" applyFill="1" applyBorder="1" applyAlignment="1">
      <alignment horizontal="center" vertical="top"/>
    </xf>
    <xf numFmtId="164" fontId="4" fillId="11" borderId="62" xfId="3" applyNumberFormat="1" applyFont="1" applyFill="1" applyBorder="1" applyAlignment="1"/>
    <xf numFmtId="167" fontId="4" fillId="9" borderId="28" xfId="3" applyNumberFormat="1" applyFont="1" applyFill="1" applyBorder="1" applyAlignment="1">
      <alignment horizontal="center" vertical="top" wrapText="1"/>
    </xf>
    <xf numFmtId="164" fontId="2" fillId="5" borderId="102" xfId="0" applyNumberFormat="1" applyFont="1" applyFill="1" applyBorder="1" applyAlignment="1">
      <alignment horizontal="center" vertical="top" wrapText="1"/>
    </xf>
    <xf numFmtId="3" fontId="2" fillId="0" borderId="3" xfId="0" applyNumberFormat="1" applyFont="1" applyBorder="1" applyAlignment="1">
      <alignment horizontal="center" vertical="top" wrapText="1"/>
    </xf>
    <xf numFmtId="164" fontId="4" fillId="11" borderId="78" xfId="3" applyNumberFormat="1" applyFont="1" applyFill="1" applyBorder="1" applyAlignment="1">
      <alignment horizontal="center" vertical="top"/>
    </xf>
    <xf numFmtId="164" fontId="4" fillId="11" borderId="103" xfId="3" applyNumberFormat="1" applyFont="1" applyFill="1" applyBorder="1" applyAlignment="1">
      <alignment horizontal="center" vertical="top"/>
    </xf>
    <xf numFmtId="164" fontId="4" fillId="11" borderId="0" xfId="3" applyNumberFormat="1" applyFont="1" applyFill="1" applyBorder="1" applyAlignment="1">
      <alignment horizontal="center" vertical="top"/>
    </xf>
    <xf numFmtId="49" fontId="4" fillId="0" borderId="2" xfId="3" applyNumberFormat="1" applyFont="1" applyFill="1" applyBorder="1" applyAlignment="1">
      <alignment horizontal="center" vertical="top" wrapText="1"/>
    </xf>
    <xf numFmtId="49" fontId="4" fillId="0" borderId="0" xfId="3" applyNumberFormat="1" applyFont="1" applyFill="1" applyBorder="1" applyAlignment="1">
      <alignment horizontal="center" vertical="top" wrapText="1"/>
    </xf>
    <xf numFmtId="164" fontId="4" fillId="11" borderId="65" xfId="3" applyNumberFormat="1" applyFont="1" applyFill="1" applyBorder="1" applyAlignment="1">
      <alignment horizontal="center" vertical="top"/>
    </xf>
    <xf numFmtId="164" fontId="4" fillId="11" borderId="66" xfId="3" applyNumberFormat="1" applyFont="1" applyFill="1" applyBorder="1" applyAlignment="1">
      <alignment horizontal="center" vertical="top"/>
    </xf>
    <xf numFmtId="164" fontId="4" fillId="12" borderId="27" xfId="3" applyNumberFormat="1" applyFont="1" applyFill="1" applyBorder="1" applyAlignment="1">
      <alignment horizontal="center" vertical="top"/>
    </xf>
    <xf numFmtId="49" fontId="4" fillId="0" borderId="0" xfId="3" applyNumberFormat="1" applyFont="1" applyFill="1" applyBorder="1" applyAlignment="1">
      <alignment horizontal="center" vertical="top"/>
    </xf>
    <xf numFmtId="164" fontId="1" fillId="0" borderId="0" xfId="0" applyNumberFormat="1" applyFont="1" applyFill="1" applyBorder="1" applyAlignment="1">
      <alignment horizontal="center" vertical="top" wrapText="1"/>
    </xf>
    <xf numFmtId="49" fontId="4" fillId="0" borderId="8" xfId="3" applyNumberFormat="1" applyFont="1" applyFill="1" applyBorder="1" applyAlignment="1">
      <alignment horizontal="center" vertical="top" wrapText="1"/>
    </xf>
    <xf numFmtId="167" fontId="4" fillId="9" borderId="96" xfId="3" applyNumberFormat="1" applyFont="1" applyFill="1" applyBorder="1" applyAlignment="1">
      <alignment vertical="top" wrapText="1"/>
    </xf>
    <xf numFmtId="167" fontId="4" fillId="9" borderId="99" xfId="3" applyNumberFormat="1" applyFont="1" applyFill="1" applyBorder="1" applyAlignment="1">
      <alignment horizontal="center" vertical="top" wrapText="1"/>
    </xf>
    <xf numFmtId="49" fontId="4" fillId="0" borderId="5" xfId="3" applyNumberFormat="1" applyFont="1" applyFill="1" applyBorder="1" applyAlignment="1">
      <alignment horizontal="center" vertical="top"/>
    </xf>
    <xf numFmtId="164" fontId="4" fillId="11" borderId="63" xfId="3" applyNumberFormat="1" applyFont="1" applyFill="1" applyBorder="1" applyAlignment="1">
      <alignment horizontal="center" vertical="top"/>
    </xf>
    <xf numFmtId="164" fontId="4" fillId="11" borderId="43" xfId="3" applyNumberFormat="1" applyFont="1" applyFill="1" applyBorder="1" applyAlignment="1">
      <alignment horizontal="center" vertical="top"/>
    </xf>
    <xf numFmtId="164" fontId="4" fillId="12" borderId="58" xfId="3" applyNumberFormat="1" applyFont="1" applyFill="1" applyBorder="1" applyAlignment="1">
      <alignment horizontal="center" vertical="top"/>
    </xf>
    <xf numFmtId="167" fontId="4" fillId="9" borderId="62" xfId="3" applyNumberFormat="1" applyFont="1" applyFill="1" applyBorder="1" applyAlignment="1">
      <alignment horizontal="center" vertical="top" wrapText="1"/>
    </xf>
    <xf numFmtId="167" fontId="4" fillId="9" borderId="91" xfId="3" applyNumberFormat="1" applyFont="1" applyFill="1" applyBorder="1" applyAlignment="1">
      <alignment horizontal="center" vertical="top" wrapText="1"/>
    </xf>
    <xf numFmtId="167" fontId="4" fillId="9" borderId="38" xfId="3" applyNumberFormat="1" applyFont="1" applyFill="1" applyBorder="1" applyAlignment="1">
      <alignment horizontal="center" vertical="top" wrapText="1"/>
    </xf>
    <xf numFmtId="164" fontId="1" fillId="0" borderId="3" xfId="0" applyNumberFormat="1" applyFont="1" applyFill="1" applyBorder="1" applyAlignment="1">
      <alignment horizontal="center" vertical="top" wrapText="1"/>
    </xf>
    <xf numFmtId="3" fontId="1" fillId="4" borderId="62" xfId="0" applyNumberFormat="1" applyFont="1" applyFill="1" applyBorder="1" applyAlignment="1">
      <alignment horizontal="center" vertical="top"/>
    </xf>
    <xf numFmtId="3" fontId="4" fillId="0" borderId="34" xfId="0" applyNumberFormat="1" applyFont="1" applyFill="1" applyBorder="1" applyAlignment="1">
      <alignment horizontal="center" vertical="top" wrapText="1"/>
    </xf>
    <xf numFmtId="3" fontId="4" fillId="0" borderId="38" xfId="0" applyNumberFormat="1" applyFont="1" applyFill="1" applyBorder="1" applyAlignment="1">
      <alignment horizontal="center" vertical="top" wrapText="1"/>
    </xf>
    <xf numFmtId="3" fontId="1" fillId="0" borderId="28" xfId="0" applyNumberFormat="1" applyFont="1" applyBorder="1" applyAlignment="1">
      <alignment horizontal="center" vertical="top"/>
    </xf>
    <xf numFmtId="3" fontId="1" fillId="4" borderId="8" xfId="0" applyNumberFormat="1" applyFont="1" applyFill="1" applyBorder="1" applyAlignment="1">
      <alignment horizontal="center" vertical="top" wrapText="1"/>
    </xf>
    <xf numFmtId="49" fontId="4" fillId="4" borderId="43" xfId="0" applyNumberFormat="1" applyFont="1" applyFill="1" applyBorder="1" applyAlignment="1">
      <alignment horizontal="center" vertical="top" wrapText="1"/>
    </xf>
    <xf numFmtId="164" fontId="1" fillId="4" borderId="32" xfId="0" applyNumberFormat="1" applyFont="1" applyFill="1" applyBorder="1" applyAlignment="1">
      <alignment horizontal="center" vertical="top"/>
    </xf>
    <xf numFmtId="49" fontId="4" fillId="3" borderId="66" xfId="0" applyNumberFormat="1" applyFont="1" applyFill="1" applyBorder="1" applyAlignment="1">
      <alignment horizontal="center" vertical="top"/>
    </xf>
    <xf numFmtId="49" fontId="4" fillId="3" borderId="18" xfId="0" applyNumberFormat="1" applyFont="1" applyFill="1" applyBorder="1" applyAlignment="1">
      <alignment horizontal="center" vertical="top"/>
    </xf>
    <xf numFmtId="49" fontId="2" fillId="7" borderId="23" xfId="0" applyNumberFormat="1" applyFont="1" applyFill="1" applyBorder="1" applyAlignment="1">
      <alignment horizontal="center" vertical="top" wrapText="1"/>
    </xf>
    <xf numFmtId="49" fontId="2" fillId="2" borderId="25" xfId="0" applyNumberFormat="1" applyFont="1" applyFill="1" applyBorder="1" applyAlignment="1">
      <alignment horizontal="center" vertical="top" wrapText="1"/>
    </xf>
    <xf numFmtId="164" fontId="2" fillId="2" borderId="11" xfId="0" applyNumberFormat="1" applyFont="1" applyFill="1" applyBorder="1" applyAlignment="1">
      <alignment horizontal="center" vertical="top" wrapText="1"/>
    </xf>
    <xf numFmtId="49" fontId="2" fillId="7" borderId="22" xfId="0" applyNumberFormat="1" applyFont="1" applyFill="1" applyBorder="1" applyAlignment="1">
      <alignment vertical="top" wrapText="1"/>
    </xf>
    <xf numFmtId="49" fontId="2" fillId="2" borderId="13" xfId="0" applyNumberFormat="1" applyFont="1" applyFill="1" applyBorder="1" applyAlignment="1">
      <alignment vertical="top" wrapText="1"/>
    </xf>
    <xf numFmtId="49" fontId="2" fillId="3" borderId="13" xfId="0" applyNumberFormat="1" applyFont="1" applyFill="1" applyBorder="1" applyAlignment="1">
      <alignment horizontal="center" vertical="top" wrapText="1"/>
    </xf>
    <xf numFmtId="3" fontId="1" fillId="0" borderId="62" xfId="0" applyNumberFormat="1" applyFont="1" applyBorder="1" applyAlignment="1">
      <alignment horizontal="center" vertical="top" wrapText="1"/>
    </xf>
    <xf numFmtId="3" fontId="1" fillId="4" borderId="36" xfId="0" applyNumberFormat="1" applyFont="1" applyFill="1" applyBorder="1" applyAlignment="1">
      <alignment horizontal="center" vertical="top"/>
    </xf>
    <xf numFmtId="3" fontId="1" fillId="4" borderId="22" xfId="0" applyNumberFormat="1" applyFont="1" applyFill="1" applyBorder="1" applyAlignment="1">
      <alignment horizontal="center" vertical="top"/>
    </xf>
    <xf numFmtId="49" fontId="2" fillId="7" borderId="20" xfId="0" applyNumberFormat="1" applyFont="1" applyFill="1" applyBorder="1" applyAlignment="1">
      <alignment vertical="top" wrapText="1"/>
    </xf>
    <xf numFmtId="3" fontId="1" fillId="4" borderId="49" xfId="0" applyNumberFormat="1" applyFont="1" applyFill="1" applyBorder="1" applyAlignment="1">
      <alignment horizontal="center" vertical="top"/>
    </xf>
    <xf numFmtId="49" fontId="2" fillId="3" borderId="64" xfId="0" applyNumberFormat="1" applyFont="1" applyFill="1" applyBorder="1" applyAlignment="1">
      <alignment vertical="top" wrapText="1"/>
    </xf>
    <xf numFmtId="49" fontId="4" fillId="3" borderId="13" xfId="0" applyNumberFormat="1" applyFont="1" applyFill="1" applyBorder="1" applyAlignment="1">
      <alignment vertical="top" wrapText="1"/>
    </xf>
    <xf numFmtId="164" fontId="1" fillId="0" borderId="16" xfId="0" applyNumberFormat="1" applyFont="1" applyBorder="1" applyAlignment="1">
      <alignment horizontal="center" vertical="top" wrapText="1"/>
    </xf>
    <xf numFmtId="164" fontId="1" fillId="0" borderId="13" xfId="0" applyNumberFormat="1" applyFont="1" applyBorder="1" applyAlignment="1">
      <alignment horizontal="center" vertical="top" wrapText="1"/>
    </xf>
    <xf numFmtId="49" fontId="4" fillId="3" borderId="34" xfId="0" applyNumberFormat="1" applyFont="1" applyFill="1" applyBorder="1" applyAlignment="1">
      <alignment horizontal="center" vertical="top"/>
    </xf>
    <xf numFmtId="49" fontId="4" fillId="3" borderId="60" xfId="0" applyNumberFormat="1" applyFont="1" applyFill="1" applyBorder="1" applyAlignment="1">
      <alignment horizontal="center" vertical="top"/>
    </xf>
    <xf numFmtId="3" fontId="2" fillId="4" borderId="32" xfId="0" applyNumberFormat="1" applyFont="1" applyFill="1" applyBorder="1" applyAlignment="1">
      <alignment horizontal="center" vertical="top" textRotation="90" wrapText="1"/>
    </xf>
    <xf numFmtId="49" fontId="4" fillId="3" borderId="32" xfId="0" applyNumberFormat="1" applyFont="1" applyFill="1" applyBorder="1" applyAlignment="1">
      <alignment horizontal="center" vertical="top"/>
    </xf>
    <xf numFmtId="164" fontId="2" fillId="4" borderId="18" xfId="0" applyNumberFormat="1" applyFont="1" applyFill="1" applyBorder="1" applyAlignment="1">
      <alignment horizontal="center" vertical="top"/>
    </xf>
    <xf numFmtId="3" fontId="1" fillId="4" borderId="37" xfId="0" applyNumberFormat="1" applyFont="1" applyFill="1" applyBorder="1" applyAlignment="1">
      <alignment vertical="top" wrapText="1"/>
    </xf>
    <xf numFmtId="49" fontId="4" fillId="3" borderId="32" xfId="0" applyNumberFormat="1" applyFont="1" applyFill="1" applyBorder="1" applyAlignment="1">
      <alignment vertical="top"/>
    </xf>
    <xf numFmtId="164" fontId="1" fillId="4" borderId="63" xfId="0" applyNumberFormat="1" applyFont="1" applyFill="1" applyBorder="1" applyAlignment="1">
      <alignment horizontal="center" vertical="top"/>
    </xf>
    <xf numFmtId="164" fontId="1" fillId="4" borderId="43" xfId="0" applyNumberFormat="1" applyFont="1" applyFill="1" applyBorder="1" applyAlignment="1">
      <alignment horizontal="center" vertical="top"/>
    </xf>
    <xf numFmtId="3" fontId="2" fillId="4" borderId="34" xfId="0" applyNumberFormat="1" applyFont="1" applyFill="1" applyBorder="1" applyAlignment="1">
      <alignment horizontal="center" vertical="top"/>
    </xf>
    <xf numFmtId="3" fontId="2" fillId="5" borderId="62" xfId="0" applyNumberFormat="1" applyFont="1" applyFill="1" applyBorder="1" applyAlignment="1">
      <alignment horizontal="center" vertical="top" wrapText="1"/>
    </xf>
    <xf numFmtId="3" fontId="1" fillId="4" borderId="20" xfId="0" applyNumberFormat="1" applyFont="1" applyFill="1" applyBorder="1" applyAlignment="1">
      <alignment horizontal="center" vertical="top"/>
    </xf>
    <xf numFmtId="164" fontId="2" fillId="2" borderId="57" xfId="0" applyNumberFormat="1" applyFont="1" applyFill="1" applyBorder="1" applyAlignment="1">
      <alignment horizontal="center" vertical="top" wrapText="1"/>
    </xf>
    <xf numFmtId="164" fontId="2" fillId="2" borderId="19" xfId="0" applyNumberFormat="1" applyFont="1" applyFill="1" applyBorder="1" applyAlignment="1">
      <alignment horizontal="center" vertical="top" wrapText="1"/>
    </xf>
    <xf numFmtId="164" fontId="2" fillId="2" borderId="68" xfId="0" applyNumberFormat="1" applyFont="1" applyFill="1" applyBorder="1" applyAlignment="1">
      <alignment horizontal="center" vertical="top" wrapText="1"/>
    </xf>
    <xf numFmtId="49" fontId="2" fillId="2" borderId="11" xfId="0" applyNumberFormat="1" applyFont="1" applyFill="1" applyBorder="1" applyAlignment="1">
      <alignment horizontal="left" vertical="top" wrapText="1"/>
    </xf>
    <xf numFmtId="3" fontId="1" fillId="3" borderId="16" xfId="0" applyNumberFormat="1" applyFont="1" applyFill="1" applyBorder="1" applyAlignment="1">
      <alignment horizontal="center" vertical="top" wrapText="1"/>
    </xf>
    <xf numFmtId="3" fontId="1" fillId="0" borderId="62" xfId="0" applyNumberFormat="1" applyFont="1" applyFill="1" applyBorder="1" applyAlignment="1">
      <alignment horizontal="center" vertical="top" wrapText="1"/>
    </xf>
    <xf numFmtId="164" fontId="1" fillId="3" borderId="65" xfId="0" applyNumberFormat="1" applyFont="1" applyFill="1" applyBorder="1" applyAlignment="1">
      <alignment horizontal="center" vertical="top" wrapText="1"/>
    </xf>
    <xf numFmtId="164" fontId="1" fillId="3" borderId="66" xfId="0" applyNumberFormat="1" applyFont="1" applyFill="1" applyBorder="1" applyAlignment="1">
      <alignment horizontal="center" vertical="top" wrapText="1"/>
    </xf>
    <xf numFmtId="3" fontId="1" fillId="3" borderId="17" xfId="0" applyNumberFormat="1" applyFont="1" applyFill="1" applyBorder="1" applyAlignment="1">
      <alignment horizontal="center" vertical="top" wrapText="1"/>
    </xf>
    <xf numFmtId="164" fontId="1" fillId="3" borderId="17" xfId="0" applyNumberFormat="1" applyFont="1" applyFill="1" applyBorder="1" applyAlignment="1">
      <alignment horizontal="center" vertical="top" wrapText="1"/>
    </xf>
    <xf numFmtId="164" fontId="1" fillId="3" borderId="18" xfId="0" applyNumberFormat="1" applyFont="1" applyFill="1" applyBorder="1" applyAlignment="1">
      <alignment horizontal="center" vertical="top" wrapText="1"/>
    </xf>
    <xf numFmtId="49" fontId="2" fillId="3" borderId="18" xfId="0" applyNumberFormat="1" applyFont="1" applyFill="1" applyBorder="1" applyAlignment="1">
      <alignment horizontal="center" vertical="top" wrapText="1"/>
    </xf>
    <xf numFmtId="49" fontId="4" fillId="3" borderId="52" xfId="0" applyNumberFormat="1" applyFont="1" applyFill="1" applyBorder="1" applyAlignment="1">
      <alignment horizontal="center" vertical="top" wrapText="1"/>
    </xf>
    <xf numFmtId="3" fontId="2" fillId="4" borderId="66" xfId="0" applyNumberFormat="1" applyFont="1" applyFill="1" applyBorder="1" applyAlignment="1">
      <alignment horizontal="center" vertical="center" textRotation="90" wrapText="1"/>
    </xf>
    <xf numFmtId="3" fontId="2" fillId="3" borderId="44" xfId="0" applyNumberFormat="1" applyFont="1" applyFill="1" applyBorder="1" applyAlignment="1">
      <alignment horizontal="center" vertical="top" wrapText="1"/>
    </xf>
    <xf numFmtId="49" fontId="4" fillId="3" borderId="64" xfId="0" applyNumberFormat="1" applyFont="1" applyFill="1" applyBorder="1" applyAlignment="1">
      <alignment vertical="top"/>
    </xf>
    <xf numFmtId="49" fontId="4" fillId="3" borderId="13" xfId="0" applyNumberFormat="1" applyFont="1" applyFill="1" applyBorder="1" applyAlignment="1">
      <alignment horizontal="center" vertical="top"/>
    </xf>
    <xf numFmtId="3" fontId="1" fillId="0" borderId="22" xfId="0" applyNumberFormat="1" applyFont="1" applyBorder="1" applyAlignment="1">
      <alignment horizontal="center" vertical="top"/>
    </xf>
    <xf numFmtId="49" fontId="4" fillId="3" borderId="19" xfId="0" applyNumberFormat="1" applyFont="1" applyFill="1" applyBorder="1" applyAlignment="1">
      <alignment vertical="top"/>
    </xf>
    <xf numFmtId="49" fontId="4" fillId="3" borderId="19" xfId="0" applyNumberFormat="1" applyFont="1" applyFill="1" applyBorder="1" applyAlignment="1">
      <alignment horizontal="center" vertical="top"/>
    </xf>
    <xf numFmtId="3" fontId="1" fillId="0" borderId="20" xfId="0" applyNumberFormat="1" applyFont="1" applyBorder="1" applyAlignment="1">
      <alignment horizontal="center" vertical="top"/>
    </xf>
    <xf numFmtId="49" fontId="2" fillId="3" borderId="13" xfId="0" applyNumberFormat="1" applyFont="1" applyFill="1" applyBorder="1" applyAlignment="1">
      <alignment vertical="top" wrapText="1"/>
    </xf>
    <xf numFmtId="49" fontId="2" fillId="3" borderId="18" xfId="0" applyNumberFormat="1" applyFont="1" applyFill="1" applyBorder="1" applyAlignment="1">
      <alignment vertical="top" wrapText="1"/>
    </xf>
    <xf numFmtId="3" fontId="14" fillId="4" borderId="17" xfId="0" applyNumberFormat="1" applyFont="1" applyFill="1" applyBorder="1" applyAlignment="1">
      <alignment horizontal="center" vertical="top" wrapText="1"/>
    </xf>
    <xf numFmtId="49" fontId="2" fillId="3" borderId="19" xfId="0" applyNumberFormat="1" applyFont="1" applyFill="1" applyBorder="1" applyAlignment="1">
      <alignment vertical="top" wrapText="1"/>
    </xf>
    <xf numFmtId="3" fontId="2" fillId="3" borderId="68" xfId="0" applyNumberFormat="1" applyFont="1" applyFill="1" applyBorder="1" applyAlignment="1">
      <alignment horizontal="center" vertical="top" wrapText="1"/>
    </xf>
    <xf numFmtId="164" fontId="5" fillId="5" borderId="46" xfId="0" applyNumberFormat="1" applyFont="1" applyFill="1" applyBorder="1" applyAlignment="1">
      <alignment horizontal="center" vertical="top" wrapText="1"/>
    </xf>
    <xf numFmtId="0" fontId="1" fillId="0" borderId="62" xfId="0" applyFont="1" applyFill="1" applyBorder="1" applyAlignment="1">
      <alignment horizontal="center" vertical="top" wrapText="1"/>
    </xf>
    <xf numFmtId="0" fontId="1" fillId="0" borderId="0" xfId="0" applyFont="1" applyFill="1" applyBorder="1" applyAlignment="1">
      <alignment horizontal="center" vertical="top" wrapText="1"/>
    </xf>
    <xf numFmtId="3" fontId="2" fillId="3" borderId="34" xfId="0" applyNumberFormat="1" applyFont="1" applyFill="1" applyBorder="1" applyAlignment="1">
      <alignment horizontal="center" vertical="top" wrapText="1"/>
    </xf>
    <xf numFmtId="3" fontId="2" fillId="3" borderId="54" xfId="0" applyNumberFormat="1" applyFont="1" applyFill="1" applyBorder="1" applyAlignment="1">
      <alignment horizontal="center" vertical="top" wrapText="1"/>
    </xf>
    <xf numFmtId="0" fontId="1" fillId="0" borderId="65" xfId="0" applyFont="1" applyFill="1" applyBorder="1" applyAlignment="1">
      <alignment horizontal="center" vertical="top" wrapText="1"/>
    </xf>
    <xf numFmtId="49" fontId="4" fillId="3" borderId="66" xfId="0" applyNumberFormat="1" applyFont="1" applyFill="1" applyBorder="1" applyAlignment="1">
      <alignment vertical="top" wrapText="1"/>
    </xf>
    <xf numFmtId="0" fontId="1" fillId="0" borderId="0" xfId="0" applyFont="1" applyBorder="1" applyAlignment="1">
      <alignment vertical="top" wrapText="1"/>
    </xf>
    <xf numFmtId="0" fontId="4" fillId="0" borderId="0" xfId="0" applyFont="1" applyBorder="1" applyAlignment="1">
      <alignment vertical="top" wrapText="1"/>
    </xf>
    <xf numFmtId="49" fontId="4" fillId="0" borderId="18" xfId="0" applyNumberFormat="1" applyFont="1" applyBorder="1" applyAlignment="1">
      <alignment horizontal="center" vertical="top" wrapText="1"/>
    </xf>
    <xf numFmtId="0" fontId="1" fillId="0" borderId="17" xfId="0" applyFont="1" applyFill="1" applyBorder="1" applyAlignment="1">
      <alignment horizontal="center" vertical="top" wrapText="1"/>
    </xf>
    <xf numFmtId="164" fontId="1" fillId="4" borderId="104" xfId="0" applyNumberFormat="1" applyFont="1" applyFill="1" applyBorder="1" applyAlignment="1">
      <alignment horizontal="center" vertical="top"/>
    </xf>
    <xf numFmtId="164" fontId="1" fillId="4" borderId="105" xfId="0" applyNumberFormat="1" applyFont="1" applyFill="1" applyBorder="1" applyAlignment="1">
      <alignment horizontal="center" vertical="top"/>
    </xf>
    <xf numFmtId="0" fontId="1" fillId="4" borderId="17" xfId="0" applyFont="1" applyFill="1" applyBorder="1" applyAlignment="1">
      <alignment vertical="top" wrapText="1"/>
    </xf>
    <xf numFmtId="3" fontId="4" fillId="4" borderId="41" xfId="0" applyNumberFormat="1" applyFont="1" applyFill="1" applyBorder="1" applyAlignment="1">
      <alignment horizontal="center" vertical="top"/>
    </xf>
    <xf numFmtId="3" fontId="4" fillId="4" borderId="7" xfId="0" applyNumberFormat="1" applyFont="1" applyFill="1" applyBorder="1" applyAlignment="1">
      <alignment horizontal="center" vertical="top"/>
    </xf>
    <xf numFmtId="0" fontId="1" fillId="0" borderId="106" xfId="0" applyFont="1" applyFill="1" applyBorder="1" applyAlignment="1">
      <alignment vertical="top" wrapText="1"/>
    </xf>
    <xf numFmtId="164" fontId="1" fillId="4" borderId="106" xfId="0" applyNumberFormat="1" applyFont="1" applyFill="1" applyBorder="1" applyAlignment="1">
      <alignment vertical="top"/>
    </xf>
    <xf numFmtId="164" fontId="1" fillId="4" borderId="107" xfId="0" applyNumberFormat="1" applyFont="1" applyFill="1" applyBorder="1" applyAlignment="1">
      <alignment vertical="top"/>
    </xf>
    <xf numFmtId="3" fontId="4" fillId="0" borderId="26" xfId="0" applyNumberFormat="1" applyFont="1" applyFill="1" applyBorder="1" applyAlignment="1">
      <alignment horizontal="center" vertical="top"/>
    </xf>
    <xf numFmtId="49" fontId="4" fillId="0" borderId="66" xfId="0" applyNumberFormat="1" applyFont="1" applyBorder="1" applyAlignment="1">
      <alignment horizontal="center" vertical="top" wrapText="1"/>
    </xf>
    <xf numFmtId="164" fontId="1" fillId="4" borderId="18" xfId="0" applyNumberFormat="1" applyFont="1" applyFill="1" applyBorder="1" applyAlignment="1">
      <alignment vertical="top"/>
    </xf>
    <xf numFmtId="0" fontId="1" fillId="4" borderId="37" xfId="0" applyFont="1" applyFill="1" applyBorder="1" applyAlignment="1">
      <alignment horizontal="left" vertical="top" wrapText="1"/>
    </xf>
    <xf numFmtId="3" fontId="1" fillId="4" borderId="108" xfId="0" applyNumberFormat="1" applyFont="1" applyFill="1" applyBorder="1" applyAlignment="1">
      <alignment horizontal="center" vertical="top"/>
    </xf>
    <xf numFmtId="3" fontId="1" fillId="4" borderId="109" xfId="0" applyNumberFormat="1" applyFont="1" applyFill="1" applyBorder="1" applyAlignment="1">
      <alignment horizontal="center" vertical="top"/>
    </xf>
    <xf numFmtId="0" fontId="1" fillId="0" borderId="63" xfId="0" applyFont="1" applyFill="1" applyBorder="1" applyAlignment="1">
      <alignment horizontal="center" vertical="top" wrapText="1"/>
    </xf>
    <xf numFmtId="49" fontId="4" fillId="0" borderId="60" xfId="0" applyNumberFormat="1" applyFont="1" applyBorder="1" applyAlignment="1">
      <alignment horizontal="center" vertical="top" wrapText="1"/>
    </xf>
    <xf numFmtId="3" fontId="2" fillId="4" borderId="40" xfId="0" applyNumberFormat="1" applyFont="1" applyFill="1" applyBorder="1" applyAlignment="1">
      <alignment horizontal="center" vertical="top" wrapText="1"/>
    </xf>
    <xf numFmtId="49" fontId="2" fillId="2" borderId="67" xfId="0" applyNumberFormat="1" applyFont="1" applyFill="1" applyBorder="1" applyAlignment="1">
      <alignment horizontal="center" vertical="top" wrapText="1"/>
    </xf>
    <xf numFmtId="49" fontId="4" fillId="0" borderId="32" xfId="0" applyNumberFormat="1" applyFont="1" applyBorder="1" applyAlignment="1">
      <alignment horizontal="center" vertical="top" wrapText="1"/>
    </xf>
    <xf numFmtId="49" fontId="2" fillId="7" borderId="1" xfId="0" applyNumberFormat="1" applyFont="1" applyFill="1" applyBorder="1" applyAlignment="1">
      <alignment horizontal="center" vertical="top" wrapText="1"/>
    </xf>
    <xf numFmtId="3" fontId="2" fillId="2" borderId="44" xfId="0" applyNumberFormat="1" applyFont="1" applyFill="1" applyBorder="1" applyAlignment="1">
      <alignment horizontal="center" vertical="top" wrapText="1"/>
    </xf>
    <xf numFmtId="3" fontId="2" fillId="2" borderId="69" xfId="0" applyNumberFormat="1" applyFont="1" applyFill="1" applyBorder="1" applyAlignment="1">
      <alignment horizontal="center" vertical="top" wrapText="1"/>
    </xf>
    <xf numFmtId="3" fontId="3" fillId="0" borderId="0" xfId="0" applyNumberFormat="1" applyFont="1" applyBorder="1" applyAlignment="1">
      <alignment vertical="top" wrapText="1"/>
    </xf>
    <xf numFmtId="164" fontId="2" fillId="7" borderId="57" xfId="0" applyNumberFormat="1" applyFont="1" applyFill="1" applyBorder="1" applyAlignment="1">
      <alignment horizontal="center" vertical="top" wrapText="1"/>
    </xf>
    <xf numFmtId="164" fontId="2" fillId="7" borderId="19" xfId="0" applyNumberFormat="1" applyFont="1" applyFill="1" applyBorder="1" applyAlignment="1">
      <alignment horizontal="center" vertical="top" wrapText="1"/>
    </xf>
    <xf numFmtId="3" fontId="2" fillId="7" borderId="12" xfId="0" applyNumberFormat="1" applyFont="1" applyFill="1" applyBorder="1" applyAlignment="1">
      <alignment horizontal="center" vertical="top" wrapText="1"/>
    </xf>
    <xf numFmtId="3" fontId="2" fillId="7" borderId="55" xfId="0" applyNumberFormat="1" applyFont="1" applyFill="1" applyBorder="1" applyAlignment="1">
      <alignment horizontal="center" vertical="top" wrapText="1"/>
    </xf>
    <xf numFmtId="3" fontId="2" fillId="7" borderId="73" xfId="0" applyNumberFormat="1" applyFont="1" applyFill="1" applyBorder="1" applyAlignment="1">
      <alignment horizontal="center" vertical="top" wrapText="1"/>
    </xf>
    <xf numFmtId="3" fontId="1" fillId="0" borderId="0" xfId="0" applyNumberFormat="1" applyFont="1" applyAlignment="1">
      <alignment vertical="top" wrapText="1"/>
    </xf>
    <xf numFmtId="49" fontId="2" fillId="8" borderId="1" xfId="0" applyNumberFormat="1" applyFont="1" applyFill="1" applyBorder="1" applyAlignment="1">
      <alignment horizontal="center" vertical="top" wrapText="1"/>
    </xf>
    <xf numFmtId="164" fontId="2" fillId="8" borderId="12" xfId="0" applyNumberFormat="1" applyFont="1" applyFill="1" applyBorder="1" applyAlignment="1">
      <alignment horizontal="center" vertical="top" wrapText="1"/>
    </xf>
    <xf numFmtId="164" fontId="2" fillId="8" borderId="11" xfId="0" applyNumberFormat="1" applyFont="1" applyFill="1" applyBorder="1" applyAlignment="1">
      <alignment horizontal="center" vertical="top" wrapText="1"/>
    </xf>
    <xf numFmtId="3" fontId="2" fillId="8" borderId="12" xfId="0" applyNumberFormat="1" applyFont="1" applyFill="1" applyBorder="1" applyAlignment="1">
      <alignment horizontal="center" vertical="top" wrapText="1"/>
    </xf>
    <xf numFmtId="3" fontId="2" fillId="8" borderId="55" xfId="0" applyNumberFormat="1" applyFont="1" applyFill="1" applyBorder="1" applyAlignment="1">
      <alignment horizontal="center" vertical="top" wrapText="1"/>
    </xf>
    <xf numFmtId="3" fontId="2" fillId="8" borderId="73" xfId="0" applyNumberFormat="1" applyFont="1" applyFill="1" applyBorder="1" applyAlignment="1">
      <alignment horizontal="center" vertical="top" wrapText="1"/>
    </xf>
    <xf numFmtId="3" fontId="3" fillId="0" borderId="0" xfId="0" applyNumberFormat="1" applyFont="1" applyBorder="1"/>
    <xf numFmtId="3" fontId="2" fillId="0" borderId="0" xfId="0" applyNumberFormat="1" applyFont="1" applyFill="1" applyBorder="1" applyAlignment="1">
      <alignment wrapText="1"/>
    </xf>
    <xf numFmtId="165" fontId="4" fillId="0" borderId="16" xfId="0" applyNumberFormat="1" applyFont="1" applyBorder="1" applyAlignment="1">
      <alignment horizontal="center" vertical="center" textRotation="90" wrapText="1"/>
    </xf>
    <xf numFmtId="165" fontId="4" fillId="0" borderId="13" xfId="0" applyNumberFormat="1" applyFont="1" applyBorder="1" applyAlignment="1">
      <alignment horizontal="center" vertical="center" textRotation="90" wrapText="1"/>
    </xf>
    <xf numFmtId="165" fontId="4" fillId="0" borderId="39" xfId="0" applyNumberFormat="1" applyFont="1" applyBorder="1" applyAlignment="1">
      <alignment horizontal="center" vertical="center" textRotation="90" wrapText="1"/>
    </xf>
    <xf numFmtId="3" fontId="1" fillId="0" borderId="0" xfId="0" applyNumberFormat="1" applyFont="1" applyAlignment="1">
      <alignment horizontal="center" vertical="top" wrapText="1"/>
    </xf>
    <xf numFmtId="165" fontId="2" fillId="8" borderId="75" xfId="0" applyNumberFormat="1" applyFont="1" applyFill="1" applyBorder="1" applyAlignment="1">
      <alignment horizontal="center" vertical="top" wrapText="1"/>
    </xf>
    <xf numFmtId="165" fontId="2" fillId="8" borderId="29" xfId="0" applyNumberFormat="1" applyFont="1" applyFill="1" applyBorder="1" applyAlignment="1">
      <alignment horizontal="center" vertical="top" wrapText="1"/>
    </xf>
    <xf numFmtId="165" fontId="2" fillId="8" borderId="30" xfId="0" applyNumberFormat="1" applyFont="1" applyFill="1" applyBorder="1" applyAlignment="1">
      <alignment horizontal="center" vertical="top" wrapText="1"/>
    </xf>
    <xf numFmtId="165" fontId="2" fillId="5" borderId="63" xfId="0" applyNumberFormat="1" applyFont="1" applyFill="1" applyBorder="1" applyAlignment="1">
      <alignment horizontal="center" vertical="top" wrapText="1"/>
    </xf>
    <xf numFmtId="165" fontId="2" fillId="5" borderId="43" xfId="0" applyNumberFormat="1" applyFont="1" applyFill="1" applyBorder="1" applyAlignment="1">
      <alignment horizontal="center" vertical="top" wrapText="1"/>
    </xf>
    <xf numFmtId="165" fontId="2" fillId="5" borderId="61" xfId="0" applyNumberFormat="1" applyFont="1" applyFill="1" applyBorder="1" applyAlignment="1">
      <alignment horizontal="center" vertical="top" wrapText="1"/>
    </xf>
    <xf numFmtId="164" fontId="4" fillId="0" borderId="53" xfId="0" applyNumberFormat="1" applyFont="1" applyFill="1" applyBorder="1" applyAlignment="1">
      <alignment horizontal="center" vertical="top" wrapText="1"/>
    </xf>
    <xf numFmtId="164" fontId="4" fillId="0" borderId="61" xfId="0" applyNumberFormat="1" applyFont="1" applyFill="1" applyBorder="1" applyAlignment="1">
      <alignment horizontal="center" vertical="top" wrapText="1"/>
    </xf>
    <xf numFmtId="164" fontId="4" fillId="0" borderId="31" xfId="0" applyNumberFormat="1" applyFont="1" applyFill="1" applyBorder="1" applyAlignment="1">
      <alignment horizontal="center" vertical="top" wrapText="1"/>
    </xf>
    <xf numFmtId="164" fontId="4" fillId="0" borderId="40" xfId="0" applyNumberFormat="1" applyFont="1" applyFill="1" applyBorder="1" applyAlignment="1">
      <alignment horizontal="center" vertical="top" wrapText="1"/>
    </xf>
    <xf numFmtId="164" fontId="4" fillId="5" borderId="65" xfId="0" applyNumberFormat="1" applyFont="1" applyFill="1" applyBorder="1" applyAlignment="1">
      <alignment horizontal="center" vertical="top" wrapText="1"/>
    </xf>
    <xf numFmtId="164" fontId="4" fillId="5" borderId="66" xfId="0" applyNumberFormat="1" applyFont="1" applyFill="1" applyBorder="1" applyAlignment="1">
      <alignment horizontal="center" vertical="top" wrapText="1"/>
    </xf>
    <xf numFmtId="164" fontId="4" fillId="5" borderId="53" xfId="0" applyNumberFormat="1" applyFont="1" applyFill="1" applyBorder="1" applyAlignment="1">
      <alignment horizontal="center" vertical="top" wrapText="1"/>
    </xf>
    <xf numFmtId="164" fontId="5" fillId="8" borderId="57" xfId="0" applyNumberFormat="1" applyFont="1" applyFill="1" applyBorder="1" applyAlignment="1">
      <alignment horizontal="center" vertical="top" wrapText="1"/>
    </xf>
    <xf numFmtId="164" fontId="5" fillId="8" borderId="19" xfId="0" applyNumberFormat="1" applyFont="1" applyFill="1" applyBorder="1" applyAlignment="1">
      <alignment horizontal="center" vertical="top" wrapText="1"/>
    </xf>
    <xf numFmtId="164" fontId="5" fillId="8" borderId="21" xfId="0" applyNumberFormat="1" applyFont="1" applyFill="1" applyBorder="1" applyAlignment="1">
      <alignment horizontal="center" vertical="top" wrapText="1"/>
    </xf>
    <xf numFmtId="164" fontId="4" fillId="0" borderId="40" xfId="0" applyNumberFormat="1" applyFont="1" applyBorder="1" applyAlignment="1">
      <alignment horizontal="center" vertical="top" wrapText="1"/>
    </xf>
    <xf numFmtId="164" fontId="4" fillId="0" borderId="45" xfId="0" applyNumberFormat="1" applyFont="1" applyBorder="1" applyAlignment="1">
      <alignment horizontal="center" vertical="top" wrapText="1"/>
    </xf>
    <xf numFmtId="164" fontId="5" fillId="5" borderId="83" xfId="0" applyNumberFormat="1" applyFont="1" applyFill="1" applyBorder="1" applyAlignment="1">
      <alignment horizontal="center" vertical="top" wrapText="1"/>
    </xf>
    <xf numFmtId="3" fontId="4" fillId="0" borderId="0" xfId="0" applyNumberFormat="1" applyFont="1" applyAlignment="1">
      <alignment horizontal="center" vertical="top" wrapText="1"/>
    </xf>
    <xf numFmtId="165" fontId="1" fillId="0" borderId="0" xfId="0" applyNumberFormat="1" applyFont="1" applyAlignment="1">
      <alignment horizontal="center" vertical="top" wrapText="1"/>
    </xf>
    <xf numFmtId="3" fontId="4" fillId="0" borderId="0" xfId="0" applyNumberFormat="1" applyFont="1" applyBorder="1" applyAlignment="1">
      <alignment horizontal="center" vertical="top" wrapText="1"/>
    </xf>
    <xf numFmtId="165" fontId="1" fillId="0" borderId="0" xfId="0" applyNumberFormat="1" applyFont="1" applyBorder="1" applyAlignment="1">
      <alignment horizontal="center" vertical="top" wrapText="1"/>
    </xf>
    <xf numFmtId="49" fontId="1" fillId="0" borderId="0" xfId="0" applyNumberFormat="1" applyFont="1" applyBorder="1" applyAlignment="1">
      <alignment vertical="top" wrapText="1"/>
    </xf>
    <xf numFmtId="49" fontId="4" fillId="0" borderId="0" xfId="0" applyNumberFormat="1" applyFont="1" applyBorder="1" applyAlignment="1">
      <alignment vertical="top" wrapText="1"/>
    </xf>
    <xf numFmtId="49" fontId="4" fillId="0" borderId="0" xfId="0" applyNumberFormat="1" applyFont="1" applyBorder="1" applyAlignment="1">
      <alignment horizontal="center" vertical="top" wrapText="1"/>
    </xf>
    <xf numFmtId="0" fontId="26" fillId="0" borderId="0" xfId="0" applyNumberFormat="1" applyFont="1" applyFill="1" applyAlignment="1" applyProtection="1">
      <alignment wrapText="1" readingOrder="1"/>
    </xf>
    <xf numFmtId="0" fontId="25" fillId="0" borderId="117" xfId="0" applyNumberFormat="1" applyFont="1" applyFill="1" applyBorder="1" applyAlignment="1" applyProtection="1">
      <alignment horizontal="center" wrapText="1" readingOrder="1"/>
    </xf>
    <xf numFmtId="0" fontId="24" fillId="13" borderId="110" xfId="0" applyNumberFormat="1" applyFont="1" applyFill="1" applyBorder="1" applyAlignment="1" applyProtection="1">
      <alignment vertical="top" wrapText="1" readingOrder="1"/>
      <protection locked="0"/>
    </xf>
    <xf numFmtId="0" fontId="25" fillId="13" borderId="111" xfId="0" applyNumberFormat="1" applyFont="1" applyFill="1" applyBorder="1" applyAlignment="1" applyProtection="1">
      <alignment vertical="top" wrapText="1" readingOrder="1"/>
      <protection locked="0"/>
    </xf>
    <xf numFmtId="0" fontId="25" fillId="13" borderId="111" xfId="0" applyNumberFormat="1" applyFont="1" applyFill="1" applyBorder="1" applyAlignment="1" applyProtection="1">
      <alignment horizontal="center" vertical="top" wrapText="1" readingOrder="1"/>
      <protection locked="0"/>
    </xf>
    <xf numFmtId="0" fontId="25" fillId="13" borderId="111" xfId="0" applyNumberFormat="1" applyFont="1" applyFill="1" applyBorder="1" applyAlignment="1" applyProtection="1">
      <alignment horizontal="left" vertical="top" wrapText="1" readingOrder="1"/>
      <protection locked="0"/>
    </xf>
    <xf numFmtId="169" fontId="25" fillId="13" borderId="111" xfId="0" applyNumberFormat="1" applyFont="1" applyFill="1" applyBorder="1" applyAlignment="1" applyProtection="1">
      <alignment horizontal="right" vertical="top" wrapText="1" readingOrder="1"/>
    </xf>
    <xf numFmtId="0" fontId="24" fillId="13" borderId="111" xfId="0" applyNumberFormat="1" applyFont="1" applyFill="1" applyBorder="1" applyAlignment="1" applyProtection="1">
      <alignment horizontal="center" vertical="top" wrapText="1" readingOrder="1"/>
      <protection locked="0"/>
    </xf>
    <xf numFmtId="0" fontId="25" fillId="13" borderId="112" xfId="0" applyNumberFormat="1" applyFont="1" applyFill="1" applyBorder="1" applyAlignment="1" applyProtection="1">
      <alignment horizontal="left" vertical="top" wrapText="1" readingOrder="1"/>
      <protection locked="0"/>
    </xf>
    <xf numFmtId="0" fontId="25" fillId="14" borderId="111" xfId="0" applyNumberFormat="1" applyFont="1" applyFill="1" applyBorder="1" applyAlignment="1" applyProtection="1">
      <alignment horizontal="center" vertical="top" wrapText="1" readingOrder="1"/>
      <protection locked="0"/>
    </xf>
    <xf numFmtId="0" fontId="25" fillId="14" borderId="111" xfId="0" applyNumberFormat="1" applyFont="1" applyFill="1" applyBorder="1" applyAlignment="1" applyProtection="1">
      <alignment horizontal="left" vertical="top" wrapText="1" readingOrder="1"/>
      <protection locked="0"/>
    </xf>
    <xf numFmtId="169" fontId="25" fillId="14" borderId="111" xfId="0" applyNumberFormat="1" applyFont="1" applyFill="1" applyBorder="1" applyAlignment="1" applyProtection="1">
      <alignment horizontal="right" vertical="top" wrapText="1" readingOrder="1"/>
    </xf>
    <xf numFmtId="0" fontId="24" fillId="14" borderId="111" xfId="0" applyNumberFormat="1" applyFont="1" applyFill="1" applyBorder="1" applyAlignment="1" applyProtection="1">
      <alignment horizontal="center" vertical="top" wrapText="1" readingOrder="1"/>
      <protection locked="0"/>
    </xf>
    <xf numFmtId="0" fontId="25" fillId="14" borderId="112" xfId="0" applyNumberFormat="1" applyFont="1" applyFill="1" applyBorder="1" applyAlignment="1" applyProtection="1">
      <alignment horizontal="left" vertical="top" wrapText="1" readingOrder="1"/>
      <protection locked="0"/>
    </xf>
    <xf numFmtId="0" fontId="26" fillId="15" borderId="114" xfId="0" applyNumberFormat="1" applyFont="1" applyFill="1" applyBorder="1" applyAlignment="1" applyProtection="1">
      <alignment horizontal="left" vertical="top" wrapText="1" readingOrder="1"/>
      <protection locked="0"/>
    </xf>
    <xf numFmtId="169" fontId="26" fillId="15" borderId="114" xfId="0" applyNumberFormat="1" applyFont="1" applyFill="1" applyBorder="1" applyAlignment="1" applyProtection="1">
      <alignment horizontal="right" vertical="top" wrapText="1" readingOrder="1"/>
      <protection locked="0"/>
    </xf>
    <xf numFmtId="0" fontId="27" fillId="15" borderId="114" xfId="0" applyNumberFormat="1" applyFont="1" applyFill="1" applyBorder="1" applyAlignment="1" applyProtection="1">
      <alignment horizontal="center" vertical="top" wrapText="1" readingOrder="1"/>
      <protection locked="0"/>
    </xf>
    <xf numFmtId="0" fontId="26" fillId="15" borderId="114" xfId="0" applyNumberFormat="1" applyFont="1" applyFill="1" applyBorder="1" applyAlignment="1" applyProtection="1">
      <alignment horizontal="center" vertical="top" wrapText="1" readingOrder="1"/>
      <protection locked="0"/>
    </xf>
    <xf numFmtId="0" fontId="26" fillId="15" borderId="115" xfId="0" applyNumberFormat="1" applyFont="1" applyFill="1" applyBorder="1" applyAlignment="1" applyProtection="1">
      <alignment horizontal="left" vertical="top" wrapText="1" readingOrder="1"/>
      <protection locked="0"/>
    </xf>
    <xf numFmtId="0" fontId="24" fillId="16" borderId="110" xfId="0" applyNumberFormat="1" applyFont="1" applyFill="1" applyBorder="1" applyAlignment="1" applyProtection="1">
      <alignment vertical="top" wrapText="1" readingOrder="1"/>
      <protection locked="0"/>
    </xf>
    <xf numFmtId="0" fontId="25" fillId="16" borderId="111" xfId="0" applyNumberFormat="1" applyFont="1" applyFill="1" applyBorder="1" applyAlignment="1" applyProtection="1">
      <alignment vertical="top" wrapText="1" readingOrder="1"/>
      <protection locked="0"/>
    </xf>
    <xf numFmtId="0" fontId="25" fillId="16" borderId="111" xfId="0" applyNumberFormat="1" applyFont="1" applyFill="1" applyBorder="1" applyAlignment="1" applyProtection="1">
      <alignment horizontal="center" vertical="top" wrapText="1" readingOrder="1"/>
      <protection locked="0"/>
    </xf>
    <xf numFmtId="0" fontId="25" fillId="16" borderId="111" xfId="0" applyNumberFormat="1" applyFont="1" applyFill="1" applyBorder="1" applyAlignment="1" applyProtection="1">
      <alignment horizontal="left" vertical="top" wrapText="1" readingOrder="1"/>
      <protection locked="0"/>
    </xf>
    <xf numFmtId="169" fontId="25" fillId="16" borderId="111" xfId="0" applyNumberFormat="1" applyFont="1" applyFill="1" applyBorder="1" applyAlignment="1" applyProtection="1">
      <alignment horizontal="right" vertical="top" wrapText="1" readingOrder="1"/>
    </xf>
    <xf numFmtId="0" fontId="24" fillId="16" borderId="111" xfId="0" applyNumberFormat="1" applyFont="1" applyFill="1" applyBorder="1" applyAlignment="1" applyProtection="1">
      <alignment horizontal="center" vertical="top" wrapText="1" readingOrder="1"/>
      <protection locked="0"/>
    </xf>
    <xf numFmtId="0" fontId="25" fillId="16" borderId="112" xfId="0" applyNumberFormat="1" applyFont="1" applyFill="1" applyBorder="1" applyAlignment="1" applyProtection="1">
      <alignment horizontal="left" vertical="top" wrapText="1" readingOrder="1"/>
      <protection locked="0"/>
    </xf>
    <xf numFmtId="0" fontId="27" fillId="0" borderId="110" xfId="0" applyNumberFormat="1" applyFont="1" applyFill="1" applyBorder="1" applyAlignment="1" applyProtection="1">
      <alignment vertical="top" wrapText="1" readingOrder="1"/>
      <protection locked="0"/>
    </xf>
    <xf numFmtId="0" fontId="26" fillId="0" borderId="111" xfId="0" applyNumberFormat="1" applyFont="1" applyFill="1" applyBorder="1" applyAlignment="1" applyProtection="1">
      <alignment vertical="top" wrapText="1" readingOrder="1"/>
      <protection locked="0"/>
    </xf>
    <xf numFmtId="0" fontId="25" fillId="0" borderId="111" xfId="0" applyNumberFormat="1" applyFont="1" applyFill="1" applyBorder="1" applyAlignment="1" applyProtection="1">
      <alignment horizontal="center" vertical="top" wrapText="1" readingOrder="1"/>
      <protection locked="0"/>
    </xf>
    <xf numFmtId="0" fontId="26" fillId="0" borderId="111" xfId="0" applyNumberFormat="1" applyFont="1" applyFill="1" applyBorder="1" applyAlignment="1" applyProtection="1">
      <alignment horizontal="left" vertical="top" wrapText="1" readingOrder="1"/>
      <protection locked="0"/>
    </xf>
    <xf numFmtId="169" fontId="26" fillId="0" borderId="111" xfId="0" applyNumberFormat="1" applyFont="1" applyFill="1" applyBorder="1" applyAlignment="1" applyProtection="1">
      <alignment horizontal="right" vertical="top" wrapText="1" readingOrder="1"/>
    </xf>
    <xf numFmtId="0" fontId="27" fillId="0" borderId="111" xfId="0" applyNumberFormat="1" applyFont="1" applyFill="1" applyBorder="1" applyAlignment="1" applyProtection="1">
      <alignment horizontal="center" vertical="top" wrapText="1" readingOrder="1"/>
      <protection locked="0"/>
    </xf>
    <xf numFmtId="0" fontId="26" fillId="0" borderId="111" xfId="0" applyNumberFormat="1" applyFont="1" applyFill="1" applyBorder="1" applyAlignment="1" applyProtection="1">
      <alignment horizontal="center" vertical="top" wrapText="1" readingOrder="1"/>
      <protection locked="0"/>
    </xf>
    <xf numFmtId="0" fontId="26" fillId="0" borderId="112" xfId="0" applyNumberFormat="1" applyFont="1" applyFill="1" applyBorder="1" applyAlignment="1" applyProtection="1">
      <alignment horizontal="left" vertical="top" wrapText="1" readingOrder="1"/>
      <protection locked="0"/>
    </xf>
    <xf numFmtId="0" fontId="25" fillId="0" borderId="120" xfId="0" applyNumberFormat="1" applyFont="1" applyFill="1" applyBorder="1" applyAlignment="1" applyProtection="1">
      <alignment horizontal="center" vertical="top" wrapText="1" readingOrder="1"/>
      <protection locked="0"/>
    </xf>
    <xf numFmtId="0" fontId="25" fillId="0" borderId="122" xfId="0" applyNumberFormat="1" applyFont="1" applyFill="1" applyBorder="1" applyAlignment="1" applyProtection="1">
      <alignment horizontal="center" vertical="top" wrapText="1" readingOrder="1"/>
      <protection locked="0"/>
    </xf>
    <xf numFmtId="0" fontId="26" fillId="0" borderId="114" xfId="0" applyNumberFormat="1" applyFont="1" applyFill="1" applyBorder="1" applyAlignment="1" applyProtection="1">
      <alignment horizontal="left" vertical="top" wrapText="1" readingOrder="1"/>
      <protection locked="0"/>
    </xf>
    <xf numFmtId="169" fontId="26" fillId="0" borderId="114" xfId="0" applyNumberFormat="1" applyFont="1" applyFill="1" applyBorder="1" applyAlignment="1" applyProtection="1">
      <alignment horizontal="right" vertical="top" wrapText="1" readingOrder="1"/>
      <protection locked="0"/>
    </xf>
    <xf numFmtId="0" fontId="26" fillId="0" borderId="123" xfId="0" applyNumberFormat="1" applyFont="1" applyFill="1" applyBorder="1" applyAlignment="1" applyProtection="1">
      <alignment horizontal="left" vertical="top" wrapText="1" readingOrder="1"/>
      <protection locked="0"/>
    </xf>
    <xf numFmtId="0" fontId="27" fillId="0" borderId="123" xfId="0" applyNumberFormat="1" applyFont="1" applyFill="1" applyBorder="1" applyAlignment="1" applyProtection="1">
      <alignment horizontal="center" vertical="top" wrapText="1" readingOrder="1"/>
      <protection locked="0"/>
    </xf>
    <xf numFmtId="0" fontId="26" fillId="0" borderId="123" xfId="0" applyNumberFormat="1" applyFont="1" applyFill="1" applyBorder="1" applyAlignment="1" applyProtection="1">
      <alignment horizontal="center" vertical="top" wrapText="1" readingOrder="1"/>
      <protection locked="0"/>
    </xf>
    <xf numFmtId="0" fontId="27" fillId="0" borderId="121" xfId="0" applyNumberFormat="1" applyFont="1" applyFill="1" applyBorder="1" applyAlignment="1" applyProtection="1">
      <alignment vertical="top" wrapText="1" readingOrder="1"/>
      <protection locked="0"/>
    </xf>
    <xf numFmtId="0" fontId="27" fillId="0" borderId="122" xfId="0" applyNumberFormat="1" applyFont="1" applyFill="1" applyBorder="1" applyAlignment="1" applyProtection="1">
      <alignment horizontal="center" vertical="top" wrapText="1" readingOrder="1"/>
      <protection locked="0"/>
    </xf>
    <xf numFmtId="0" fontId="26" fillId="0" borderId="122" xfId="0" applyNumberFormat="1" applyFont="1" applyFill="1" applyBorder="1" applyAlignment="1" applyProtection="1">
      <alignment horizontal="center" vertical="top" wrapText="1" readingOrder="1"/>
      <protection locked="0"/>
    </xf>
    <xf numFmtId="0" fontId="27" fillId="0" borderId="126" xfId="0" applyNumberFormat="1" applyFont="1" applyFill="1" applyBorder="1" applyAlignment="1" applyProtection="1">
      <alignment vertical="top" wrapText="1" readingOrder="1"/>
      <protection locked="0"/>
    </xf>
    <xf numFmtId="0" fontId="26" fillId="0" borderId="127" xfId="0" applyNumberFormat="1" applyFont="1" applyFill="1" applyBorder="1" applyAlignment="1" applyProtection="1">
      <alignment vertical="top" wrapText="1" readingOrder="1"/>
      <protection locked="0"/>
    </xf>
    <xf numFmtId="0" fontId="25" fillId="0" borderId="127" xfId="0" applyNumberFormat="1" applyFont="1" applyFill="1" applyBorder="1" applyAlignment="1" applyProtection="1">
      <alignment horizontal="center" vertical="top" wrapText="1" readingOrder="1"/>
      <protection locked="0"/>
    </xf>
    <xf numFmtId="0" fontId="26" fillId="0" borderId="127" xfId="0" applyNumberFormat="1" applyFont="1" applyFill="1" applyBorder="1" applyAlignment="1" applyProtection="1">
      <alignment horizontal="left" vertical="top" wrapText="1" readingOrder="1"/>
      <protection locked="0"/>
    </xf>
    <xf numFmtId="0" fontId="27" fillId="0" borderId="127" xfId="0" applyNumberFormat="1" applyFont="1" applyFill="1" applyBorder="1" applyAlignment="1" applyProtection="1">
      <alignment horizontal="center" vertical="top" wrapText="1" readingOrder="1"/>
      <protection locked="0"/>
    </xf>
    <xf numFmtId="0" fontId="26" fillId="0" borderId="127" xfId="0" applyNumberFormat="1" applyFont="1" applyFill="1" applyBorder="1" applyAlignment="1" applyProtection="1">
      <alignment horizontal="center" vertical="top" wrapText="1" readingOrder="1"/>
      <protection locked="0"/>
    </xf>
    <xf numFmtId="0" fontId="26" fillId="0" borderId="128" xfId="0" applyNumberFormat="1" applyFont="1" applyFill="1" applyBorder="1" applyAlignment="1" applyProtection="1">
      <alignment horizontal="left" vertical="top" wrapText="1" readingOrder="1"/>
      <protection locked="0"/>
    </xf>
    <xf numFmtId="0" fontId="27" fillId="0" borderId="119" xfId="0" applyNumberFormat="1" applyFont="1" applyFill="1" applyBorder="1" applyAlignment="1" applyProtection="1">
      <alignment vertical="top" wrapText="1" readingOrder="1"/>
      <protection locked="0"/>
    </xf>
    <xf numFmtId="0" fontId="26" fillId="0" borderId="129" xfId="0" applyNumberFormat="1" applyFont="1" applyFill="1" applyBorder="1" applyAlignment="1" applyProtection="1">
      <alignment horizontal="left" vertical="top" wrapText="1" readingOrder="1"/>
      <protection locked="0"/>
    </xf>
    <xf numFmtId="169" fontId="26" fillId="0" borderId="127" xfId="0" applyNumberFormat="1" applyFont="1" applyFill="1" applyBorder="1" applyAlignment="1" applyProtection="1">
      <alignment horizontal="right" vertical="top" wrapText="1" readingOrder="1"/>
      <protection locked="0"/>
    </xf>
    <xf numFmtId="0" fontId="27" fillId="0" borderId="114" xfId="0" applyNumberFormat="1" applyFont="1" applyFill="1" applyBorder="1" applyAlignment="1" applyProtection="1">
      <alignment horizontal="center" vertical="top" wrapText="1" readingOrder="1"/>
      <protection locked="0"/>
    </xf>
    <xf numFmtId="0" fontId="26" fillId="0" borderId="114" xfId="0" applyNumberFormat="1" applyFont="1" applyFill="1" applyBorder="1" applyAlignment="1" applyProtection="1">
      <alignment horizontal="center" vertical="top" wrapText="1" readingOrder="1"/>
      <protection locked="0"/>
    </xf>
    <xf numFmtId="0" fontId="26" fillId="0" borderId="131" xfId="0" applyNumberFormat="1" applyFont="1" applyFill="1" applyBorder="1" applyAlignment="1" applyProtection="1">
      <alignment horizontal="left" vertical="top" wrapText="1" readingOrder="1"/>
      <protection locked="0"/>
    </xf>
    <xf numFmtId="0" fontId="26" fillId="0" borderId="0" xfId="0" applyNumberFormat="1" applyFont="1" applyFill="1" applyBorder="1" applyAlignment="1" applyProtection="1">
      <alignment wrapText="1" readingOrder="1"/>
    </xf>
    <xf numFmtId="0" fontId="27" fillId="0" borderId="113" xfId="0" applyNumberFormat="1" applyFont="1" applyFill="1" applyBorder="1" applyAlignment="1" applyProtection="1">
      <alignment vertical="top" wrapText="1" readingOrder="1"/>
      <protection locked="0"/>
    </xf>
    <xf numFmtId="0" fontId="26" fillId="0" borderId="114" xfId="0" applyNumberFormat="1" applyFont="1" applyFill="1" applyBorder="1" applyAlignment="1" applyProtection="1">
      <alignment vertical="top" wrapText="1" readingOrder="1"/>
      <protection locked="0"/>
    </xf>
    <xf numFmtId="0" fontId="25" fillId="0" borderId="114" xfId="0" applyNumberFormat="1" applyFont="1" applyFill="1" applyBorder="1" applyAlignment="1" applyProtection="1">
      <alignment horizontal="center" vertical="top" wrapText="1" readingOrder="1"/>
      <protection locked="0"/>
    </xf>
    <xf numFmtId="0" fontId="26" fillId="0" borderId="115" xfId="0" applyNumberFormat="1" applyFont="1" applyFill="1" applyBorder="1" applyAlignment="1" applyProtection="1">
      <alignment horizontal="left" vertical="top" wrapText="1" readingOrder="1"/>
      <protection locked="0"/>
    </xf>
    <xf numFmtId="169" fontId="26" fillId="0" borderId="111" xfId="0" applyNumberFormat="1" applyFont="1" applyFill="1" applyBorder="1" applyAlignment="1" applyProtection="1">
      <alignment horizontal="right" vertical="top" wrapText="1" readingOrder="1"/>
      <protection locked="0"/>
    </xf>
    <xf numFmtId="0" fontId="25" fillId="0" borderId="120" xfId="0" applyNumberFormat="1" applyFont="1" applyFill="1" applyBorder="1" applyAlignment="1" applyProtection="1">
      <alignment horizontal="center" vertical="top" wrapText="1" readingOrder="1"/>
      <protection locked="0"/>
    </xf>
    <xf numFmtId="0" fontId="25" fillId="0" borderId="122" xfId="0" applyNumberFormat="1" applyFont="1" applyFill="1" applyBorder="1" applyAlignment="1" applyProtection="1">
      <alignment horizontal="center" vertical="top" wrapText="1" readingOrder="1"/>
      <protection locked="0"/>
    </xf>
    <xf numFmtId="0" fontId="27" fillId="0" borderId="122" xfId="0" applyNumberFormat="1" applyFont="1" applyFill="1" applyBorder="1" applyAlignment="1" applyProtection="1">
      <alignment horizontal="center" vertical="top" wrapText="1" readingOrder="1"/>
      <protection locked="0"/>
    </xf>
    <xf numFmtId="0" fontId="25" fillId="0" borderId="127" xfId="0" applyNumberFormat="1" applyFont="1" applyFill="1" applyBorder="1" applyAlignment="1" applyProtection="1">
      <alignment horizontal="center" vertical="top" wrapText="1" readingOrder="1"/>
      <protection locked="0"/>
    </xf>
    <xf numFmtId="0" fontId="27" fillId="0" borderId="120" xfId="0" applyNumberFormat="1" applyFont="1" applyFill="1" applyBorder="1" applyAlignment="1" applyProtection="1">
      <alignment horizontal="center" vertical="top" wrapText="1" readingOrder="1"/>
      <protection locked="0"/>
    </xf>
    <xf numFmtId="0" fontId="27" fillId="0" borderId="133" xfId="0" applyNumberFormat="1" applyFont="1" applyFill="1" applyBorder="1" applyAlignment="1" applyProtection="1">
      <alignment vertical="top" wrapText="1" readingOrder="1"/>
      <protection locked="0"/>
    </xf>
    <xf numFmtId="0" fontId="26" fillId="0" borderId="134" xfId="0" applyNumberFormat="1" applyFont="1" applyFill="1" applyBorder="1" applyAlignment="1" applyProtection="1">
      <alignment vertical="top" wrapText="1" readingOrder="1"/>
      <protection locked="0"/>
    </xf>
    <xf numFmtId="0" fontId="25" fillId="0" borderId="134" xfId="0" applyNumberFormat="1" applyFont="1" applyFill="1" applyBorder="1" applyAlignment="1" applyProtection="1">
      <alignment horizontal="center" vertical="top" wrapText="1" readingOrder="1"/>
      <protection locked="0"/>
    </xf>
    <xf numFmtId="0" fontId="26" fillId="0" borderId="134" xfId="0" applyNumberFormat="1" applyFont="1" applyFill="1" applyBorder="1" applyAlignment="1" applyProtection="1">
      <alignment horizontal="left" vertical="top" wrapText="1" readingOrder="1"/>
      <protection locked="0"/>
    </xf>
    <xf numFmtId="169" fontId="26" fillId="0" borderId="134" xfId="0" applyNumberFormat="1" applyFont="1" applyFill="1" applyBorder="1" applyAlignment="1" applyProtection="1">
      <alignment horizontal="right" vertical="top" wrapText="1" readingOrder="1"/>
      <protection locked="0"/>
    </xf>
    <xf numFmtId="0" fontId="27" fillId="0" borderId="134" xfId="0" applyNumberFormat="1" applyFont="1" applyFill="1" applyBorder="1" applyAlignment="1" applyProtection="1">
      <alignment horizontal="center" vertical="top" wrapText="1" readingOrder="1"/>
      <protection locked="0"/>
    </xf>
    <xf numFmtId="0" fontId="26" fillId="0" borderId="134" xfId="0" applyNumberFormat="1" applyFont="1" applyFill="1" applyBorder="1" applyAlignment="1" applyProtection="1">
      <alignment horizontal="center" vertical="top" wrapText="1" readingOrder="1"/>
      <protection locked="0"/>
    </xf>
    <xf numFmtId="0" fontId="26" fillId="0" borderId="135" xfId="0" applyNumberFormat="1" applyFont="1" applyFill="1" applyBorder="1" applyAlignment="1" applyProtection="1">
      <alignment horizontal="left" vertical="top" wrapText="1" readingOrder="1"/>
      <protection locked="0"/>
    </xf>
    <xf numFmtId="0" fontId="27" fillId="0" borderId="0" xfId="0" applyNumberFormat="1" applyFont="1" applyFill="1" applyAlignment="1" applyProtection="1">
      <alignment vertical="top" wrapText="1" readingOrder="1"/>
      <protection locked="0"/>
    </xf>
    <xf numFmtId="0" fontId="26" fillId="0" borderId="0" xfId="0" applyNumberFormat="1" applyFont="1" applyFill="1" applyAlignment="1" applyProtection="1">
      <alignment vertical="top" wrapText="1" readingOrder="1"/>
      <protection locked="0"/>
    </xf>
    <xf numFmtId="0" fontId="25" fillId="0" borderId="0" xfId="0" applyNumberFormat="1" applyFont="1" applyFill="1" applyAlignment="1" applyProtection="1">
      <alignment horizontal="center" vertical="top" wrapText="1" readingOrder="1"/>
      <protection locked="0"/>
    </xf>
    <xf numFmtId="0" fontId="26" fillId="0" borderId="0" xfId="0" applyNumberFormat="1" applyFont="1" applyFill="1" applyAlignment="1" applyProtection="1">
      <alignment horizontal="left" vertical="top" wrapText="1" readingOrder="1"/>
      <protection locked="0"/>
    </xf>
    <xf numFmtId="169" fontId="26" fillId="0" borderId="0" xfId="0" applyNumberFormat="1" applyFont="1" applyFill="1" applyAlignment="1" applyProtection="1">
      <alignment horizontal="right" vertical="top" wrapText="1" readingOrder="1"/>
      <protection locked="0"/>
    </xf>
    <xf numFmtId="0" fontId="27" fillId="0" borderId="0" xfId="0" applyNumberFormat="1" applyFont="1" applyFill="1" applyAlignment="1" applyProtection="1">
      <alignment horizontal="center" vertical="top" wrapText="1" readingOrder="1"/>
      <protection locked="0"/>
    </xf>
    <xf numFmtId="0" fontId="26" fillId="0" borderId="0" xfId="0" applyNumberFormat="1" applyFont="1" applyFill="1" applyAlignment="1" applyProtection="1">
      <alignment horizontal="center" vertical="top" wrapText="1" readingOrder="1"/>
      <protection locked="0"/>
    </xf>
    <xf numFmtId="0" fontId="24" fillId="0" borderId="114" xfId="0" applyNumberFormat="1" applyFont="1" applyFill="1" applyBorder="1" applyAlignment="1" applyProtection="1">
      <alignment horizontal="center" wrapText="1" readingOrder="1"/>
    </xf>
    <xf numFmtId="0" fontId="25" fillId="0" borderId="114" xfId="0" applyNumberFormat="1" applyFont="1" applyFill="1" applyBorder="1" applyAlignment="1" applyProtection="1">
      <alignment horizontal="center" wrapText="1" readingOrder="1"/>
    </xf>
    <xf numFmtId="0" fontId="27" fillId="0" borderId="0" xfId="0" applyNumberFormat="1" applyFont="1" applyFill="1" applyAlignment="1" applyProtection="1">
      <alignment wrapText="1" readingOrder="1"/>
    </xf>
    <xf numFmtId="0" fontId="26" fillId="0" borderId="0" xfId="0" applyNumberFormat="1" applyFont="1" applyFill="1" applyAlignment="1" applyProtection="1">
      <alignment horizontal="center" wrapText="1" readingOrder="1"/>
    </xf>
    <xf numFmtId="0" fontId="27" fillId="0" borderId="114" xfId="0" applyNumberFormat="1" applyFont="1" applyFill="1" applyBorder="1" applyAlignment="1" applyProtection="1">
      <alignment vertical="top" wrapText="1" readingOrder="1"/>
      <protection locked="0"/>
    </xf>
    <xf numFmtId="169" fontId="25" fillId="0" borderId="114" xfId="0" applyNumberFormat="1" applyFont="1" applyFill="1" applyBorder="1" applyAlignment="1" applyProtection="1">
      <alignment horizontal="center" vertical="top" wrapText="1" readingOrder="1"/>
      <protection locked="0"/>
    </xf>
    <xf numFmtId="0" fontId="24" fillId="17" borderId="114" xfId="0" applyNumberFormat="1" applyFont="1" applyFill="1" applyBorder="1" applyAlignment="1" applyProtection="1">
      <alignment vertical="top" wrapText="1" readingOrder="1"/>
      <protection locked="0"/>
    </xf>
    <xf numFmtId="169" fontId="25" fillId="17" borderId="114" xfId="0" applyNumberFormat="1" applyFont="1" applyFill="1" applyBorder="1" applyAlignment="1" applyProtection="1">
      <alignment horizontal="center" vertical="top" wrapText="1" readingOrder="1"/>
    </xf>
    <xf numFmtId="0" fontId="25" fillId="0" borderId="0" xfId="0" applyNumberFormat="1" applyFont="1" applyFill="1" applyAlignment="1" applyProtection="1">
      <alignment horizontal="center" wrapText="1" readingOrder="1"/>
    </xf>
    <xf numFmtId="0" fontId="27" fillId="15" borderId="126" xfId="0" applyNumberFormat="1" applyFont="1" applyFill="1" applyBorder="1" applyAlignment="1" applyProtection="1">
      <alignment vertical="top" wrapText="1" readingOrder="1"/>
      <protection locked="0"/>
    </xf>
    <xf numFmtId="0" fontId="25" fillId="15" borderId="127" xfId="0" applyNumberFormat="1" applyFont="1" applyFill="1" applyBorder="1" applyAlignment="1" applyProtection="1">
      <alignment horizontal="center" vertical="top" wrapText="1" readingOrder="1"/>
      <protection locked="0"/>
    </xf>
    <xf numFmtId="0" fontId="24" fillId="14" borderId="119" xfId="0" applyNumberFormat="1" applyFont="1" applyFill="1" applyBorder="1" applyAlignment="1" applyProtection="1">
      <alignment vertical="top" wrapText="1" readingOrder="1"/>
      <protection locked="0"/>
    </xf>
    <xf numFmtId="0" fontId="25" fillId="14" borderId="120" xfId="0" applyNumberFormat="1" applyFont="1" applyFill="1" applyBorder="1" applyAlignment="1" applyProtection="1">
      <alignment horizontal="center" vertical="top" wrapText="1" readingOrder="1"/>
      <protection locked="0"/>
    </xf>
    <xf numFmtId="0" fontId="27" fillId="15" borderId="121" xfId="0" applyNumberFormat="1" applyFont="1" applyFill="1" applyBorder="1" applyAlignment="1" applyProtection="1">
      <alignment vertical="top" wrapText="1" readingOrder="1"/>
      <protection locked="0"/>
    </xf>
    <xf numFmtId="0" fontId="25" fillId="15" borderId="122" xfId="0" applyNumberFormat="1" applyFont="1" applyFill="1" applyBorder="1" applyAlignment="1" applyProtection="1">
      <alignment horizontal="center" vertical="top" wrapText="1" readingOrder="1"/>
      <protection locked="0"/>
    </xf>
    <xf numFmtId="169" fontId="26" fillId="0" borderId="123" xfId="0" applyNumberFormat="1" applyFont="1" applyFill="1" applyBorder="1" applyAlignment="1" applyProtection="1">
      <alignment horizontal="right" vertical="top" wrapText="1" readingOrder="1"/>
      <protection locked="0"/>
    </xf>
    <xf numFmtId="0" fontId="25" fillId="0" borderId="137" xfId="0" applyNumberFormat="1" applyFont="1" applyFill="1" applyBorder="1" applyAlignment="1" applyProtection="1">
      <alignment horizontal="center" vertical="top" wrapText="1" readingOrder="1"/>
      <protection locked="0"/>
    </xf>
    <xf numFmtId="0" fontId="26" fillId="0" borderId="137" xfId="0" applyNumberFormat="1" applyFont="1" applyFill="1" applyBorder="1" applyAlignment="1" applyProtection="1">
      <alignment horizontal="left" vertical="top" wrapText="1" readingOrder="1"/>
      <protection locked="0"/>
    </xf>
    <xf numFmtId="169" fontId="26" fillId="0" borderId="137" xfId="0" applyNumberFormat="1" applyFont="1" applyFill="1" applyBorder="1" applyAlignment="1" applyProtection="1">
      <alignment horizontal="right" vertical="top" wrapText="1" readingOrder="1"/>
    </xf>
    <xf numFmtId="0" fontId="27" fillId="0" borderId="137" xfId="0" applyNumberFormat="1" applyFont="1" applyFill="1" applyBorder="1" applyAlignment="1" applyProtection="1">
      <alignment horizontal="center" vertical="top" wrapText="1" readingOrder="1"/>
      <protection locked="0"/>
    </xf>
    <xf numFmtId="0" fontId="26" fillId="0" borderId="137" xfId="0" applyNumberFormat="1" applyFont="1" applyFill="1" applyBorder="1" applyAlignment="1" applyProtection="1">
      <alignment horizontal="center" vertical="top" wrapText="1" readingOrder="1"/>
      <protection locked="0"/>
    </xf>
    <xf numFmtId="0" fontId="26" fillId="0" borderId="138" xfId="0" applyNumberFormat="1" applyFont="1" applyFill="1" applyBorder="1" applyAlignment="1" applyProtection="1">
      <alignment horizontal="left" vertical="top" wrapText="1" readingOrder="1"/>
      <protection locked="0"/>
    </xf>
    <xf numFmtId="0" fontId="26" fillId="0" borderId="44" xfId="0" applyNumberFormat="1" applyFont="1" applyFill="1" applyBorder="1" applyAlignment="1" applyProtection="1">
      <alignment wrapText="1" readingOrder="1"/>
    </xf>
    <xf numFmtId="169" fontId="26" fillId="0" borderId="141" xfId="0" applyNumberFormat="1" applyFont="1" applyFill="1" applyBorder="1" applyAlignment="1" applyProtection="1">
      <alignment horizontal="right" vertical="top" wrapText="1" readingOrder="1"/>
      <protection locked="0"/>
    </xf>
    <xf numFmtId="0" fontId="26" fillId="0" borderId="141" xfId="0" applyNumberFormat="1" applyFont="1" applyFill="1" applyBorder="1" applyAlignment="1" applyProtection="1">
      <alignment horizontal="left" vertical="top" wrapText="1" readingOrder="1"/>
      <protection locked="0"/>
    </xf>
    <xf numFmtId="0" fontId="27" fillId="0" borderId="141" xfId="0" applyNumberFormat="1" applyFont="1" applyFill="1" applyBorder="1" applyAlignment="1" applyProtection="1">
      <alignment horizontal="center" vertical="top" wrapText="1" readingOrder="1"/>
      <protection locked="0"/>
    </xf>
    <xf numFmtId="0" fontId="26" fillId="0" borderId="141" xfId="0" applyNumberFormat="1" applyFont="1" applyFill="1" applyBorder="1" applyAlignment="1" applyProtection="1">
      <alignment horizontal="center" vertical="top" wrapText="1" readingOrder="1"/>
      <protection locked="0"/>
    </xf>
    <xf numFmtId="0" fontId="26" fillId="0" borderId="142" xfId="0" applyNumberFormat="1" applyFont="1" applyFill="1" applyBorder="1" applyAlignment="1" applyProtection="1">
      <alignment horizontal="left" vertical="top" wrapText="1" readingOrder="1"/>
      <protection locked="0"/>
    </xf>
    <xf numFmtId="0" fontId="26" fillId="7" borderId="120" xfId="0" applyNumberFormat="1" applyFont="1" applyFill="1" applyBorder="1" applyAlignment="1" applyProtection="1">
      <alignment horizontal="center" vertical="top" wrapText="1" readingOrder="1"/>
      <protection locked="0"/>
    </xf>
    <xf numFmtId="0" fontId="27" fillId="7" borderId="120" xfId="0" applyNumberFormat="1" applyFont="1" applyFill="1" applyBorder="1" applyAlignment="1" applyProtection="1">
      <alignment horizontal="center" vertical="top" wrapText="1" readingOrder="1"/>
      <protection locked="0"/>
    </xf>
    <xf numFmtId="0" fontId="26" fillId="7" borderId="122" xfId="0" applyNumberFormat="1" applyFont="1" applyFill="1" applyBorder="1" applyAlignment="1" applyProtection="1">
      <alignment horizontal="center" vertical="top" wrapText="1" readingOrder="1"/>
      <protection locked="0"/>
    </xf>
    <xf numFmtId="0" fontId="27" fillId="7" borderId="122" xfId="0" applyNumberFormat="1" applyFont="1" applyFill="1" applyBorder="1" applyAlignment="1" applyProtection="1">
      <alignment horizontal="center" vertical="top" wrapText="1" readingOrder="1"/>
      <protection locked="0"/>
    </xf>
    <xf numFmtId="0" fontId="26" fillId="7" borderId="111" xfId="0" applyNumberFormat="1" applyFont="1" applyFill="1" applyBorder="1" applyAlignment="1" applyProtection="1">
      <alignment horizontal="left" vertical="top" wrapText="1" readingOrder="1"/>
      <protection locked="0"/>
    </xf>
    <xf numFmtId="0" fontId="27" fillId="7" borderId="111" xfId="0" applyNumberFormat="1" applyFont="1" applyFill="1" applyBorder="1" applyAlignment="1" applyProtection="1">
      <alignment horizontal="center" vertical="top" wrapText="1" readingOrder="1"/>
      <protection locked="0"/>
    </xf>
    <xf numFmtId="0" fontId="26" fillId="7" borderId="111" xfId="0" applyNumberFormat="1" applyFont="1" applyFill="1" applyBorder="1" applyAlignment="1" applyProtection="1">
      <alignment horizontal="center" vertical="top" wrapText="1" readingOrder="1"/>
      <protection locked="0"/>
    </xf>
    <xf numFmtId="0" fontId="26" fillId="7" borderId="112" xfId="0" applyNumberFormat="1" applyFont="1" applyFill="1" applyBorder="1" applyAlignment="1" applyProtection="1">
      <alignment horizontal="left" vertical="top" wrapText="1" readingOrder="1"/>
      <protection locked="0"/>
    </xf>
    <xf numFmtId="0" fontId="26" fillId="7" borderId="114" xfId="0" applyNumberFormat="1" applyFont="1" applyFill="1" applyBorder="1" applyAlignment="1" applyProtection="1">
      <alignment horizontal="left" vertical="top" wrapText="1" readingOrder="1"/>
      <protection locked="0"/>
    </xf>
    <xf numFmtId="0" fontId="27" fillId="7" borderId="114" xfId="0" applyNumberFormat="1" applyFont="1" applyFill="1" applyBorder="1" applyAlignment="1" applyProtection="1">
      <alignment horizontal="center" vertical="top" wrapText="1" readingOrder="1"/>
      <protection locked="0"/>
    </xf>
    <xf numFmtId="0" fontId="26" fillId="7" borderId="114" xfId="0" applyNumberFormat="1" applyFont="1" applyFill="1" applyBorder="1" applyAlignment="1" applyProtection="1">
      <alignment horizontal="center" vertical="top" wrapText="1" readingOrder="1"/>
      <protection locked="0"/>
    </xf>
    <xf numFmtId="0" fontId="26" fillId="7" borderId="115" xfId="0" applyNumberFormat="1" applyFont="1" applyFill="1" applyBorder="1" applyAlignment="1" applyProtection="1">
      <alignment horizontal="left" vertical="top" wrapText="1" readingOrder="1"/>
      <protection locked="0"/>
    </xf>
    <xf numFmtId="0" fontId="26" fillId="10" borderId="120" xfId="0" applyNumberFormat="1" applyFont="1" applyFill="1" applyBorder="1" applyAlignment="1" applyProtection="1">
      <alignment horizontal="center" vertical="top" wrapText="1" readingOrder="1"/>
      <protection locked="0"/>
    </xf>
    <xf numFmtId="0" fontId="26" fillId="10" borderId="111" xfId="0" applyNumberFormat="1" applyFont="1" applyFill="1" applyBorder="1" applyAlignment="1" applyProtection="1">
      <alignment horizontal="left" vertical="top" wrapText="1" readingOrder="1"/>
      <protection locked="0"/>
    </xf>
    <xf numFmtId="0" fontId="27" fillId="10" borderId="111" xfId="0" applyNumberFormat="1" applyFont="1" applyFill="1" applyBorder="1" applyAlignment="1" applyProtection="1">
      <alignment horizontal="center" vertical="top" wrapText="1" readingOrder="1"/>
      <protection locked="0"/>
    </xf>
    <xf numFmtId="0" fontId="26" fillId="10" borderId="111" xfId="0" applyNumberFormat="1" applyFont="1" applyFill="1" applyBorder="1" applyAlignment="1" applyProtection="1">
      <alignment horizontal="center" vertical="top" wrapText="1" readingOrder="1"/>
      <protection locked="0"/>
    </xf>
    <xf numFmtId="0" fontId="26" fillId="10" borderId="143" xfId="0" applyNumberFormat="1" applyFont="1" applyFill="1" applyBorder="1" applyAlignment="1" applyProtection="1">
      <alignment horizontal="left" vertical="top" wrapText="1" readingOrder="1"/>
      <protection locked="0"/>
    </xf>
    <xf numFmtId="0" fontId="26" fillId="10" borderId="114" xfId="0" applyNumberFormat="1" applyFont="1" applyFill="1" applyBorder="1" applyAlignment="1" applyProtection="1">
      <alignment horizontal="left" vertical="top" wrapText="1" readingOrder="1"/>
      <protection locked="0"/>
    </xf>
    <xf numFmtId="0" fontId="27" fillId="10" borderId="114" xfId="0" applyNumberFormat="1" applyFont="1" applyFill="1" applyBorder="1" applyAlignment="1" applyProtection="1">
      <alignment horizontal="center" vertical="top" wrapText="1" readingOrder="1"/>
      <protection locked="0"/>
    </xf>
    <xf numFmtId="0" fontId="26" fillId="10" borderId="114" xfId="0" applyNumberFormat="1" applyFont="1" applyFill="1" applyBorder="1" applyAlignment="1" applyProtection="1">
      <alignment horizontal="center" vertical="top" wrapText="1" readingOrder="1"/>
      <protection locked="0"/>
    </xf>
    <xf numFmtId="0" fontId="26" fillId="10" borderId="115" xfId="0" applyNumberFormat="1" applyFont="1" applyFill="1" applyBorder="1" applyAlignment="1" applyProtection="1">
      <alignment horizontal="left" vertical="top" wrapText="1" readingOrder="1"/>
      <protection locked="0"/>
    </xf>
    <xf numFmtId="0" fontId="26" fillId="0" borderId="120" xfId="0" applyNumberFormat="1" applyFont="1" applyFill="1" applyBorder="1" applyAlignment="1" applyProtection="1">
      <alignment horizontal="center" vertical="top" wrapText="1" readingOrder="1"/>
      <protection locked="0"/>
    </xf>
    <xf numFmtId="0" fontId="25" fillId="0" borderId="120" xfId="0" applyNumberFormat="1" applyFont="1" applyFill="1" applyBorder="1" applyAlignment="1" applyProtection="1">
      <alignment horizontal="center" vertical="top" wrapText="1" readingOrder="1"/>
      <protection locked="0"/>
    </xf>
    <xf numFmtId="0" fontId="25" fillId="0" borderId="122" xfId="0" applyNumberFormat="1" applyFont="1" applyFill="1" applyBorder="1" applyAlignment="1" applyProtection="1">
      <alignment horizontal="center" vertical="top" wrapText="1" readingOrder="1"/>
      <protection locked="0"/>
    </xf>
    <xf numFmtId="0" fontId="25" fillId="0" borderId="130" xfId="0" applyNumberFormat="1" applyFont="1" applyFill="1" applyBorder="1" applyAlignment="1" applyProtection="1">
      <alignment horizontal="center" vertical="top" wrapText="1" readingOrder="1"/>
      <protection locked="0"/>
    </xf>
    <xf numFmtId="0" fontId="27" fillId="0" borderId="120" xfId="0" applyNumberFormat="1" applyFont="1" applyFill="1" applyBorder="1" applyAlignment="1" applyProtection="1">
      <alignment horizontal="center" vertical="top" wrapText="1" readingOrder="1"/>
      <protection locked="0"/>
    </xf>
    <xf numFmtId="0" fontId="25" fillId="0" borderId="127" xfId="0" applyNumberFormat="1" applyFont="1" applyFill="1" applyBorder="1" applyAlignment="1" applyProtection="1">
      <alignment horizontal="center" vertical="top" wrapText="1" readingOrder="1"/>
      <protection locked="0"/>
    </xf>
    <xf numFmtId="0" fontId="26" fillId="0" borderId="124" xfId="0" applyNumberFormat="1" applyFont="1" applyFill="1" applyBorder="1" applyAlignment="1" applyProtection="1">
      <alignment horizontal="left" vertical="top" wrapText="1" readingOrder="1"/>
      <protection locked="0"/>
    </xf>
    <xf numFmtId="0" fontId="26" fillId="0" borderId="125" xfId="0" applyNumberFormat="1" applyFont="1" applyFill="1" applyBorder="1" applyAlignment="1" applyProtection="1">
      <alignment horizontal="left" vertical="top" wrapText="1" readingOrder="1"/>
      <protection locked="0"/>
    </xf>
    <xf numFmtId="0" fontId="26" fillId="7" borderId="111" xfId="0" applyNumberFormat="1" applyFont="1" applyFill="1" applyBorder="1" applyAlignment="1" applyProtection="1">
      <alignment vertical="top" wrapText="1" readingOrder="1"/>
      <protection locked="0"/>
    </xf>
    <xf numFmtId="0" fontId="26" fillId="10" borderId="111" xfId="0" applyNumberFormat="1" applyFont="1" applyFill="1" applyBorder="1" applyAlignment="1" applyProtection="1">
      <alignment vertical="top" wrapText="1" readingOrder="1"/>
      <protection locked="0"/>
    </xf>
    <xf numFmtId="0" fontId="26" fillId="10" borderId="112" xfId="0" applyNumberFormat="1" applyFont="1" applyFill="1" applyBorder="1" applyAlignment="1" applyProtection="1">
      <alignment horizontal="left" vertical="top" wrapText="1" readingOrder="1"/>
      <protection locked="0"/>
    </xf>
    <xf numFmtId="0" fontId="24" fillId="14" borderId="120" xfId="0" applyNumberFormat="1" applyFont="1" applyFill="1" applyBorder="1" applyAlignment="1" applyProtection="1">
      <alignment horizontal="center" vertical="top" wrapText="1" readingOrder="1"/>
      <protection locked="0"/>
    </xf>
    <xf numFmtId="0" fontId="27" fillId="15" borderId="122" xfId="0" applyNumberFormat="1" applyFont="1" applyFill="1" applyBorder="1" applyAlignment="1" applyProtection="1">
      <alignment horizontal="center" vertical="top" wrapText="1" readingOrder="1"/>
      <protection locked="0"/>
    </xf>
    <xf numFmtId="0" fontId="27" fillId="15" borderId="127" xfId="0" applyNumberFormat="1" applyFont="1" applyFill="1" applyBorder="1" applyAlignment="1" applyProtection="1">
      <alignment horizontal="center" vertical="top" wrapText="1" readingOrder="1"/>
      <protection locked="0"/>
    </xf>
    <xf numFmtId="0" fontId="24" fillId="0" borderId="111" xfId="0" applyNumberFormat="1" applyFont="1" applyFill="1" applyBorder="1" applyAlignment="1" applyProtection="1">
      <alignment horizontal="center" vertical="top" wrapText="1" readingOrder="1"/>
      <protection locked="0"/>
    </xf>
    <xf numFmtId="0" fontId="27" fillId="0" borderId="44" xfId="0" applyNumberFormat="1" applyFont="1" applyFill="1" applyBorder="1" applyAlignment="1" applyProtection="1">
      <alignment horizontal="center" wrapText="1" readingOrder="1"/>
    </xf>
    <xf numFmtId="169" fontId="27" fillId="0" borderId="114" xfId="0" applyNumberFormat="1" applyFont="1" applyFill="1" applyBorder="1" applyAlignment="1" applyProtection="1">
      <alignment horizontal="center" vertical="top" wrapText="1" readingOrder="1"/>
      <protection locked="0"/>
    </xf>
    <xf numFmtId="169" fontId="24" fillId="17" borderId="114" xfId="0" applyNumberFormat="1" applyFont="1" applyFill="1" applyBorder="1" applyAlignment="1" applyProtection="1">
      <alignment horizontal="center" vertical="top" wrapText="1" readingOrder="1"/>
    </xf>
    <xf numFmtId="0" fontId="27" fillId="0" borderId="0" xfId="0" applyNumberFormat="1" applyFont="1" applyFill="1" applyAlignment="1" applyProtection="1">
      <alignment horizontal="center" wrapText="1" readingOrder="1"/>
    </xf>
    <xf numFmtId="0" fontId="26" fillId="7" borderId="114" xfId="0" applyNumberFormat="1" applyFont="1" applyFill="1" applyBorder="1" applyAlignment="1" applyProtection="1">
      <alignment vertical="top" wrapText="1" readingOrder="1"/>
      <protection locked="0"/>
    </xf>
    <xf numFmtId="0" fontId="25" fillId="20" borderId="111" xfId="0" applyNumberFormat="1" applyFont="1" applyFill="1" applyBorder="1" applyAlignment="1" applyProtection="1">
      <alignment vertical="top" wrapText="1" readingOrder="1"/>
      <protection locked="0"/>
    </xf>
    <xf numFmtId="0" fontId="25" fillId="20" borderId="111" xfId="0" applyNumberFormat="1" applyFont="1" applyFill="1" applyBorder="1" applyAlignment="1" applyProtection="1">
      <alignment horizontal="center" vertical="top" wrapText="1" readingOrder="1"/>
      <protection locked="0"/>
    </xf>
    <xf numFmtId="0" fontId="24" fillId="20" borderId="111" xfId="0" applyNumberFormat="1" applyFont="1" applyFill="1" applyBorder="1" applyAlignment="1" applyProtection="1">
      <alignment horizontal="center" vertical="top" wrapText="1" readingOrder="1"/>
      <protection locked="0"/>
    </xf>
    <xf numFmtId="169" fontId="25" fillId="20" borderId="111" xfId="0" applyNumberFormat="1" applyFont="1" applyFill="1" applyBorder="1" applyAlignment="1" applyProtection="1">
      <alignment horizontal="right" vertical="top" wrapText="1" readingOrder="1"/>
    </xf>
    <xf numFmtId="0" fontId="25" fillId="20" borderId="111" xfId="0" applyNumberFormat="1" applyFont="1" applyFill="1" applyBorder="1" applyAlignment="1" applyProtection="1">
      <alignment horizontal="left" vertical="top" wrapText="1" readingOrder="1"/>
      <protection locked="0"/>
    </xf>
    <xf numFmtId="0" fontId="25" fillId="19" borderId="114" xfId="0" applyNumberFormat="1" applyFont="1" applyFill="1" applyBorder="1" applyAlignment="1" applyProtection="1">
      <alignment horizontal="center" vertical="top" wrapText="1" readingOrder="1"/>
      <protection locked="0"/>
    </xf>
    <xf numFmtId="169" fontId="26" fillId="19" borderId="114" xfId="0" applyNumberFormat="1" applyFont="1" applyFill="1" applyBorder="1" applyAlignment="1" applyProtection="1">
      <alignment horizontal="right" vertical="top" wrapText="1" readingOrder="1"/>
      <protection locked="0"/>
    </xf>
    <xf numFmtId="0" fontId="25" fillId="20" borderId="112" xfId="0" applyNumberFormat="1" applyFont="1" applyFill="1" applyBorder="1" applyAlignment="1" applyProtection="1">
      <alignment horizontal="left" vertical="top" wrapText="1" readingOrder="1"/>
      <protection locked="0"/>
    </xf>
    <xf numFmtId="0" fontId="26" fillId="19" borderId="115" xfId="0" applyNumberFormat="1" applyFont="1" applyFill="1" applyBorder="1" applyAlignment="1" applyProtection="1">
      <alignment horizontal="left" vertical="top" wrapText="1" readingOrder="1"/>
      <protection locked="0"/>
    </xf>
    <xf numFmtId="0" fontId="24" fillId="19" borderId="114" xfId="0" applyNumberFormat="1" applyFont="1" applyFill="1" applyBorder="1" applyAlignment="1" applyProtection="1">
      <alignment horizontal="center" vertical="top" wrapText="1" readingOrder="1"/>
      <protection locked="0"/>
    </xf>
    <xf numFmtId="0" fontId="29" fillId="20" borderId="111" xfId="0" applyNumberFormat="1" applyFont="1" applyFill="1" applyBorder="1" applyAlignment="1" applyProtection="1">
      <alignment horizontal="center" vertical="top" wrapText="1" readingOrder="1"/>
      <protection locked="0"/>
    </xf>
    <xf numFmtId="0" fontId="29" fillId="19" borderId="114" xfId="0" applyNumberFormat="1" applyFont="1" applyFill="1" applyBorder="1" applyAlignment="1" applyProtection="1">
      <alignment horizontal="center" vertical="top" wrapText="1" readingOrder="1"/>
      <protection locked="0"/>
    </xf>
    <xf numFmtId="0" fontId="27" fillId="7" borderId="110" xfId="0" applyNumberFormat="1" applyFont="1" applyFill="1" applyBorder="1" applyAlignment="1" applyProtection="1">
      <alignment vertical="top" wrapText="1" readingOrder="1"/>
      <protection locked="0"/>
    </xf>
    <xf numFmtId="0" fontId="26" fillId="7" borderId="127" xfId="0" applyNumberFormat="1" applyFont="1" applyFill="1" applyBorder="1" applyAlignment="1" applyProtection="1">
      <alignment vertical="top" wrapText="1" readingOrder="1"/>
      <protection locked="0"/>
    </xf>
    <xf numFmtId="0" fontId="26" fillId="7" borderId="127" xfId="0" applyNumberFormat="1" applyFont="1" applyFill="1" applyBorder="1" applyAlignment="1" applyProtection="1">
      <alignment horizontal="center" vertical="top" wrapText="1" readingOrder="1"/>
      <protection locked="0"/>
    </xf>
    <xf numFmtId="0" fontId="15" fillId="0" borderId="127" xfId="0" applyNumberFormat="1" applyFont="1" applyFill="1" applyBorder="1" applyAlignment="1" applyProtection="1">
      <alignment horizontal="center" vertical="top" wrapText="1" readingOrder="1"/>
      <protection locked="0"/>
    </xf>
    <xf numFmtId="165" fontId="25" fillId="0" borderId="114" xfId="0" applyNumberFormat="1" applyFont="1" applyFill="1" applyBorder="1" applyAlignment="1" applyProtection="1">
      <alignment horizontal="center" wrapText="1" readingOrder="1"/>
    </xf>
    <xf numFmtId="0" fontId="25" fillId="14" borderId="111" xfId="0" applyNumberFormat="1" applyFont="1" applyFill="1" applyBorder="1" applyAlignment="1" applyProtection="1">
      <alignment vertical="top" wrapText="1" readingOrder="1"/>
      <protection locked="0"/>
    </xf>
    <xf numFmtId="0" fontId="26" fillId="15" borderId="114" xfId="0" applyNumberFormat="1" applyFont="1" applyFill="1" applyBorder="1" applyAlignment="1" applyProtection="1">
      <alignment vertical="top" wrapText="1" readingOrder="1"/>
      <protection locked="0"/>
    </xf>
    <xf numFmtId="0" fontId="26" fillId="0" borderId="120" xfId="0" applyNumberFormat="1" applyFont="1" applyFill="1" applyBorder="1" applyAlignment="1" applyProtection="1">
      <alignment vertical="top" wrapText="1" readingOrder="1"/>
      <protection locked="0"/>
    </xf>
    <xf numFmtId="0" fontId="26" fillId="0" borderId="122" xfId="0" applyNumberFormat="1" applyFont="1" applyFill="1" applyBorder="1" applyAlignment="1" applyProtection="1">
      <alignment vertical="top" wrapText="1" readingOrder="1"/>
      <protection locked="0"/>
    </xf>
    <xf numFmtId="0" fontId="26" fillId="0" borderId="123" xfId="0" applyNumberFormat="1" applyFont="1" applyFill="1" applyBorder="1" applyAlignment="1" applyProtection="1">
      <alignment vertical="top" wrapText="1" readingOrder="1"/>
      <protection locked="0"/>
    </xf>
    <xf numFmtId="0" fontId="26" fillId="0" borderId="137" xfId="0" applyNumberFormat="1" applyFont="1" applyFill="1" applyBorder="1" applyAlignment="1" applyProtection="1">
      <alignment vertical="top" wrapText="1" readingOrder="1"/>
      <protection locked="0"/>
    </xf>
    <xf numFmtId="0" fontId="26" fillId="0" borderId="141" xfId="0" applyNumberFormat="1" applyFont="1" applyFill="1" applyBorder="1" applyAlignment="1" applyProtection="1">
      <alignment vertical="top" wrapText="1" readingOrder="1"/>
      <protection locked="0"/>
    </xf>
    <xf numFmtId="0" fontId="26" fillId="10" borderId="114" xfId="0" applyNumberFormat="1" applyFont="1" applyFill="1" applyBorder="1" applyAlignment="1" applyProtection="1">
      <alignment vertical="top" wrapText="1" readingOrder="1"/>
      <protection locked="0"/>
    </xf>
    <xf numFmtId="0" fontId="26" fillId="4" borderId="114" xfId="0" applyNumberFormat="1" applyFont="1" applyFill="1" applyBorder="1" applyAlignment="1" applyProtection="1">
      <alignment horizontal="center" vertical="top" wrapText="1" readingOrder="1"/>
      <protection locked="0"/>
    </xf>
    <xf numFmtId="165" fontId="25" fillId="13" borderId="111" xfId="0" applyNumberFormat="1" applyFont="1" applyFill="1" applyBorder="1" applyAlignment="1" applyProtection="1">
      <alignment horizontal="center" vertical="top" wrapText="1" readingOrder="1"/>
    </xf>
    <xf numFmtId="165" fontId="25" fillId="14" borderId="120" xfId="0" applyNumberFormat="1" applyFont="1" applyFill="1" applyBorder="1" applyAlignment="1" applyProtection="1">
      <alignment horizontal="center" vertical="top" wrapText="1" readingOrder="1"/>
    </xf>
    <xf numFmtId="165" fontId="26" fillId="15" borderId="122" xfId="0" applyNumberFormat="1" applyFont="1" applyFill="1" applyBorder="1" applyAlignment="1" applyProtection="1">
      <alignment horizontal="center" vertical="top" wrapText="1" readingOrder="1"/>
      <protection locked="0"/>
    </xf>
    <xf numFmtId="165" fontId="26" fillId="15" borderId="127" xfId="0" applyNumberFormat="1" applyFont="1" applyFill="1" applyBorder="1" applyAlignment="1" applyProtection="1">
      <alignment horizontal="center" vertical="top" wrapText="1" readingOrder="1"/>
      <protection locked="0"/>
    </xf>
    <xf numFmtId="165" fontId="25" fillId="16" borderId="111" xfId="0" applyNumberFormat="1" applyFont="1" applyFill="1" applyBorder="1" applyAlignment="1" applyProtection="1">
      <alignment horizontal="center" vertical="top" wrapText="1" readingOrder="1"/>
    </xf>
    <xf numFmtId="165" fontId="26" fillId="0" borderId="111" xfId="0" applyNumberFormat="1" applyFont="1" applyFill="1" applyBorder="1" applyAlignment="1" applyProtection="1">
      <alignment horizontal="center" vertical="top" wrapText="1" readingOrder="1"/>
    </xf>
    <xf numFmtId="165" fontId="25" fillId="0" borderId="111" xfId="0" applyNumberFormat="1" applyFont="1" applyFill="1" applyBorder="1" applyAlignment="1" applyProtection="1">
      <alignment horizontal="center" vertical="top" wrapText="1" readingOrder="1"/>
    </xf>
    <xf numFmtId="165" fontId="26" fillId="0" borderId="114" xfId="0" applyNumberFormat="1" applyFont="1" applyFill="1" applyBorder="1" applyAlignment="1" applyProtection="1">
      <alignment horizontal="center" vertical="top" wrapText="1" readingOrder="1"/>
      <protection locked="0"/>
    </xf>
    <xf numFmtId="165" fontId="26" fillId="0" borderId="120" xfId="0" applyNumberFormat="1" applyFont="1" applyFill="1" applyBorder="1" applyAlignment="1" applyProtection="1">
      <alignment horizontal="center" vertical="top" wrapText="1" readingOrder="1"/>
    </xf>
    <xf numFmtId="165" fontId="26" fillId="0" borderId="127" xfId="0" applyNumberFormat="1" applyFont="1" applyFill="1" applyBorder="1" applyAlignment="1" applyProtection="1">
      <alignment horizontal="center" vertical="top" wrapText="1" readingOrder="1"/>
      <protection locked="0"/>
    </xf>
    <xf numFmtId="165" fontId="26" fillId="0" borderId="111" xfId="0" applyNumberFormat="1" applyFont="1" applyFill="1" applyBorder="1" applyAlignment="1" applyProtection="1">
      <alignment horizontal="center" vertical="top" wrapText="1" readingOrder="1"/>
      <protection locked="0"/>
    </xf>
    <xf numFmtId="165" fontId="26" fillId="0" borderId="122" xfId="0" applyNumberFormat="1" applyFont="1" applyFill="1" applyBorder="1" applyAlignment="1" applyProtection="1">
      <alignment horizontal="center" vertical="top" wrapText="1" readingOrder="1"/>
      <protection locked="0"/>
    </xf>
    <xf numFmtId="165" fontId="26" fillId="0" borderId="137" xfId="0" applyNumberFormat="1" applyFont="1" applyFill="1" applyBorder="1" applyAlignment="1" applyProtection="1">
      <alignment horizontal="center" vertical="top" wrapText="1" readingOrder="1"/>
    </xf>
    <xf numFmtId="165" fontId="26" fillId="0" borderId="141" xfId="0" applyNumberFormat="1" applyFont="1" applyFill="1" applyBorder="1" applyAlignment="1" applyProtection="1">
      <alignment horizontal="center" vertical="top" wrapText="1" readingOrder="1"/>
      <protection locked="0"/>
    </xf>
    <xf numFmtId="165" fontId="30" fillId="0" borderId="127" xfId="0" applyNumberFormat="1" applyFont="1" applyFill="1" applyBorder="1" applyAlignment="1" applyProtection="1">
      <alignment horizontal="center" vertical="top" wrapText="1" readingOrder="1"/>
      <protection locked="0"/>
    </xf>
    <xf numFmtId="165" fontId="25" fillId="0" borderId="120" xfId="0" applyNumberFormat="1" applyFont="1" applyFill="1" applyBorder="1" applyAlignment="1" applyProtection="1">
      <alignment horizontal="center" vertical="top" wrapText="1" readingOrder="1"/>
    </xf>
    <xf numFmtId="165" fontId="26" fillId="0" borderId="134" xfId="0" applyNumberFormat="1" applyFont="1" applyFill="1" applyBorder="1" applyAlignment="1" applyProtection="1">
      <alignment horizontal="center" vertical="top" wrapText="1" readingOrder="1"/>
      <protection locked="0"/>
    </xf>
    <xf numFmtId="165" fontId="26" fillId="0" borderId="0" xfId="0" applyNumberFormat="1" applyFont="1" applyFill="1" applyAlignment="1" applyProtection="1">
      <alignment horizontal="center" vertical="top" wrapText="1" readingOrder="1"/>
      <protection locked="0"/>
    </xf>
    <xf numFmtId="165" fontId="26" fillId="0" borderId="0" xfId="0" applyNumberFormat="1" applyFont="1" applyFill="1" applyAlignment="1" applyProtection="1">
      <alignment horizontal="center" wrapText="1" readingOrder="1"/>
    </xf>
    <xf numFmtId="165" fontId="25" fillId="17" borderId="114" xfId="0" applyNumberFormat="1" applyFont="1" applyFill="1" applyBorder="1" applyAlignment="1" applyProtection="1">
      <alignment horizontal="center" vertical="top" wrapText="1" readingOrder="1"/>
    </xf>
    <xf numFmtId="0" fontId="26" fillId="0" borderId="120" xfId="0" applyNumberFormat="1" applyFont="1" applyFill="1" applyBorder="1" applyAlignment="1" applyProtection="1">
      <alignment horizontal="left" vertical="top" wrapText="1" readingOrder="1"/>
      <protection locked="0"/>
    </xf>
    <xf numFmtId="0" fontId="26" fillId="0" borderId="122" xfId="0" applyNumberFormat="1" applyFont="1" applyFill="1" applyBorder="1" applyAlignment="1" applyProtection="1">
      <alignment horizontal="left" vertical="top" wrapText="1" readingOrder="1"/>
      <protection locked="0"/>
    </xf>
    <xf numFmtId="0" fontId="26" fillId="7" borderId="122" xfId="0" applyNumberFormat="1" applyFont="1" applyFill="1" applyBorder="1" applyAlignment="1" applyProtection="1">
      <alignment horizontal="left" vertical="top" wrapText="1" readingOrder="1"/>
      <protection locked="0"/>
    </xf>
    <xf numFmtId="0" fontId="27" fillId="7" borderId="127" xfId="0" applyNumberFormat="1" applyFont="1" applyFill="1" applyBorder="1" applyAlignment="1" applyProtection="1">
      <alignment horizontal="center" vertical="top" wrapText="1" readingOrder="1"/>
      <protection locked="0"/>
    </xf>
    <xf numFmtId="0" fontId="27" fillId="10" borderId="122" xfId="0" applyNumberFormat="1" applyFont="1" applyFill="1" applyBorder="1" applyAlignment="1" applyProtection="1">
      <alignment horizontal="center" vertical="top" wrapText="1" readingOrder="1"/>
      <protection locked="0"/>
    </xf>
    <xf numFmtId="0" fontId="26" fillId="10" borderId="122" xfId="0" applyNumberFormat="1" applyFont="1" applyFill="1" applyBorder="1" applyAlignment="1" applyProtection="1">
      <alignment horizontal="center" vertical="top" wrapText="1" readingOrder="1"/>
      <protection locked="0"/>
    </xf>
    <xf numFmtId="0" fontId="27" fillId="10" borderId="127" xfId="0" applyNumberFormat="1" applyFont="1" applyFill="1" applyBorder="1" applyAlignment="1" applyProtection="1">
      <alignment horizontal="center" vertical="top" wrapText="1" readingOrder="1"/>
      <protection locked="0"/>
    </xf>
    <xf numFmtId="0" fontId="26" fillId="10" borderId="127" xfId="0" applyNumberFormat="1" applyFont="1" applyFill="1" applyBorder="1" applyAlignment="1" applyProtection="1">
      <alignment horizontal="center" vertical="top" wrapText="1" readingOrder="1"/>
      <protection locked="0"/>
    </xf>
    <xf numFmtId="0" fontId="27" fillId="7" borderId="123" xfId="0" applyNumberFormat="1" applyFont="1" applyFill="1" applyBorder="1" applyAlignment="1" applyProtection="1">
      <alignment horizontal="center" vertical="top" wrapText="1" readingOrder="1"/>
      <protection locked="0"/>
    </xf>
    <xf numFmtId="0" fontId="26" fillId="7" borderId="123" xfId="0" applyNumberFormat="1" applyFont="1" applyFill="1" applyBorder="1" applyAlignment="1" applyProtection="1">
      <alignment horizontal="center" vertical="top" wrapText="1" readingOrder="1"/>
      <protection locked="0"/>
    </xf>
    <xf numFmtId="0" fontId="27" fillId="7" borderId="121" xfId="0" applyNumberFormat="1" applyFont="1" applyFill="1" applyBorder="1" applyAlignment="1" applyProtection="1">
      <alignment vertical="top" wrapText="1" readingOrder="1"/>
      <protection locked="0"/>
    </xf>
    <xf numFmtId="0" fontId="27" fillId="7" borderId="132" xfId="0" applyNumberFormat="1" applyFont="1" applyFill="1" applyBorder="1" applyAlignment="1" applyProtection="1">
      <alignment vertical="top" wrapText="1" readingOrder="1"/>
      <protection locked="0"/>
    </xf>
    <xf numFmtId="0" fontId="27" fillId="10" borderId="120" xfId="0" applyNumberFormat="1" applyFont="1" applyFill="1" applyBorder="1" applyAlignment="1" applyProtection="1">
      <alignment horizontal="center" vertical="top" wrapText="1" readingOrder="1"/>
      <protection locked="0"/>
    </xf>
    <xf numFmtId="3" fontId="1" fillId="0" borderId="0" xfId="0" applyNumberFormat="1" applyFont="1" applyBorder="1" applyAlignment="1">
      <alignment horizontal="center" vertical="top" wrapText="1"/>
    </xf>
    <xf numFmtId="3" fontId="1" fillId="4" borderId="17" xfId="0" applyNumberFormat="1" applyFont="1" applyFill="1" applyBorder="1" applyAlignment="1">
      <alignment horizontal="center" vertical="top" wrapText="1"/>
    </xf>
    <xf numFmtId="3" fontId="1" fillId="4" borderId="0" xfId="0" applyNumberFormat="1" applyFont="1" applyFill="1" applyBorder="1" applyAlignment="1">
      <alignment horizontal="center" vertical="top" wrapText="1"/>
    </xf>
    <xf numFmtId="3" fontId="1" fillId="0" borderId="0" xfId="0" applyNumberFormat="1" applyFont="1" applyFill="1" applyBorder="1" applyAlignment="1">
      <alignment horizontal="center" vertical="top" wrapText="1"/>
    </xf>
    <xf numFmtId="3" fontId="1" fillId="4" borderId="8" xfId="0" applyNumberFormat="1" applyFont="1" applyFill="1" applyBorder="1" applyAlignment="1">
      <alignment horizontal="center" vertical="top" wrapText="1"/>
    </xf>
    <xf numFmtId="3" fontId="4" fillId="4" borderId="0" xfId="0" applyNumberFormat="1" applyFont="1" applyFill="1" applyBorder="1" applyAlignment="1">
      <alignment horizontal="center" vertical="top" wrapText="1"/>
    </xf>
    <xf numFmtId="3" fontId="1" fillId="0" borderId="65" xfId="0" applyNumberFormat="1" applyFont="1" applyBorder="1" applyAlignment="1">
      <alignment horizontal="center" vertical="top" wrapText="1"/>
    </xf>
    <xf numFmtId="3" fontId="2" fillId="0" borderId="13" xfId="0" applyNumberFormat="1" applyFont="1" applyFill="1" applyBorder="1" applyAlignment="1">
      <alignment horizontal="center" vertical="top" textRotation="90" wrapText="1"/>
    </xf>
    <xf numFmtId="3" fontId="2" fillId="0" borderId="19" xfId="0" applyNumberFormat="1" applyFont="1" applyFill="1" applyBorder="1" applyAlignment="1">
      <alignment horizontal="center" vertical="top" textRotation="90" wrapText="1"/>
    </xf>
    <xf numFmtId="3" fontId="2" fillId="0" borderId="43" xfId="0" applyNumberFormat="1" applyFont="1" applyFill="1" applyBorder="1" applyAlignment="1">
      <alignment horizontal="center" vertical="top" textRotation="90" wrapText="1"/>
    </xf>
    <xf numFmtId="3" fontId="4" fillId="0" borderId="44" xfId="0" applyNumberFormat="1" applyFont="1" applyBorder="1" applyAlignment="1">
      <alignment horizontal="right" wrapText="1"/>
    </xf>
    <xf numFmtId="3" fontId="4" fillId="4" borderId="0" xfId="0" applyNumberFormat="1" applyFont="1" applyFill="1" applyBorder="1" applyAlignment="1">
      <alignment horizontal="left" vertical="top" wrapText="1"/>
    </xf>
    <xf numFmtId="3" fontId="4" fillId="4" borderId="58" xfId="0" applyNumberFormat="1" applyFont="1" applyFill="1" applyBorder="1" applyAlignment="1">
      <alignment horizontal="left" vertical="top" wrapText="1"/>
    </xf>
    <xf numFmtId="3" fontId="1" fillId="0" borderId="0" xfId="0" applyNumberFormat="1" applyFont="1" applyFill="1" applyBorder="1" applyAlignment="1">
      <alignment horizontal="left" vertical="top" wrapText="1"/>
    </xf>
    <xf numFmtId="3" fontId="4" fillId="4" borderId="3" xfId="0" applyNumberFormat="1" applyFont="1" applyFill="1" applyBorder="1" applyAlignment="1">
      <alignment horizontal="left" vertical="top" wrapText="1"/>
    </xf>
    <xf numFmtId="3" fontId="4" fillId="4" borderId="57" xfId="0" applyNumberFormat="1" applyFont="1" applyFill="1" applyBorder="1" applyAlignment="1">
      <alignment horizontal="left" vertical="top" wrapText="1"/>
    </xf>
    <xf numFmtId="3" fontId="1" fillId="4" borderId="16" xfId="0" applyNumberFormat="1" applyFont="1" applyFill="1" applyBorder="1" applyAlignment="1">
      <alignment horizontal="left" vertical="top" wrapText="1"/>
    </xf>
    <xf numFmtId="3" fontId="1" fillId="4" borderId="17" xfId="0" applyNumberFormat="1" applyFont="1" applyFill="1" applyBorder="1" applyAlignment="1">
      <alignment horizontal="left" vertical="top" wrapText="1"/>
    </xf>
    <xf numFmtId="3" fontId="2" fillId="0" borderId="18" xfId="0" applyNumberFormat="1" applyFont="1" applyFill="1" applyBorder="1" applyAlignment="1">
      <alignment horizontal="center" vertical="top" textRotation="90" wrapText="1"/>
    </xf>
    <xf numFmtId="3" fontId="1" fillId="4" borderId="57" xfId="0" applyNumberFormat="1" applyFont="1" applyFill="1" applyBorder="1" applyAlignment="1">
      <alignment horizontal="left" vertical="top" wrapText="1"/>
    </xf>
    <xf numFmtId="49" fontId="2" fillId="3" borderId="32" xfId="0" applyNumberFormat="1" applyFont="1" applyFill="1" applyBorder="1" applyAlignment="1">
      <alignment horizontal="center" vertical="top"/>
    </xf>
    <xf numFmtId="3" fontId="1" fillId="0" borderId="0" xfId="0" applyNumberFormat="1" applyFont="1" applyBorder="1" applyAlignment="1">
      <alignment horizontal="left" vertical="top" wrapText="1"/>
    </xf>
    <xf numFmtId="3" fontId="1" fillId="4" borderId="62" xfId="0" applyNumberFormat="1" applyFont="1" applyFill="1" applyBorder="1" applyAlignment="1">
      <alignment horizontal="left" vertical="top" wrapText="1"/>
    </xf>
    <xf numFmtId="3" fontId="1" fillId="4" borderId="63" xfId="0" applyNumberFormat="1" applyFont="1" applyFill="1" applyBorder="1" applyAlignment="1">
      <alignment horizontal="left" vertical="top" wrapText="1"/>
    </xf>
    <xf numFmtId="0" fontId="28" fillId="0" borderId="79" xfId="0" applyNumberFormat="1" applyFont="1" applyFill="1" applyBorder="1" applyAlignment="1" applyProtection="1">
      <alignment horizontal="left" vertical="top" wrapText="1" readingOrder="1"/>
      <protection locked="0"/>
    </xf>
    <xf numFmtId="0" fontId="8" fillId="0" borderId="146" xfId="0" applyNumberFormat="1" applyFont="1" applyFill="1" applyBorder="1" applyAlignment="1" applyProtection="1">
      <alignment horizontal="left" vertical="top" wrapText="1" readingOrder="1"/>
      <protection locked="0"/>
    </xf>
    <xf numFmtId="0" fontId="26" fillId="10" borderId="144" xfId="0" applyNumberFormat="1" applyFont="1" applyFill="1" applyBorder="1" applyAlignment="1" applyProtection="1">
      <alignment horizontal="left" vertical="top" wrapText="1" readingOrder="1"/>
      <protection locked="0"/>
    </xf>
    <xf numFmtId="0" fontId="26" fillId="19" borderId="114" xfId="0" applyNumberFormat="1" applyFont="1" applyFill="1" applyBorder="1" applyAlignment="1" applyProtection="1">
      <alignment horizontal="left" vertical="top" wrapText="1" readingOrder="1"/>
      <protection locked="0"/>
    </xf>
    <xf numFmtId="0" fontId="26" fillId="7" borderId="144" xfId="0" applyNumberFormat="1" applyFont="1" applyFill="1" applyBorder="1" applyAlignment="1" applyProtection="1">
      <alignment horizontal="left" vertical="top" wrapText="1" readingOrder="1"/>
      <protection locked="0"/>
    </xf>
    <xf numFmtId="0" fontId="26" fillId="7" borderId="123" xfId="0" applyNumberFormat="1" applyFont="1" applyFill="1" applyBorder="1" applyAlignment="1" applyProtection="1">
      <alignment horizontal="left" vertical="top" wrapText="1" readingOrder="1"/>
      <protection locked="0"/>
    </xf>
    <xf numFmtId="0" fontId="26" fillId="7" borderId="127" xfId="0" applyNumberFormat="1" applyFont="1" applyFill="1" applyBorder="1" applyAlignment="1" applyProtection="1">
      <alignment horizontal="left" vertical="top" wrapText="1" readingOrder="1"/>
      <protection locked="0"/>
    </xf>
    <xf numFmtId="0" fontId="26" fillId="0" borderId="0" xfId="0" applyNumberFormat="1" applyFont="1" applyFill="1" applyAlignment="1" applyProtection="1">
      <alignment horizontal="left" wrapText="1" readingOrder="1"/>
    </xf>
    <xf numFmtId="169" fontId="26" fillId="0" borderId="120" xfId="0" applyNumberFormat="1" applyFont="1" applyFill="1" applyBorder="1" applyAlignment="1" applyProtection="1">
      <alignment horizontal="right" vertical="top" wrapText="1" readingOrder="1"/>
    </xf>
    <xf numFmtId="165" fontId="26" fillId="0" borderId="127" xfId="0" applyNumberFormat="1" applyFont="1" applyFill="1" applyBorder="1" applyAlignment="1" applyProtection="1">
      <alignment horizontal="center" vertical="top" wrapText="1" readingOrder="1"/>
    </xf>
    <xf numFmtId="169" fontId="26" fillId="0" borderId="127" xfId="0" applyNumberFormat="1" applyFont="1" applyFill="1" applyBorder="1" applyAlignment="1" applyProtection="1">
      <alignment horizontal="right" vertical="top" wrapText="1" readingOrder="1"/>
    </xf>
    <xf numFmtId="0" fontId="27" fillId="7" borderId="150" xfId="0" applyNumberFormat="1" applyFont="1" applyFill="1" applyBorder="1" applyAlignment="1" applyProtection="1">
      <alignment vertical="top" wrapText="1" readingOrder="1"/>
      <protection locked="0"/>
    </xf>
    <xf numFmtId="0" fontId="26" fillId="7" borderId="137" xfId="0" applyNumberFormat="1" applyFont="1" applyFill="1" applyBorder="1" applyAlignment="1" applyProtection="1">
      <alignment vertical="top" wrapText="1" readingOrder="1"/>
      <protection locked="0"/>
    </xf>
    <xf numFmtId="0" fontId="26" fillId="7" borderId="137" xfId="0" applyNumberFormat="1" applyFont="1" applyFill="1" applyBorder="1" applyAlignment="1" applyProtection="1">
      <alignment horizontal="left" vertical="top" wrapText="1" readingOrder="1"/>
      <protection locked="0"/>
    </xf>
    <xf numFmtId="0" fontId="27" fillId="7" borderId="137" xfId="0" applyNumberFormat="1" applyFont="1" applyFill="1" applyBorder="1" applyAlignment="1" applyProtection="1">
      <alignment horizontal="center" vertical="top" wrapText="1" readingOrder="1"/>
      <protection locked="0"/>
    </xf>
    <xf numFmtId="0" fontId="26" fillId="7" borderId="137" xfId="0" applyNumberFormat="1" applyFont="1" applyFill="1" applyBorder="1" applyAlignment="1" applyProtection="1">
      <alignment horizontal="center" vertical="top" wrapText="1" readingOrder="1"/>
      <protection locked="0"/>
    </xf>
    <xf numFmtId="0" fontId="26" fillId="7" borderId="138" xfId="0" applyNumberFormat="1" applyFont="1" applyFill="1" applyBorder="1" applyAlignment="1" applyProtection="1">
      <alignment horizontal="left" vertical="top" wrapText="1" readingOrder="1"/>
      <protection locked="0"/>
    </xf>
    <xf numFmtId="0" fontId="27" fillId="0" borderId="151" xfId="0" applyNumberFormat="1" applyFont="1" applyFill="1" applyBorder="1" applyAlignment="1" applyProtection="1">
      <alignment vertical="top" wrapText="1" readingOrder="1"/>
      <protection locked="0"/>
    </xf>
    <xf numFmtId="0" fontId="26" fillId="0" borderId="152" xfId="0" applyNumberFormat="1" applyFont="1" applyFill="1" applyBorder="1" applyAlignment="1" applyProtection="1">
      <alignment horizontal="left" vertical="top" wrapText="1" readingOrder="1"/>
      <protection locked="0"/>
    </xf>
    <xf numFmtId="0" fontId="26" fillId="7" borderId="154" xfId="0" applyNumberFormat="1" applyFont="1" applyFill="1" applyBorder="1" applyAlignment="1" applyProtection="1">
      <alignment horizontal="left" vertical="top" wrapText="1" readingOrder="1"/>
      <protection locked="0"/>
    </xf>
    <xf numFmtId="165" fontId="25" fillId="0" borderId="127" xfId="0" applyNumberFormat="1" applyFont="1" applyFill="1" applyBorder="1" applyAlignment="1" applyProtection="1">
      <alignment horizontal="center" vertical="top" wrapText="1" readingOrder="1"/>
    </xf>
    <xf numFmtId="0" fontId="25" fillId="0" borderId="58" xfId="0" applyNumberFormat="1" applyFont="1" applyFill="1" applyBorder="1" applyAlignment="1" applyProtection="1">
      <alignment horizontal="center" wrapText="1" readingOrder="1"/>
    </xf>
    <xf numFmtId="0" fontId="27" fillId="0" borderId="161" xfId="0" applyNumberFormat="1" applyFont="1" applyFill="1" applyBorder="1" applyAlignment="1" applyProtection="1">
      <alignment horizontal="center" wrapText="1" readingOrder="1"/>
    </xf>
    <xf numFmtId="0" fontId="27" fillId="4" borderId="123" xfId="0" applyNumberFormat="1" applyFont="1" applyFill="1" applyBorder="1" applyAlignment="1" applyProtection="1">
      <alignment horizontal="center" vertical="top" wrapText="1" readingOrder="1"/>
      <protection locked="0"/>
    </xf>
    <xf numFmtId="0" fontId="26" fillId="4" borderId="123" xfId="0" applyNumberFormat="1" applyFont="1" applyFill="1" applyBorder="1" applyAlignment="1" applyProtection="1">
      <alignment horizontal="center" vertical="top" wrapText="1" readingOrder="1"/>
      <protection locked="0"/>
    </xf>
    <xf numFmtId="0" fontId="27" fillId="4" borderId="127" xfId="0" applyNumberFormat="1" applyFont="1" applyFill="1" applyBorder="1" applyAlignment="1" applyProtection="1">
      <alignment horizontal="center" vertical="top" wrapText="1" readingOrder="1"/>
      <protection locked="0"/>
    </xf>
    <xf numFmtId="0" fontId="26" fillId="4" borderId="127" xfId="0" applyNumberFormat="1" applyFont="1" applyFill="1" applyBorder="1" applyAlignment="1" applyProtection="1">
      <alignment horizontal="center" vertical="top" wrapText="1" readingOrder="1"/>
      <protection locked="0"/>
    </xf>
    <xf numFmtId="0" fontId="4" fillId="4" borderId="119" xfId="0" applyNumberFormat="1" applyFont="1" applyFill="1" applyBorder="1" applyAlignment="1" applyProtection="1">
      <alignment vertical="top" wrapText="1" readingOrder="1"/>
      <protection locked="0"/>
    </xf>
    <xf numFmtId="0" fontId="4" fillId="4" borderId="121" xfId="0" applyNumberFormat="1" applyFont="1" applyFill="1" applyBorder="1" applyAlignment="1" applyProtection="1">
      <alignment vertical="top" wrapText="1" readingOrder="1"/>
      <protection locked="0"/>
    </xf>
    <xf numFmtId="0" fontId="4" fillId="4" borderId="126" xfId="0" applyNumberFormat="1" applyFont="1" applyFill="1" applyBorder="1" applyAlignment="1" applyProtection="1">
      <alignment vertical="top" wrapText="1" readingOrder="1"/>
      <protection locked="0"/>
    </xf>
    <xf numFmtId="0" fontId="25" fillId="19" borderId="114" xfId="0" applyNumberFormat="1" applyFont="1" applyFill="1" applyBorder="1" applyAlignment="1" applyProtection="1">
      <alignment vertical="top" wrapText="1" readingOrder="1"/>
      <protection locked="0"/>
    </xf>
    <xf numFmtId="0" fontId="26" fillId="4" borderId="123" xfId="0" applyNumberFormat="1" applyFont="1" applyFill="1" applyBorder="1" applyAlignment="1" applyProtection="1">
      <alignment vertical="top" wrapText="1" readingOrder="1"/>
      <protection locked="0"/>
    </xf>
    <xf numFmtId="0" fontId="26" fillId="4" borderId="127" xfId="0" applyNumberFormat="1" applyFont="1" applyFill="1" applyBorder="1" applyAlignment="1" applyProtection="1">
      <alignment vertical="top" wrapText="1" readingOrder="1"/>
      <protection locked="0"/>
    </xf>
    <xf numFmtId="0" fontId="26" fillId="10" borderId="122" xfId="0" applyNumberFormat="1" applyFont="1" applyFill="1" applyBorder="1" applyAlignment="1" applyProtection="1">
      <alignment vertical="top" wrapText="1" readingOrder="1"/>
      <protection locked="0"/>
    </xf>
    <xf numFmtId="0" fontId="26" fillId="10" borderId="127" xfId="0" applyNumberFormat="1" applyFont="1" applyFill="1" applyBorder="1" applyAlignment="1" applyProtection="1">
      <alignment vertical="top" wrapText="1" readingOrder="1"/>
      <protection locked="0"/>
    </xf>
    <xf numFmtId="0" fontId="26" fillId="10" borderId="120" xfId="0" applyNumberFormat="1" applyFont="1" applyFill="1" applyBorder="1" applyAlignment="1" applyProtection="1">
      <alignment vertical="top" wrapText="1" readingOrder="1"/>
      <protection locked="0"/>
    </xf>
    <xf numFmtId="165" fontId="28" fillId="18" borderId="111" xfId="0" applyNumberFormat="1" applyFont="1" applyFill="1" applyBorder="1" applyAlignment="1" applyProtection="1">
      <alignment horizontal="center" vertical="top" wrapText="1" readingOrder="1"/>
      <protection locked="0"/>
    </xf>
    <xf numFmtId="0" fontId="26" fillId="6" borderId="127" xfId="0" applyNumberFormat="1" applyFont="1" applyFill="1" applyBorder="1" applyAlignment="1" applyProtection="1">
      <alignment vertical="top" wrapText="1" readingOrder="1"/>
      <protection locked="0"/>
    </xf>
    <xf numFmtId="0" fontId="27" fillId="6" borderId="127" xfId="0" applyNumberFormat="1" applyFont="1" applyFill="1" applyBorder="1" applyAlignment="1" applyProtection="1">
      <alignment horizontal="center" vertical="top" wrapText="1" readingOrder="1"/>
      <protection locked="0"/>
    </xf>
    <xf numFmtId="0" fontId="26" fillId="6" borderId="127" xfId="0" applyNumberFormat="1" applyFont="1" applyFill="1" applyBorder="1" applyAlignment="1" applyProtection="1">
      <alignment horizontal="center" vertical="top" wrapText="1" readingOrder="1"/>
      <protection locked="0"/>
    </xf>
    <xf numFmtId="0" fontId="26" fillId="6" borderId="127" xfId="0" applyNumberFormat="1" applyFont="1" applyFill="1" applyBorder="1" applyAlignment="1" applyProtection="1">
      <alignment horizontal="left" vertical="top" wrapText="1" readingOrder="1"/>
      <protection locked="0"/>
    </xf>
    <xf numFmtId="0" fontId="26" fillId="6" borderId="162" xfId="0" applyNumberFormat="1" applyFont="1" applyFill="1" applyBorder="1" applyAlignment="1" applyProtection="1">
      <alignment horizontal="left" vertical="top" wrapText="1" readingOrder="1"/>
      <protection locked="0"/>
    </xf>
    <xf numFmtId="165" fontId="26" fillId="4" borderId="127" xfId="0" applyNumberFormat="1" applyFont="1" applyFill="1" applyBorder="1" applyAlignment="1" applyProtection="1">
      <alignment horizontal="center" vertical="top" wrapText="1" readingOrder="1"/>
    </xf>
    <xf numFmtId="165" fontId="25" fillId="0" borderId="137" xfId="0" applyNumberFormat="1" applyFont="1" applyFill="1" applyBorder="1" applyAlignment="1" applyProtection="1">
      <alignment horizontal="center" vertical="top" wrapText="1" readingOrder="1"/>
    </xf>
    <xf numFmtId="0" fontId="26" fillId="10" borderId="136" xfId="0" applyNumberFormat="1" applyFont="1" applyFill="1" applyBorder="1" applyAlignment="1" applyProtection="1">
      <alignment vertical="top" wrapText="1" readingOrder="1"/>
      <protection locked="0"/>
    </xf>
    <xf numFmtId="0" fontId="27" fillId="10" borderId="136" xfId="0" applyNumberFormat="1" applyFont="1" applyFill="1" applyBorder="1" applyAlignment="1" applyProtection="1">
      <alignment horizontal="center" vertical="top" wrapText="1" readingOrder="1"/>
      <protection locked="0"/>
    </xf>
    <xf numFmtId="0" fontId="26" fillId="10" borderId="136" xfId="0" applyNumberFormat="1" applyFont="1" applyFill="1" applyBorder="1" applyAlignment="1" applyProtection="1">
      <alignment horizontal="center" vertical="top" wrapText="1" readingOrder="1"/>
      <protection locked="0"/>
    </xf>
    <xf numFmtId="0" fontId="26" fillId="10" borderId="140" xfId="0" applyNumberFormat="1" applyFont="1" applyFill="1" applyBorder="1" applyAlignment="1" applyProtection="1">
      <alignment vertical="top" wrapText="1" readingOrder="1"/>
      <protection locked="0"/>
    </xf>
    <xf numFmtId="0" fontId="27" fillId="10" borderId="140" xfId="0" applyNumberFormat="1" applyFont="1" applyFill="1" applyBorder="1" applyAlignment="1" applyProtection="1">
      <alignment horizontal="center" vertical="top" wrapText="1" readingOrder="1"/>
      <protection locked="0"/>
    </xf>
    <xf numFmtId="0" fontId="26" fillId="10" borderId="140" xfId="0" applyNumberFormat="1" applyFont="1" applyFill="1" applyBorder="1" applyAlignment="1" applyProtection="1">
      <alignment horizontal="center" vertical="top" wrapText="1" readingOrder="1"/>
      <protection locked="0"/>
    </xf>
    <xf numFmtId="0" fontId="27" fillId="4" borderId="120" xfId="0" applyNumberFormat="1" applyFont="1" applyFill="1" applyBorder="1" applyAlignment="1" applyProtection="1">
      <alignment horizontal="center" vertical="top" wrapText="1" readingOrder="1"/>
      <protection locked="0"/>
    </xf>
    <xf numFmtId="0" fontId="26" fillId="4" borderId="120" xfId="0" applyNumberFormat="1" applyFont="1" applyFill="1" applyBorder="1" applyAlignment="1" applyProtection="1">
      <alignment horizontal="center" vertical="top" wrapText="1" readingOrder="1"/>
      <protection locked="0"/>
    </xf>
    <xf numFmtId="0" fontId="8" fillId="0" borderId="111" xfId="0" applyNumberFormat="1" applyFont="1" applyFill="1" applyBorder="1" applyAlignment="1" applyProtection="1">
      <alignment horizontal="center" vertical="top" wrapText="1" readingOrder="1"/>
      <protection locked="0"/>
    </xf>
    <xf numFmtId="0" fontId="8" fillId="0" borderId="111" xfId="0" applyNumberFormat="1" applyFont="1" applyFill="1" applyBorder="1" applyAlignment="1" applyProtection="1">
      <alignment horizontal="left" vertical="top" wrapText="1" readingOrder="1"/>
      <protection locked="0"/>
    </xf>
    <xf numFmtId="0" fontId="8" fillId="0" borderId="112" xfId="0" applyNumberFormat="1" applyFont="1" applyFill="1" applyBorder="1" applyAlignment="1" applyProtection="1">
      <alignment horizontal="left" vertical="top" wrapText="1" readingOrder="1"/>
      <protection locked="0"/>
    </xf>
    <xf numFmtId="0" fontId="26" fillId="18" borderId="112" xfId="0" applyNumberFormat="1" applyFont="1" applyFill="1" applyBorder="1" applyAlignment="1" applyProtection="1">
      <alignment horizontal="left" vertical="top" wrapText="1" readingOrder="1"/>
      <protection locked="0"/>
    </xf>
    <xf numFmtId="0" fontId="27" fillId="10" borderId="110" xfId="0" applyNumberFormat="1" applyFont="1" applyFill="1" applyBorder="1" applyAlignment="1" applyProtection="1">
      <alignment vertical="top" wrapText="1" readingOrder="1"/>
      <protection locked="0"/>
    </xf>
    <xf numFmtId="0" fontId="25" fillId="14" borderId="120" xfId="0" applyNumberFormat="1" applyFont="1" applyFill="1" applyBorder="1" applyAlignment="1" applyProtection="1">
      <alignment horizontal="left" vertical="top" wrapText="1" readingOrder="1"/>
      <protection locked="0"/>
    </xf>
    <xf numFmtId="0" fontId="26" fillId="15" borderId="122" xfId="0" applyNumberFormat="1" applyFont="1" applyFill="1" applyBorder="1" applyAlignment="1" applyProtection="1">
      <alignment horizontal="left" vertical="top" wrapText="1" readingOrder="1"/>
      <protection locked="0"/>
    </xf>
    <xf numFmtId="0" fontId="26" fillId="15" borderId="127" xfId="0" applyNumberFormat="1" applyFont="1" applyFill="1" applyBorder="1" applyAlignment="1" applyProtection="1">
      <alignment horizontal="left" vertical="top" wrapText="1" readingOrder="1"/>
      <protection locked="0"/>
    </xf>
    <xf numFmtId="0" fontId="8" fillId="4" borderId="120" xfId="0" applyNumberFormat="1" applyFont="1" applyFill="1" applyBorder="1" applyAlignment="1" applyProtection="1">
      <alignment horizontal="left" vertical="top" wrapText="1" readingOrder="1"/>
      <protection locked="0"/>
    </xf>
    <xf numFmtId="0" fontId="8" fillId="4" borderId="122" xfId="0" applyNumberFormat="1" applyFont="1" applyFill="1" applyBorder="1" applyAlignment="1" applyProtection="1">
      <alignment horizontal="left" vertical="top" wrapText="1" readingOrder="1"/>
      <protection locked="0"/>
    </xf>
    <xf numFmtId="0" fontId="8" fillId="4" borderId="127" xfId="0" applyNumberFormat="1" applyFont="1" applyFill="1" applyBorder="1" applyAlignment="1" applyProtection="1">
      <alignment horizontal="left" vertical="top" wrapText="1" readingOrder="1"/>
      <protection locked="0"/>
    </xf>
    <xf numFmtId="0" fontId="25" fillId="0" borderId="114" xfId="0" applyNumberFormat="1" applyFont="1" applyFill="1" applyBorder="1" applyAlignment="1" applyProtection="1">
      <alignment horizontal="left" wrapText="1" readingOrder="1"/>
    </xf>
    <xf numFmtId="0" fontId="25" fillId="17" borderId="114" xfId="0" applyNumberFormat="1" applyFont="1" applyFill="1" applyBorder="1" applyAlignment="1" applyProtection="1">
      <alignment horizontal="left" vertical="top" wrapText="1" readingOrder="1"/>
      <protection locked="0"/>
    </xf>
    <xf numFmtId="0" fontId="8" fillId="0" borderId="111" xfId="0" applyNumberFormat="1" applyFont="1" applyFill="1" applyBorder="1" applyAlignment="1" applyProtection="1">
      <alignment vertical="top" wrapText="1" readingOrder="1"/>
      <protection locked="0"/>
    </xf>
    <xf numFmtId="0" fontId="27" fillId="0" borderId="122" xfId="0" applyNumberFormat="1" applyFont="1" applyFill="1" applyBorder="1" applyAlignment="1" applyProtection="1">
      <alignment horizontal="center" vertical="top" wrapText="1" readingOrder="1"/>
      <protection locked="0"/>
    </xf>
    <xf numFmtId="3" fontId="5" fillId="4" borderId="60" xfId="0" applyNumberFormat="1" applyFont="1" applyFill="1" applyBorder="1" applyAlignment="1">
      <alignment horizontal="left" vertical="top" wrapText="1"/>
    </xf>
    <xf numFmtId="3" fontId="4" fillId="4" borderId="60" xfId="0" applyNumberFormat="1" applyFont="1" applyFill="1" applyBorder="1" applyAlignment="1">
      <alignment horizontal="left" vertical="top" wrapText="1"/>
    </xf>
    <xf numFmtId="3" fontId="4" fillId="4" borderId="43" xfId="0" applyNumberFormat="1" applyFont="1" applyFill="1" applyBorder="1" applyAlignment="1">
      <alignment horizontal="left" vertical="top" wrapText="1"/>
    </xf>
    <xf numFmtId="3" fontId="4" fillId="4" borderId="18" xfId="0" applyNumberFormat="1" applyFont="1" applyFill="1" applyBorder="1" applyAlignment="1">
      <alignment horizontal="left" vertical="top" wrapText="1"/>
    </xf>
    <xf numFmtId="3" fontId="1" fillId="4" borderId="19" xfId="0" applyNumberFormat="1" applyFont="1" applyFill="1" applyBorder="1" applyAlignment="1">
      <alignment horizontal="left" vertical="top" wrapText="1"/>
    </xf>
    <xf numFmtId="3" fontId="4" fillId="4" borderId="19" xfId="0" applyNumberFormat="1" applyFont="1" applyFill="1" applyBorder="1" applyAlignment="1">
      <alignment horizontal="left" vertical="top" wrapText="1"/>
    </xf>
    <xf numFmtId="3" fontId="5" fillId="4" borderId="18" xfId="0" applyNumberFormat="1" applyFont="1" applyFill="1" applyBorder="1" applyAlignment="1">
      <alignment horizontal="left" vertical="top" wrapText="1"/>
    </xf>
    <xf numFmtId="0" fontId="1" fillId="4" borderId="18" xfId="0" applyFont="1" applyFill="1" applyBorder="1" applyAlignment="1">
      <alignment horizontal="left" vertical="top" wrapText="1"/>
    </xf>
    <xf numFmtId="0" fontId="1" fillId="4" borderId="43" xfId="0" applyFont="1" applyFill="1" applyBorder="1" applyAlignment="1">
      <alignment horizontal="left" vertical="top" wrapText="1"/>
    </xf>
    <xf numFmtId="3" fontId="1" fillId="4" borderId="60" xfId="0" applyNumberFormat="1" applyFont="1" applyFill="1" applyBorder="1" applyAlignment="1">
      <alignment horizontal="left" vertical="top" wrapText="1"/>
    </xf>
    <xf numFmtId="3" fontId="1" fillId="4" borderId="43" xfId="0" applyNumberFormat="1" applyFont="1" applyFill="1" applyBorder="1" applyAlignment="1">
      <alignment horizontal="left" vertical="top" wrapText="1"/>
    </xf>
    <xf numFmtId="3" fontId="1" fillId="4" borderId="18" xfId="0" applyNumberFormat="1" applyFont="1" applyFill="1" applyBorder="1" applyAlignment="1">
      <alignment horizontal="left" vertical="top" wrapText="1"/>
    </xf>
    <xf numFmtId="3" fontId="5" fillId="2" borderId="55" xfId="0" applyNumberFormat="1" applyFont="1" applyFill="1" applyBorder="1" applyAlignment="1">
      <alignment horizontal="left" vertical="top" wrapText="1"/>
    </xf>
    <xf numFmtId="3" fontId="5" fillId="2" borderId="73" xfId="0" applyNumberFormat="1" applyFont="1" applyFill="1" applyBorder="1" applyAlignment="1">
      <alignment horizontal="left" vertical="top" wrapText="1"/>
    </xf>
    <xf numFmtId="3" fontId="2" fillId="4" borderId="13" xfId="0" applyNumberFormat="1" applyFont="1" applyFill="1" applyBorder="1" applyAlignment="1">
      <alignment horizontal="left" vertical="top" wrapText="1"/>
    </xf>
    <xf numFmtId="164" fontId="1" fillId="4" borderId="18" xfId="0" applyNumberFormat="1" applyFont="1" applyFill="1" applyBorder="1" applyAlignment="1">
      <alignment horizontal="center" vertical="top"/>
    </xf>
    <xf numFmtId="3" fontId="1" fillId="0" borderId="0" xfId="0" applyNumberFormat="1" applyFont="1" applyBorder="1" applyAlignment="1">
      <alignment horizontal="center" vertical="top" wrapText="1"/>
    </xf>
    <xf numFmtId="3" fontId="1" fillId="4" borderId="17" xfId="0" applyNumberFormat="1" applyFont="1" applyFill="1" applyBorder="1" applyAlignment="1">
      <alignment horizontal="left" vertical="top" wrapText="1"/>
    </xf>
    <xf numFmtId="3" fontId="1" fillId="3" borderId="43" xfId="0" applyNumberFormat="1" applyFont="1" applyFill="1" applyBorder="1" applyAlignment="1">
      <alignment horizontal="left" vertical="top" wrapText="1"/>
    </xf>
    <xf numFmtId="3" fontId="1" fillId="3" borderId="66" xfId="0" applyNumberFormat="1" applyFont="1" applyFill="1" applyBorder="1" applyAlignment="1">
      <alignment horizontal="left" vertical="top" wrapText="1"/>
    </xf>
    <xf numFmtId="3" fontId="1" fillId="0" borderId="0" xfId="0" applyNumberFormat="1" applyFont="1" applyBorder="1" applyAlignment="1">
      <alignment horizontal="left" vertical="top" wrapText="1"/>
    </xf>
    <xf numFmtId="3" fontId="1" fillId="4" borderId="62" xfId="0" applyNumberFormat="1" applyFont="1" applyFill="1" applyBorder="1" applyAlignment="1">
      <alignment horizontal="left" vertical="top" wrapText="1"/>
    </xf>
    <xf numFmtId="3" fontId="1" fillId="4" borderId="63" xfId="0" applyNumberFormat="1" applyFont="1" applyFill="1" applyBorder="1" applyAlignment="1">
      <alignment horizontal="left" vertical="top" wrapText="1"/>
    </xf>
    <xf numFmtId="3" fontId="1" fillId="3" borderId="18" xfId="0" applyNumberFormat="1" applyFont="1" applyFill="1" applyBorder="1" applyAlignment="1">
      <alignment horizontal="left" vertical="top" wrapText="1"/>
    </xf>
    <xf numFmtId="3" fontId="4" fillId="0" borderId="0" xfId="0" applyNumberFormat="1" applyFont="1" applyBorder="1" applyAlignment="1">
      <alignment horizontal="left" vertical="top" wrapText="1"/>
    </xf>
    <xf numFmtId="3" fontId="4" fillId="4" borderId="62" xfId="0" applyNumberFormat="1" applyFont="1" applyFill="1" applyBorder="1" applyAlignment="1">
      <alignment horizontal="left" vertical="top" wrapText="1"/>
    </xf>
    <xf numFmtId="3" fontId="4" fillId="4" borderId="28" xfId="0" applyNumberFormat="1" applyFont="1" applyFill="1" applyBorder="1" applyAlignment="1">
      <alignment horizontal="left" vertical="top" wrapText="1"/>
    </xf>
    <xf numFmtId="3" fontId="4" fillId="4" borderId="17" xfId="0" applyNumberFormat="1" applyFont="1" applyFill="1" applyBorder="1" applyAlignment="1">
      <alignment horizontal="left" vertical="top" wrapText="1"/>
    </xf>
    <xf numFmtId="3" fontId="4" fillId="4" borderId="7" xfId="0" applyNumberFormat="1" applyFont="1" applyFill="1" applyBorder="1" applyAlignment="1">
      <alignment horizontal="left" vertical="top" wrapText="1"/>
    </xf>
    <xf numFmtId="3" fontId="4" fillId="4" borderId="63" xfId="0" applyNumberFormat="1" applyFont="1" applyFill="1" applyBorder="1" applyAlignment="1">
      <alignment horizontal="left" vertical="top" wrapText="1"/>
    </xf>
    <xf numFmtId="3" fontId="4" fillId="4" borderId="58" xfId="0" applyNumberFormat="1" applyFont="1" applyFill="1" applyBorder="1" applyAlignment="1">
      <alignment horizontal="left" vertical="top" wrapText="1"/>
    </xf>
    <xf numFmtId="3" fontId="4" fillId="4" borderId="15" xfId="0" applyNumberFormat="1" applyFont="1" applyFill="1" applyBorder="1" applyAlignment="1">
      <alignment horizontal="left" vertical="top" wrapText="1"/>
    </xf>
    <xf numFmtId="3" fontId="4" fillId="4" borderId="16" xfId="0" applyNumberFormat="1" applyFont="1" applyFill="1" applyBorder="1" applyAlignment="1">
      <alignment horizontal="left" vertical="top" wrapText="1"/>
    </xf>
    <xf numFmtId="3" fontId="4" fillId="4" borderId="24" xfId="0" applyNumberFormat="1" applyFont="1" applyFill="1" applyBorder="1" applyAlignment="1">
      <alignment horizontal="left" vertical="top" wrapText="1"/>
    </xf>
    <xf numFmtId="3" fontId="4" fillId="4" borderId="57" xfId="0" applyNumberFormat="1" applyFont="1" applyFill="1" applyBorder="1" applyAlignment="1">
      <alignment horizontal="left" vertical="top" wrapText="1"/>
    </xf>
    <xf numFmtId="3" fontId="4" fillId="4" borderId="69" xfId="0" applyNumberFormat="1" applyFont="1" applyFill="1" applyBorder="1" applyAlignment="1">
      <alignment horizontal="left" vertical="top" wrapText="1"/>
    </xf>
    <xf numFmtId="3" fontId="1" fillId="3" borderId="60" xfId="0" applyNumberFormat="1" applyFont="1" applyFill="1" applyBorder="1" applyAlignment="1">
      <alignment horizontal="left" vertical="top" wrapText="1"/>
    </xf>
    <xf numFmtId="164" fontId="1" fillId="0" borderId="0" xfId="0" applyNumberFormat="1" applyFont="1" applyAlignment="1">
      <alignment horizontal="center" vertical="top" wrapText="1"/>
    </xf>
    <xf numFmtId="164" fontId="1" fillId="0" borderId="0" xfId="0" applyNumberFormat="1" applyFont="1" applyBorder="1" applyAlignment="1">
      <alignment horizontal="center" vertical="top" wrapText="1"/>
    </xf>
    <xf numFmtId="3" fontId="1" fillId="4" borderId="0" xfId="0" applyNumberFormat="1" applyFont="1" applyFill="1" applyAlignment="1">
      <alignment vertical="top" wrapText="1"/>
    </xf>
    <xf numFmtId="164" fontId="1" fillId="4" borderId="0" xfId="0" applyNumberFormat="1" applyFont="1" applyFill="1" applyAlignment="1">
      <alignment vertical="top" wrapText="1"/>
    </xf>
    <xf numFmtId="3" fontId="2" fillId="8" borderId="57" xfId="0" applyNumberFormat="1" applyFont="1" applyFill="1" applyBorder="1" applyAlignment="1">
      <alignment horizontal="center" vertical="top" wrapText="1"/>
    </xf>
    <xf numFmtId="3" fontId="2" fillId="19" borderId="12" xfId="0" applyNumberFormat="1" applyFont="1" applyFill="1" applyBorder="1" applyAlignment="1">
      <alignment horizontal="center" vertical="top" wrapText="1"/>
    </xf>
    <xf numFmtId="49" fontId="2" fillId="19" borderId="1" xfId="0" applyNumberFormat="1" applyFont="1" applyFill="1" applyBorder="1" applyAlignment="1">
      <alignment horizontal="center" vertical="top" wrapText="1"/>
    </xf>
    <xf numFmtId="49" fontId="2" fillId="19" borderId="41" xfId="0" applyNumberFormat="1" applyFont="1" applyFill="1" applyBorder="1" applyAlignment="1">
      <alignment horizontal="center" vertical="top" wrapText="1"/>
    </xf>
    <xf numFmtId="167" fontId="4" fillId="9" borderId="31" xfId="3" applyNumberFormat="1" applyFont="1" applyFill="1" applyBorder="1" applyAlignment="1">
      <alignment horizontal="center" vertical="top" wrapText="1"/>
    </xf>
    <xf numFmtId="3" fontId="2" fillId="3" borderId="61" xfId="0" applyNumberFormat="1" applyFont="1" applyFill="1" applyBorder="1" applyAlignment="1">
      <alignment horizontal="center" vertical="top" wrapText="1"/>
    </xf>
    <xf numFmtId="49" fontId="2" fillId="19" borderId="41" xfId="0" applyNumberFormat="1" applyFont="1" applyFill="1" applyBorder="1" applyAlignment="1">
      <alignment horizontal="center" vertical="top"/>
    </xf>
    <xf numFmtId="0" fontId="1" fillId="0" borderId="166" xfId="0" applyFont="1" applyFill="1" applyBorder="1" applyAlignment="1">
      <alignment vertical="top" wrapText="1"/>
    </xf>
    <xf numFmtId="49" fontId="4" fillId="0" borderId="43" xfId="0" applyNumberFormat="1" applyFont="1" applyBorder="1" applyAlignment="1">
      <alignment horizontal="center" vertical="top" wrapText="1"/>
    </xf>
    <xf numFmtId="3" fontId="4" fillId="4" borderId="61" xfId="0" applyNumberFormat="1" applyFont="1" applyFill="1" applyBorder="1" applyAlignment="1">
      <alignment horizontal="center" vertical="top"/>
    </xf>
    <xf numFmtId="0" fontId="1" fillId="4" borderId="63" xfId="0" applyFont="1" applyFill="1" applyBorder="1" applyAlignment="1">
      <alignment vertical="top" wrapText="1"/>
    </xf>
    <xf numFmtId="3" fontId="2" fillId="3" borderId="31" xfId="0" applyNumberFormat="1" applyFont="1" applyFill="1" applyBorder="1" applyAlignment="1">
      <alignment horizontal="center" vertical="top" wrapText="1"/>
    </xf>
    <xf numFmtId="3" fontId="1" fillId="0" borderId="31" xfId="0" applyNumberFormat="1" applyFont="1" applyBorder="1" applyAlignment="1">
      <alignment horizontal="center" vertical="top" wrapText="1"/>
    </xf>
    <xf numFmtId="49" fontId="2" fillId="19" borderId="22" xfId="0" applyNumberFormat="1" applyFont="1" applyFill="1" applyBorder="1" applyAlignment="1">
      <alignment horizontal="center" vertical="top" wrapText="1"/>
    </xf>
    <xf numFmtId="49" fontId="2" fillId="19" borderId="20" xfId="0" applyNumberFormat="1" applyFont="1" applyFill="1" applyBorder="1" applyAlignment="1">
      <alignment horizontal="center" vertical="top" wrapText="1"/>
    </xf>
    <xf numFmtId="3" fontId="1" fillId="0" borderId="21" xfId="0" applyNumberFormat="1" applyFont="1" applyBorder="1" applyAlignment="1">
      <alignment horizontal="center" vertical="top"/>
    </xf>
    <xf numFmtId="3" fontId="1" fillId="0" borderId="63" xfId="0" applyNumberFormat="1" applyFont="1" applyBorder="1" applyAlignment="1">
      <alignment horizontal="center" vertical="top"/>
    </xf>
    <xf numFmtId="3" fontId="1" fillId="0" borderId="18" xfId="0" applyNumberFormat="1" applyFont="1" applyBorder="1" applyAlignment="1">
      <alignment vertical="top"/>
    </xf>
    <xf numFmtId="3" fontId="4" fillId="4" borderId="5" xfId="0" applyNumberFormat="1" applyFont="1" applyFill="1" applyBorder="1" applyAlignment="1">
      <alignment horizontal="center" vertical="top" wrapText="1"/>
    </xf>
    <xf numFmtId="3" fontId="2" fillId="4" borderId="54" xfId="0" applyNumberFormat="1" applyFont="1" applyFill="1" applyBorder="1" applyAlignment="1">
      <alignment horizontal="center" vertical="top" wrapText="1"/>
    </xf>
    <xf numFmtId="3" fontId="2" fillId="4" borderId="43" xfId="0" applyNumberFormat="1" applyFont="1" applyFill="1" applyBorder="1" applyAlignment="1">
      <alignment horizontal="center" vertical="center" textRotation="90" wrapText="1"/>
    </xf>
    <xf numFmtId="49" fontId="2" fillId="3" borderId="54" xfId="0" applyNumberFormat="1" applyFont="1" applyFill="1" applyBorder="1" applyAlignment="1">
      <alignment horizontal="center" vertical="top" wrapText="1"/>
    </xf>
    <xf numFmtId="49" fontId="2" fillId="19" borderId="12" xfId="0" applyNumberFormat="1" applyFont="1" applyFill="1" applyBorder="1" applyAlignment="1">
      <alignment horizontal="center" vertical="top" wrapText="1"/>
    </xf>
    <xf numFmtId="164" fontId="1" fillId="4" borderId="37" xfId="0" applyNumberFormat="1" applyFont="1" applyFill="1" applyBorder="1" applyAlignment="1">
      <alignment horizontal="center" vertical="top"/>
    </xf>
    <xf numFmtId="3" fontId="1" fillId="4" borderId="37" xfId="0" applyNumberFormat="1" applyFont="1" applyFill="1" applyBorder="1" applyAlignment="1">
      <alignment horizontal="center" vertical="top" wrapText="1"/>
    </xf>
    <xf numFmtId="164" fontId="1" fillId="4" borderId="38" xfId="0" applyNumberFormat="1" applyFont="1" applyFill="1" applyBorder="1" applyAlignment="1">
      <alignment horizontal="center" vertical="top"/>
    </xf>
    <xf numFmtId="3" fontId="1" fillId="4" borderId="6" xfId="0" applyNumberFormat="1" applyFont="1" applyFill="1" applyBorder="1" applyAlignment="1">
      <alignment horizontal="center" vertical="top" wrapText="1"/>
    </xf>
    <xf numFmtId="164" fontId="1" fillId="4" borderId="38" xfId="0" applyNumberFormat="1" applyFont="1" applyFill="1" applyBorder="1" applyAlignment="1">
      <alignment horizontal="center" vertical="top" wrapText="1"/>
    </xf>
    <xf numFmtId="164" fontId="2" fillId="5" borderId="65" xfId="0" applyNumberFormat="1" applyFont="1" applyFill="1" applyBorder="1" applyAlignment="1">
      <alignment horizontal="center" vertical="top" wrapText="1"/>
    </xf>
    <xf numFmtId="3" fontId="2" fillId="5" borderId="65" xfId="0" applyNumberFormat="1" applyFont="1" applyFill="1" applyBorder="1" applyAlignment="1">
      <alignment horizontal="center" vertical="top" wrapText="1"/>
    </xf>
    <xf numFmtId="3" fontId="2" fillId="0" borderId="54" xfId="0" applyNumberFormat="1" applyFont="1" applyFill="1" applyBorder="1" applyAlignment="1">
      <alignment horizontal="center" vertical="top" wrapText="1"/>
    </xf>
    <xf numFmtId="49" fontId="2" fillId="2" borderId="43" xfId="0" applyNumberFormat="1" applyFont="1" applyFill="1" applyBorder="1" applyAlignment="1">
      <alignment vertical="top" wrapText="1"/>
    </xf>
    <xf numFmtId="49" fontId="2" fillId="19" borderId="42" xfId="0" applyNumberFormat="1" applyFont="1" applyFill="1" applyBorder="1" applyAlignment="1">
      <alignment vertical="top" wrapText="1"/>
    </xf>
    <xf numFmtId="3" fontId="1" fillId="4" borderId="30" xfId="0" applyNumberFormat="1" applyFont="1" applyFill="1" applyBorder="1" applyAlignment="1">
      <alignment horizontal="center" vertical="top"/>
    </xf>
    <xf numFmtId="49" fontId="2" fillId="19" borderId="22" xfId="0" applyNumberFormat="1" applyFont="1" applyFill="1" applyBorder="1" applyAlignment="1">
      <alignment vertical="top" wrapText="1"/>
    </xf>
    <xf numFmtId="49" fontId="2" fillId="19" borderId="17" xfId="0" applyNumberFormat="1" applyFont="1" applyFill="1" applyBorder="1" applyAlignment="1">
      <alignment horizontal="center" vertical="top" wrapText="1"/>
    </xf>
    <xf numFmtId="49" fontId="2" fillId="19" borderId="23" xfId="0" applyNumberFormat="1" applyFont="1" applyFill="1" applyBorder="1" applyAlignment="1">
      <alignment horizontal="center" vertical="top" wrapText="1"/>
    </xf>
    <xf numFmtId="49" fontId="2" fillId="19" borderId="17" xfId="0" applyNumberFormat="1" applyFont="1" applyFill="1" applyBorder="1" applyAlignment="1">
      <alignment horizontal="center" vertical="top"/>
    </xf>
    <xf numFmtId="164" fontId="1" fillId="4" borderId="53" xfId="0" applyNumberFormat="1" applyFont="1" applyFill="1" applyBorder="1" applyAlignment="1">
      <alignment horizontal="center" vertical="top" wrapText="1"/>
    </xf>
    <xf numFmtId="49" fontId="2" fillId="4" borderId="18" xfId="0" applyNumberFormat="1" applyFont="1" applyFill="1" applyBorder="1" applyAlignment="1">
      <alignment horizontal="center" vertical="top" wrapText="1"/>
    </xf>
    <xf numFmtId="3" fontId="1" fillId="4" borderId="61" xfId="0" applyNumberFormat="1" applyFont="1" applyFill="1" applyBorder="1" applyAlignment="1">
      <alignment horizontal="center" vertical="top" wrapText="1"/>
    </xf>
    <xf numFmtId="3" fontId="2" fillId="4" borderId="34" xfId="0" applyNumberFormat="1" applyFont="1" applyFill="1" applyBorder="1" applyAlignment="1">
      <alignment horizontal="center" vertical="top" wrapText="1"/>
    </xf>
    <xf numFmtId="167" fontId="4" fillId="9" borderId="57" xfId="3" applyNumberFormat="1" applyFont="1" applyFill="1" applyBorder="1" applyAlignment="1">
      <alignment horizontal="left" vertical="top" wrapText="1"/>
    </xf>
    <xf numFmtId="49" fontId="2" fillId="19" borderId="57" xfId="0" applyNumberFormat="1" applyFont="1" applyFill="1" applyBorder="1" applyAlignment="1">
      <alignment horizontal="center" vertical="top" wrapText="1"/>
    </xf>
    <xf numFmtId="167" fontId="4" fillId="9" borderId="167" xfId="3" applyNumberFormat="1" applyFont="1" applyFill="1" applyBorder="1" applyAlignment="1">
      <alignment horizontal="center" vertical="top"/>
    </xf>
    <xf numFmtId="167" fontId="4" fillId="9" borderId="31" xfId="3" applyNumberFormat="1" applyFont="1" applyFill="1" applyBorder="1" applyAlignment="1">
      <alignment horizontal="center" vertical="top"/>
    </xf>
    <xf numFmtId="3" fontId="1" fillId="0" borderId="0" xfId="0" applyNumberFormat="1" applyFont="1" applyFill="1" applyBorder="1" applyAlignment="1">
      <alignment horizontal="left" vertical="center" wrapText="1"/>
    </xf>
    <xf numFmtId="164" fontId="4" fillId="11" borderId="169" xfId="3" applyNumberFormat="1" applyFont="1" applyFill="1" applyBorder="1" applyAlignment="1">
      <alignment horizontal="center" vertical="top"/>
    </xf>
    <xf numFmtId="164" fontId="4" fillId="11" borderId="170" xfId="3" applyNumberFormat="1" applyFont="1" applyFill="1" applyBorder="1" applyAlignment="1">
      <alignment horizontal="center" vertical="top"/>
    </xf>
    <xf numFmtId="3" fontId="2" fillId="4" borderId="43" xfId="0" applyNumberFormat="1" applyFont="1" applyFill="1" applyBorder="1" applyAlignment="1">
      <alignment horizontal="left" vertical="top" wrapText="1"/>
    </xf>
    <xf numFmtId="3" fontId="5" fillId="0" borderId="58" xfId="0" applyNumberFormat="1" applyFont="1" applyBorder="1" applyAlignment="1">
      <alignment horizontal="center" vertical="top" wrapText="1"/>
    </xf>
    <xf numFmtId="3" fontId="2" fillId="4" borderId="60" xfId="0" applyNumberFormat="1" applyFont="1" applyFill="1" applyBorder="1" applyAlignment="1">
      <alignment horizontal="center" vertical="top" wrapText="1"/>
    </xf>
    <xf numFmtId="164" fontId="4" fillId="21" borderId="66" xfId="3" applyNumberFormat="1" applyFont="1" applyFill="1" applyBorder="1" applyAlignment="1">
      <alignment horizontal="center" vertical="top"/>
    </xf>
    <xf numFmtId="49" fontId="4" fillId="21" borderId="2" xfId="3" applyNumberFormat="1" applyFont="1" applyFill="1" applyBorder="1" applyAlignment="1">
      <alignment horizontal="center" vertical="top" wrapText="1"/>
    </xf>
    <xf numFmtId="3" fontId="2" fillId="0" borderId="54" xfId="0" applyNumberFormat="1" applyFont="1" applyBorder="1" applyAlignment="1">
      <alignment horizontal="center" vertical="top" wrapText="1"/>
    </xf>
    <xf numFmtId="3" fontId="2" fillId="0" borderId="43" xfId="0" applyNumberFormat="1" applyFont="1" applyBorder="1" applyAlignment="1">
      <alignment horizontal="center" vertical="top" wrapText="1"/>
    </xf>
    <xf numFmtId="49" fontId="5" fillId="19" borderId="12" xfId="0" applyNumberFormat="1" applyFont="1" applyFill="1" applyBorder="1" applyAlignment="1">
      <alignment horizontal="center" vertical="top" wrapText="1"/>
    </xf>
    <xf numFmtId="49" fontId="5" fillId="19" borderId="20" xfId="0" applyNumberFormat="1" applyFont="1" applyFill="1" applyBorder="1" applyAlignment="1">
      <alignment horizontal="center" vertical="top" wrapText="1"/>
    </xf>
    <xf numFmtId="49" fontId="5" fillId="19" borderId="22" xfId="0" applyNumberFormat="1" applyFont="1" applyFill="1" applyBorder="1" applyAlignment="1">
      <alignment horizontal="center" vertical="top" wrapText="1"/>
    </xf>
    <xf numFmtId="49" fontId="5" fillId="19" borderId="41" xfId="0" applyNumberFormat="1" applyFont="1" applyFill="1" applyBorder="1" applyAlignment="1">
      <alignment horizontal="center" vertical="top" wrapText="1"/>
    </xf>
    <xf numFmtId="3" fontId="1" fillId="0" borderId="75" xfId="0" applyNumberFormat="1" applyFont="1" applyFill="1" applyBorder="1" applyAlignment="1">
      <alignment horizontal="center" vertical="top" wrapText="1"/>
    </xf>
    <xf numFmtId="49" fontId="5" fillId="19" borderId="57" xfId="0" applyNumberFormat="1" applyFont="1" applyFill="1" applyBorder="1" applyAlignment="1">
      <alignment horizontal="center" vertical="top" wrapText="1"/>
    </xf>
    <xf numFmtId="49" fontId="5" fillId="19" borderId="16" xfId="0" applyNumberFormat="1" applyFont="1" applyFill="1" applyBorder="1" applyAlignment="1">
      <alignment horizontal="center" vertical="top" wrapText="1"/>
    </xf>
    <xf numFmtId="49" fontId="5" fillId="19" borderId="17" xfId="0" applyNumberFormat="1" applyFont="1" applyFill="1" applyBorder="1" applyAlignment="1">
      <alignment horizontal="center" vertical="top" wrapText="1"/>
    </xf>
    <xf numFmtId="3" fontId="1" fillId="0" borderId="63" xfId="0" applyNumberFormat="1" applyFont="1" applyBorder="1" applyAlignment="1">
      <alignment horizontal="center" vertical="top" wrapText="1"/>
    </xf>
    <xf numFmtId="49" fontId="5" fillId="19" borderId="20" xfId="0" applyNumberFormat="1" applyFont="1" applyFill="1" applyBorder="1" applyAlignment="1">
      <alignment vertical="top" wrapText="1"/>
    </xf>
    <xf numFmtId="164" fontId="4" fillId="4" borderId="40" xfId="0" applyNumberFormat="1" applyFont="1" applyFill="1" applyBorder="1" applyAlignment="1">
      <alignment horizontal="center" vertical="top" wrapText="1"/>
    </xf>
    <xf numFmtId="49" fontId="5" fillId="19" borderId="17" xfId="0" applyNumberFormat="1" applyFont="1" applyFill="1" applyBorder="1" applyAlignment="1">
      <alignment vertical="top" wrapText="1"/>
    </xf>
    <xf numFmtId="49" fontId="2" fillId="19" borderId="17" xfId="0" applyNumberFormat="1" applyFont="1" applyFill="1" applyBorder="1" applyAlignment="1">
      <alignment vertical="top" wrapText="1"/>
    </xf>
    <xf numFmtId="3" fontId="5" fillId="4" borderId="66" xfId="0" applyNumberFormat="1" applyFont="1" applyFill="1" applyBorder="1" applyAlignment="1">
      <alignment horizontal="left" vertical="top" wrapText="1"/>
    </xf>
    <xf numFmtId="49" fontId="5" fillId="19" borderId="41" xfId="0" applyNumberFormat="1" applyFont="1" applyFill="1" applyBorder="1" applyAlignment="1">
      <alignment vertical="top" wrapText="1"/>
    </xf>
    <xf numFmtId="3" fontId="4" fillId="4" borderId="38" xfId="0" applyNumberFormat="1" applyFont="1" applyFill="1" applyBorder="1" applyAlignment="1">
      <alignment vertical="top" wrapText="1"/>
    </xf>
    <xf numFmtId="3" fontId="5" fillId="0" borderId="39" xfId="0" applyNumberFormat="1" applyFont="1" applyBorder="1" applyAlignment="1">
      <alignment horizontal="center" vertical="top" wrapText="1"/>
    </xf>
    <xf numFmtId="49" fontId="5" fillId="19" borderId="16" xfId="0" applyNumberFormat="1" applyFont="1" applyFill="1" applyBorder="1" applyAlignment="1">
      <alignment vertical="top" wrapText="1"/>
    </xf>
    <xf numFmtId="3" fontId="1" fillId="4" borderId="10" xfId="0" applyNumberFormat="1" applyFont="1" applyFill="1" applyBorder="1" applyAlignment="1">
      <alignment horizontal="center" vertical="top" wrapText="1"/>
    </xf>
    <xf numFmtId="3" fontId="4" fillId="4" borderId="3" xfId="0" applyNumberFormat="1" applyFont="1" applyFill="1" applyBorder="1" applyAlignment="1">
      <alignment vertical="top" wrapText="1"/>
    </xf>
    <xf numFmtId="3" fontId="4" fillId="4" borderId="27" xfId="0" applyNumberFormat="1" applyFont="1" applyFill="1" applyBorder="1" applyAlignment="1">
      <alignment vertical="top" wrapText="1"/>
    </xf>
    <xf numFmtId="3" fontId="4" fillId="4" borderId="35" xfId="0" applyNumberFormat="1" applyFont="1" applyFill="1" applyBorder="1" applyAlignment="1">
      <alignment horizontal="left" vertical="top" wrapText="1"/>
    </xf>
    <xf numFmtId="3" fontId="4" fillId="4" borderId="58" xfId="0" applyNumberFormat="1" applyFont="1" applyFill="1" applyBorder="1" applyAlignment="1">
      <alignment vertical="top" wrapText="1"/>
    </xf>
    <xf numFmtId="3" fontId="4" fillId="4" borderId="35" xfId="0" applyNumberFormat="1" applyFont="1" applyFill="1" applyBorder="1" applyAlignment="1">
      <alignment vertical="top" wrapText="1"/>
    </xf>
    <xf numFmtId="3" fontId="4" fillId="4" borderId="59" xfId="0" applyNumberFormat="1" applyFont="1" applyFill="1" applyBorder="1" applyAlignment="1">
      <alignment vertical="top" wrapText="1"/>
    </xf>
    <xf numFmtId="3" fontId="4" fillId="4" borderId="46" xfId="0" applyNumberFormat="1" applyFont="1" applyFill="1" applyBorder="1" applyAlignment="1">
      <alignment vertical="top" wrapText="1"/>
    </xf>
    <xf numFmtId="3" fontId="4" fillId="4" borderId="59" xfId="0" applyNumberFormat="1" applyFont="1" applyFill="1" applyBorder="1" applyAlignment="1">
      <alignment horizontal="left" vertical="top" wrapText="1"/>
    </xf>
    <xf numFmtId="3" fontId="4" fillId="4" borderId="46" xfId="0" applyNumberFormat="1" applyFont="1" applyFill="1" applyBorder="1" applyAlignment="1">
      <alignment horizontal="left" vertical="top" wrapText="1"/>
    </xf>
    <xf numFmtId="3" fontId="1" fillId="4" borderId="27" xfId="0" applyNumberFormat="1" applyFont="1" applyFill="1" applyBorder="1" applyAlignment="1">
      <alignment vertical="top" wrapText="1"/>
    </xf>
    <xf numFmtId="3" fontId="1" fillId="4" borderId="35" xfId="0" applyNumberFormat="1" applyFont="1" applyFill="1" applyBorder="1" applyAlignment="1">
      <alignment horizontal="left" vertical="top" wrapText="1"/>
    </xf>
    <xf numFmtId="3" fontId="2" fillId="19" borderId="55" xfId="0" applyNumberFormat="1" applyFont="1" applyFill="1" applyBorder="1" applyAlignment="1">
      <alignment horizontal="center" vertical="top" wrapText="1"/>
    </xf>
    <xf numFmtId="3" fontId="2" fillId="8" borderId="44" xfId="0" applyNumberFormat="1" applyFont="1" applyFill="1" applyBorder="1" applyAlignment="1">
      <alignment horizontal="center" vertical="top" wrapText="1"/>
    </xf>
    <xf numFmtId="164" fontId="4" fillId="4" borderId="63" xfId="0" applyNumberFormat="1" applyFont="1" applyFill="1" applyBorder="1" applyAlignment="1">
      <alignment horizontal="center" vertical="top"/>
    </xf>
    <xf numFmtId="164" fontId="1" fillId="0" borderId="75" xfId="0" applyNumberFormat="1" applyFont="1" applyFill="1" applyBorder="1" applyAlignment="1">
      <alignment horizontal="center" vertical="top" wrapText="1"/>
    </xf>
    <xf numFmtId="164" fontId="2" fillId="19" borderId="12" xfId="0" applyNumberFormat="1" applyFont="1" applyFill="1" applyBorder="1" applyAlignment="1">
      <alignment horizontal="center" vertical="top" wrapText="1"/>
    </xf>
    <xf numFmtId="164" fontId="4" fillId="4" borderId="53" xfId="0" applyNumberFormat="1" applyFont="1" applyFill="1" applyBorder="1" applyAlignment="1">
      <alignment horizontal="center" vertical="top" wrapText="1"/>
    </xf>
    <xf numFmtId="164" fontId="4" fillId="4" borderId="31" xfId="0" applyNumberFormat="1" applyFont="1" applyFill="1" applyBorder="1" applyAlignment="1">
      <alignment horizontal="center" vertical="top" wrapText="1"/>
    </xf>
    <xf numFmtId="164" fontId="5" fillId="4" borderId="31" xfId="0" applyNumberFormat="1" applyFont="1" applyFill="1" applyBorder="1" applyAlignment="1">
      <alignment horizontal="center" vertical="top" wrapText="1"/>
    </xf>
    <xf numFmtId="164" fontId="4" fillId="4" borderId="61" xfId="0" applyNumberFormat="1" applyFont="1" applyFill="1" applyBorder="1" applyAlignment="1">
      <alignment horizontal="center" vertical="top" wrapText="1"/>
    </xf>
    <xf numFmtId="164" fontId="4" fillId="4" borderId="31" xfId="0" applyNumberFormat="1" applyFont="1" applyFill="1" applyBorder="1" applyAlignment="1">
      <alignment horizontal="center" vertical="top"/>
    </xf>
    <xf numFmtId="164" fontId="4" fillId="4" borderId="40" xfId="0" applyNumberFormat="1" applyFont="1" applyFill="1" applyBorder="1" applyAlignment="1">
      <alignment horizontal="center" vertical="top"/>
    </xf>
    <xf numFmtId="164" fontId="4" fillId="4" borderId="61" xfId="0" applyNumberFormat="1" applyFont="1" applyFill="1" applyBorder="1" applyAlignment="1">
      <alignment horizontal="center" vertical="top"/>
    </xf>
    <xf numFmtId="164" fontId="1" fillId="4" borderId="40" xfId="0" applyNumberFormat="1" applyFont="1" applyFill="1" applyBorder="1" applyAlignment="1">
      <alignment horizontal="center" vertical="top" wrapText="1"/>
    </xf>
    <xf numFmtId="164" fontId="1" fillId="4" borderId="61" xfId="0" applyNumberFormat="1" applyFont="1" applyFill="1" applyBorder="1" applyAlignment="1">
      <alignment horizontal="center" vertical="top" wrapText="1"/>
    </xf>
    <xf numFmtId="164" fontId="4" fillId="4" borderId="24" xfId="0" applyNumberFormat="1" applyFont="1" applyFill="1" applyBorder="1" applyAlignment="1">
      <alignment horizontal="center" vertical="top" wrapText="1"/>
    </xf>
    <xf numFmtId="164" fontId="4" fillId="4" borderId="26" xfId="0" applyNumberFormat="1" applyFont="1" applyFill="1" applyBorder="1" applyAlignment="1">
      <alignment horizontal="center" vertical="top"/>
    </xf>
    <xf numFmtId="164" fontId="4" fillId="4" borderId="28" xfId="0" applyNumberFormat="1" applyFont="1" applyFill="1" applyBorder="1" applyAlignment="1">
      <alignment horizontal="center" vertical="top" wrapText="1"/>
    </xf>
    <xf numFmtId="164" fontId="1" fillId="4" borderId="26" xfId="0" applyNumberFormat="1" applyFont="1" applyFill="1" applyBorder="1" applyAlignment="1">
      <alignment horizontal="center" vertical="top" wrapText="1"/>
    </xf>
    <xf numFmtId="164" fontId="1" fillId="4" borderId="7" xfId="0" applyNumberFormat="1" applyFont="1" applyFill="1" applyBorder="1" applyAlignment="1">
      <alignment horizontal="center" vertical="top" wrapText="1"/>
    </xf>
    <xf numFmtId="164" fontId="1" fillId="4" borderId="24" xfId="0" applyNumberFormat="1" applyFont="1" applyFill="1" applyBorder="1" applyAlignment="1">
      <alignment horizontal="center" vertical="top" wrapText="1"/>
    </xf>
    <xf numFmtId="164" fontId="4" fillId="4" borderId="15" xfId="0" applyNumberFormat="1" applyFont="1" applyFill="1" applyBorder="1" applyAlignment="1">
      <alignment horizontal="center" vertical="top"/>
    </xf>
    <xf numFmtId="164" fontId="1" fillId="4" borderId="15" xfId="0" applyNumberFormat="1" applyFont="1" applyFill="1" applyBorder="1" applyAlignment="1">
      <alignment horizontal="center" vertical="top" wrapText="1"/>
    </xf>
    <xf numFmtId="164" fontId="1" fillId="4" borderId="74" xfId="0" applyNumberFormat="1" applyFont="1" applyFill="1" applyBorder="1" applyAlignment="1">
      <alignment horizontal="center" vertical="top" wrapText="1"/>
    </xf>
    <xf numFmtId="164" fontId="4" fillId="4" borderId="43" xfId="0" applyNumberFormat="1" applyFont="1" applyFill="1" applyBorder="1" applyAlignment="1">
      <alignment horizontal="center" vertical="top" wrapText="1"/>
    </xf>
    <xf numFmtId="164" fontId="4" fillId="4" borderId="43" xfId="0" applyNumberFormat="1" applyFont="1" applyFill="1" applyBorder="1" applyAlignment="1">
      <alignment horizontal="center" vertical="top"/>
    </xf>
    <xf numFmtId="164" fontId="1" fillId="0" borderId="29" xfId="0" applyNumberFormat="1" applyFont="1" applyFill="1" applyBorder="1" applyAlignment="1">
      <alignment horizontal="center" vertical="top" wrapText="1"/>
    </xf>
    <xf numFmtId="164" fontId="2" fillId="19" borderId="11" xfId="0" applyNumberFormat="1" applyFont="1" applyFill="1" applyBorder="1" applyAlignment="1">
      <alignment horizontal="center" vertical="top" wrapText="1"/>
    </xf>
    <xf numFmtId="164" fontId="4" fillId="21" borderId="52" xfId="3" applyNumberFormat="1" applyFont="1" applyFill="1" applyBorder="1" applyAlignment="1">
      <alignment horizontal="center" vertical="top"/>
    </xf>
    <xf numFmtId="164" fontId="4" fillId="11" borderId="57" xfId="3" applyNumberFormat="1" applyFont="1" applyFill="1" applyBorder="1" applyAlignment="1">
      <alignment horizontal="center" vertical="top"/>
    </xf>
    <xf numFmtId="164" fontId="1" fillId="4" borderId="62" xfId="0" applyNumberFormat="1" applyFont="1" applyFill="1" applyBorder="1" applyAlignment="1">
      <alignment horizontal="center" vertical="top"/>
    </xf>
    <xf numFmtId="164" fontId="1" fillId="4" borderId="63" xfId="0" applyNumberFormat="1" applyFont="1" applyFill="1" applyBorder="1" applyAlignment="1">
      <alignment horizontal="center" vertical="top"/>
    </xf>
    <xf numFmtId="164" fontId="1" fillId="0" borderId="7" xfId="0" applyNumberFormat="1" applyFont="1" applyFill="1" applyBorder="1" applyAlignment="1">
      <alignment horizontal="center" vertical="top" wrapText="1"/>
    </xf>
    <xf numFmtId="164" fontId="4" fillId="11" borderId="28" xfId="3" applyNumberFormat="1" applyFont="1" applyFill="1" applyBorder="1" applyAlignment="1">
      <alignment horizontal="center" vertical="top"/>
    </xf>
    <xf numFmtId="164" fontId="4" fillId="11" borderId="26" xfId="3" applyNumberFormat="1" applyFont="1" applyFill="1" applyBorder="1" applyAlignment="1">
      <alignment horizontal="center" vertical="top"/>
    </xf>
    <xf numFmtId="164" fontId="4" fillId="11" borderId="7" xfId="3" applyNumberFormat="1" applyFont="1" applyFill="1" applyBorder="1" applyAlignment="1">
      <alignment horizontal="center" vertical="top"/>
    </xf>
    <xf numFmtId="164" fontId="4" fillId="11" borderId="15" xfId="3" applyNumberFormat="1" applyFont="1" applyFill="1" applyBorder="1" applyAlignment="1">
      <alignment horizontal="center" vertical="top"/>
    </xf>
    <xf numFmtId="164" fontId="4" fillId="11" borderId="69" xfId="3" applyNumberFormat="1" applyFont="1" applyFill="1" applyBorder="1" applyAlignment="1">
      <alignment horizontal="center" vertical="top"/>
    </xf>
    <xf numFmtId="164" fontId="4" fillId="0" borderId="3" xfId="0" applyNumberFormat="1" applyFont="1" applyFill="1" applyBorder="1" applyAlignment="1">
      <alignment horizontal="center" vertical="top" wrapText="1"/>
    </xf>
    <xf numFmtId="164" fontId="4" fillId="11" borderId="174" xfId="3" applyNumberFormat="1" applyFont="1" applyFill="1" applyBorder="1" applyAlignment="1">
      <alignment horizontal="center" vertical="top"/>
    </xf>
    <xf numFmtId="164" fontId="4" fillId="11" borderId="35" xfId="3" applyNumberFormat="1" applyFont="1" applyFill="1" applyBorder="1" applyAlignment="1">
      <alignment horizontal="center" vertical="top"/>
    </xf>
    <xf numFmtId="164" fontId="4" fillId="11" borderId="171" xfId="3" applyNumberFormat="1" applyFont="1" applyFill="1" applyBorder="1" applyAlignment="1">
      <alignment horizontal="center" vertical="top"/>
    </xf>
    <xf numFmtId="164" fontId="1" fillId="0" borderId="24" xfId="0" applyNumberFormat="1" applyFont="1" applyFill="1" applyBorder="1" applyAlignment="1">
      <alignment horizontal="center" vertical="top" wrapText="1"/>
    </xf>
    <xf numFmtId="164" fontId="4" fillId="11" borderId="175" xfId="3" applyNumberFormat="1" applyFont="1" applyFill="1" applyBorder="1" applyAlignment="1">
      <alignment horizontal="center" vertical="top"/>
    </xf>
    <xf numFmtId="164" fontId="1" fillId="4" borderId="15" xfId="0" applyNumberFormat="1" applyFont="1" applyFill="1" applyBorder="1" applyAlignment="1">
      <alignment horizontal="center" vertical="top"/>
    </xf>
    <xf numFmtId="164" fontId="4" fillId="11" borderId="19" xfId="3" applyNumberFormat="1" applyFont="1" applyFill="1" applyBorder="1" applyAlignment="1">
      <alignment horizontal="center" vertical="top"/>
    </xf>
    <xf numFmtId="164" fontId="4" fillId="11" borderId="176" xfId="3" applyNumberFormat="1" applyFont="1" applyFill="1" applyBorder="1" applyAlignment="1">
      <alignment horizontal="center" vertical="top"/>
    </xf>
    <xf numFmtId="164" fontId="4" fillId="11" borderId="177" xfId="3" applyNumberFormat="1" applyFont="1" applyFill="1" applyBorder="1" applyAlignment="1">
      <alignment horizontal="center" vertical="top"/>
    </xf>
    <xf numFmtId="164" fontId="1" fillId="4" borderId="60" xfId="0" applyNumberFormat="1" applyFont="1" applyFill="1" applyBorder="1" applyAlignment="1">
      <alignment horizontal="center" vertical="top"/>
    </xf>
    <xf numFmtId="164" fontId="1" fillId="4" borderId="43" xfId="0" applyNumberFormat="1" applyFont="1" applyFill="1" applyBorder="1" applyAlignment="1">
      <alignment horizontal="center" vertical="top"/>
    </xf>
    <xf numFmtId="164" fontId="1" fillId="4" borderId="77" xfId="0" applyNumberFormat="1" applyFont="1" applyFill="1" applyBorder="1" applyAlignment="1">
      <alignment horizontal="center" vertical="top" wrapText="1"/>
    </xf>
    <xf numFmtId="164" fontId="1" fillId="0" borderId="67" xfId="0" applyNumberFormat="1" applyFont="1" applyBorder="1" applyAlignment="1">
      <alignment horizontal="center" vertical="top" wrapText="1"/>
    </xf>
    <xf numFmtId="164" fontId="1" fillId="4" borderId="70" xfId="0" applyNumberFormat="1" applyFont="1" applyFill="1" applyBorder="1" applyAlignment="1">
      <alignment horizontal="center" vertical="top" wrapText="1"/>
    </xf>
    <xf numFmtId="164" fontId="1" fillId="4" borderId="67" xfId="0" applyNumberFormat="1" applyFont="1" applyFill="1" applyBorder="1" applyAlignment="1">
      <alignment horizontal="center" vertical="top" wrapText="1"/>
    </xf>
    <xf numFmtId="164" fontId="1" fillId="4" borderId="70" xfId="0" applyNumberFormat="1" applyFont="1" applyFill="1" applyBorder="1" applyAlignment="1">
      <alignment horizontal="center" vertical="top"/>
    </xf>
    <xf numFmtId="164" fontId="1" fillId="4" borderId="67" xfId="0" applyNumberFormat="1" applyFont="1" applyFill="1" applyBorder="1" applyAlignment="1">
      <alignment horizontal="center" vertical="top"/>
    </xf>
    <xf numFmtId="164" fontId="1" fillId="0" borderId="17" xfId="0" applyNumberFormat="1" applyFont="1" applyBorder="1" applyAlignment="1">
      <alignment horizontal="center" vertical="top" wrapText="1"/>
    </xf>
    <xf numFmtId="164" fontId="2" fillId="5" borderId="66" xfId="0" applyNumberFormat="1" applyFont="1" applyFill="1" applyBorder="1" applyAlignment="1">
      <alignment horizontal="center" vertical="top" wrapText="1"/>
    </xf>
    <xf numFmtId="164" fontId="1" fillId="0" borderId="18" xfId="0" applyNumberFormat="1" applyFont="1" applyBorder="1" applyAlignment="1">
      <alignment horizontal="center" vertical="top" wrapText="1"/>
    </xf>
    <xf numFmtId="164" fontId="4" fillId="4" borderId="104" xfId="0" applyNumberFormat="1" applyFont="1" applyFill="1" applyBorder="1" applyAlignment="1">
      <alignment horizontal="center" vertical="top"/>
    </xf>
    <xf numFmtId="164" fontId="4" fillId="4" borderId="63" xfId="0" applyNumberFormat="1" applyFont="1" applyFill="1" applyBorder="1" applyAlignment="1">
      <alignment vertical="top"/>
    </xf>
    <xf numFmtId="164" fontId="2" fillId="19" borderId="57" xfId="0" applyNumberFormat="1" applyFont="1" applyFill="1" applyBorder="1" applyAlignment="1">
      <alignment horizontal="center" vertical="top" wrapText="1"/>
    </xf>
    <xf numFmtId="164" fontId="2" fillId="8" borderId="57" xfId="0" applyNumberFormat="1" applyFont="1" applyFill="1" applyBorder="1" applyAlignment="1">
      <alignment horizontal="center" vertical="top" wrapText="1"/>
    </xf>
    <xf numFmtId="164" fontId="4" fillId="4" borderId="178" xfId="0" applyNumberFormat="1" applyFont="1" applyFill="1" applyBorder="1" applyAlignment="1">
      <alignment horizontal="center" vertical="top"/>
    </xf>
    <xf numFmtId="164" fontId="4" fillId="4" borderId="15" xfId="0" applyNumberFormat="1" applyFont="1" applyFill="1" applyBorder="1" applyAlignment="1">
      <alignment vertical="top"/>
    </xf>
    <xf numFmtId="164" fontId="4" fillId="4" borderId="105" xfId="0" applyNumberFormat="1" applyFont="1" applyFill="1" applyBorder="1" applyAlignment="1">
      <alignment horizontal="center" vertical="top"/>
    </xf>
    <xf numFmtId="164" fontId="4" fillId="4" borderId="43" xfId="0" applyNumberFormat="1" applyFont="1" applyFill="1" applyBorder="1" applyAlignment="1">
      <alignment vertical="top"/>
    </xf>
    <xf numFmtId="164" fontId="2" fillId="19" borderId="19" xfId="0" applyNumberFormat="1" applyFont="1" applyFill="1" applyBorder="1" applyAlignment="1">
      <alignment horizontal="center" vertical="top" wrapText="1"/>
    </xf>
    <xf numFmtId="164" fontId="2" fillId="8" borderId="19" xfId="0" applyNumberFormat="1" applyFont="1" applyFill="1" applyBorder="1" applyAlignment="1">
      <alignment horizontal="center" vertical="top" wrapText="1"/>
    </xf>
    <xf numFmtId="164" fontId="4" fillId="4" borderId="34" xfId="0" applyNumberFormat="1" applyFont="1" applyFill="1" applyBorder="1" applyAlignment="1">
      <alignment horizontal="center" vertical="top" wrapText="1"/>
    </xf>
    <xf numFmtId="3" fontId="1" fillId="4" borderId="32" xfId="0" applyNumberFormat="1" applyFont="1" applyFill="1" applyBorder="1" applyAlignment="1">
      <alignment horizontal="center" vertical="top" wrapText="1"/>
    </xf>
    <xf numFmtId="3" fontId="5" fillId="0" borderId="54" xfId="0" applyNumberFormat="1" applyFont="1" applyBorder="1" applyAlignment="1">
      <alignment horizontal="center" vertical="top" wrapText="1"/>
    </xf>
    <xf numFmtId="49" fontId="4" fillId="4" borderId="6" xfId="3" applyNumberFormat="1" applyFont="1" applyFill="1" applyBorder="1" applyAlignment="1">
      <alignment horizontal="center" vertical="top"/>
    </xf>
    <xf numFmtId="49" fontId="4" fillId="4" borderId="2" xfId="3" applyNumberFormat="1" applyFont="1" applyFill="1" applyBorder="1" applyAlignment="1">
      <alignment horizontal="center" vertical="top"/>
    </xf>
    <xf numFmtId="49" fontId="4" fillId="4" borderId="5" xfId="3" applyNumberFormat="1" applyFont="1" applyFill="1" applyBorder="1" applyAlignment="1">
      <alignment horizontal="center" vertical="top"/>
    </xf>
    <xf numFmtId="3" fontId="1" fillId="4" borderId="5" xfId="0" applyNumberFormat="1" applyFont="1" applyFill="1" applyBorder="1" applyAlignment="1">
      <alignment horizontal="center" vertical="top" wrapText="1"/>
    </xf>
    <xf numFmtId="167" fontId="4" fillId="9" borderId="32" xfId="3" applyNumberFormat="1" applyFont="1" applyFill="1" applyBorder="1" applyAlignment="1">
      <alignment horizontal="center" vertical="top" wrapText="1"/>
    </xf>
    <xf numFmtId="167" fontId="4" fillId="9" borderId="32" xfId="3" applyNumberFormat="1" applyFont="1" applyFill="1" applyBorder="1" applyAlignment="1">
      <alignment horizontal="center" vertical="top"/>
    </xf>
    <xf numFmtId="167" fontId="4" fillId="9" borderId="34" xfId="3" applyNumberFormat="1" applyFont="1" applyFill="1" applyBorder="1" applyAlignment="1">
      <alignment horizontal="center" vertical="top"/>
    </xf>
    <xf numFmtId="167" fontId="4" fillId="9" borderId="179" xfId="3" applyNumberFormat="1" applyFont="1" applyFill="1" applyBorder="1" applyAlignment="1">
      <alignment horizontal="center" vertical="top"/>
    </xf>
    <xf numFmtId="167" fontId="4" fillId="9" borderId="172" xfId="3" applyNumberFormat="1" applyFont="1" applyFill="1" applyBorder="1" applyAlignment="1">
      <alignment horizontal="center" vertical="top"/>
    </xf>
    <xf numFmtId="3" fontId="2" fillId="2" borderId="55" xfId="0" applyNumberFormat="1" applyFont="1" applyFill="1" applyBorder="1" applyAlignment="1">
      <alignment horizontal="center" vertical="top" wrapText="1"/>
    </xf>
    <xf numFmtId="3" fontId="8" fillId="0" borderId="0" xfId="0" applyNumberFormat="1" applyFont="1" applyAlignment="1">
      <alignment vertical="top" wrapText="1"/>
    </xf>
    <xf numFmtId="3" fontId="16" fillId="0" borderId="0" xfId="0" applyNumberFormat="1" applyFont="1" applyBorder="1" applyAlignment="1">
      <alignment vertical="center" wrapText="1"/>
    </xf>
    <xf numFmtId="164" fontId="4" fillId="4" borderId="37" xfId="0" applyNumberFormat="1" applyFont="1" applyFill="1" applyBorder="1" applyAlignment="1">
      <alignment horizontal="center" vertical="top" wrapText="1"/>
    </xf>
    <xf numFmtId="164" fontId="4" fillId="4" borderId="42" xfId="0" applyNumberFormat="1" applyFont="1" applyFill="1" applyBorder="1" applyAlignment="1">
      <alignment horizontal="center" vertical="top"/>
    </xf>
    <xf numFmtId="164" fontId="4" fillId="4" borderId="41" xfId="0" applyNumberFormat="1" applyFont="1" applyFill="1" applyBorder="1" applyAlignment="1">
      <alignment horizontal="center" vertical="top" wrapText="1"/>
    </xf>
    <xf numFmtId="164" fontId="4" fillId="4" borderId="38" xfId="0" applyNumberFormat="1" applyFont="1" applyFill="1" applyBorder="1" applyAlignment="1">
      <alignment horizontal="center" vertical="top" wrapText="1"/>
    </xf>
    <xf numFmtId="0" fontId="27" fillId="20" borderId="138" xfId="0" applyNumberFormat="1" applyFont="1" applyFill="1" applyBorder="1" applyAlignment="1" applyProtection="1">
      <alignment horizontal="center" vertical="top" wrapText="1" readingOrder="1"/>
      <protection locked="0"/>
    </xf>
    <xf numFmtId="0" fontId="27" fillId="19" borderId="152" xfId="0" applyNumberFormat="1" applyFont="1" applyFill="1" applyBorder="1" applyAlignment="1" applyProtection="1">
      <alignment horizontal="center" vertical="top" wrapText="1" readingOrder="1"/>
      <protection locked="0"/>
    </xf>
    <xf numFmtId="0" fontId="1" fillId="4" borderId="68" xfId="0" applyFont="1" applyFill="1" applyBorder="1" applyAlignment="1">
      <alignment horizontal="center" vertical="top" wrapText="1"/>
    </xf>
    <xf numFmtId="165" fontId="26" fillId="0" borderId="111" xfId="0" applyNumberFormat="1" applyFont="1" applyFill="1" applyBorder="1" applyAlignment="1" applyProtection="1">
      <alignment vertical="top" wrapText="1" readingOrder="1"/>
      <protection locked="0"/>
    </xf>
    <xf numFmtId="3" fontId="4" fillId="4" borderId="33" xfId="0" applyNumberFormat="1" applyFont="1" applyFill="1" applyBorder="1" applyAlignment="1">
      <alignment vertical="top" wrapText="1"/>
    </xf>
    <xf numFmtId="3" fontId="4" fillId="4" borderId="70" xfId="0" applyNumberFormat="1" applyFont="1" applyFill="1" applyBorder="1" applyAlignment="1">
      <alignment vertical="top" wrapText="1"/>
    </xf>
    <xf numFmtId="164" fontId="4" fillId="4" borderId="36" xfId="0" applyNumberFormat="1" applyFont="1" applyFill="1" applyBorder="1" applyAlignment="1">
      <alignment horizontal="center" vertical="top" wrapText="1"/>
    </xf>
    <xf numFmtId="164" fontId="4" fillId="4" borderId="29" xfId="0" applyNumberFormat="1" applyFont="1" applyFill="1" applyBorder="1" applyAlignment="1">
      <alignment horizontal="center" vertical="top" wrapText="1"/>
    </xf>
    <xf numFmtId="164" fontId="4" fillId="4" borderId="30" xfId="0" applyNumberFormat="1" applyFont="1" applyFill="1" applyBorder="1" applyAlignment="1">
      <alignment horizontal="center" vertical="top" wrapText="1"/>
    </xf>
    <xf numFmtId="164" fontId="4" fillId="4" borderId="37" xfId="0" applyNumberFormat="1" applyFont="1" applyFill="1" applyBorder="1" applyAlignment="1">
      <alignment horizontal="center" vertical="top"/>
    </xf>
    <xf numFmtId="164" fontId="1" fillId="4" borderId="37" xfId="0" applyNumberFormat="1" applyFont="1" applyFill="1" applyBorder="1" applyAlignment="1">
      <alignment horizontal="center" vertical="top" wrapText="1"/>
    </xf>
    <xf numFmtId="3" fontId="1" fillId="0" borderId="6" xfId="0" applyNumberFormat="1" applyFont="1" applyBorder="1" applyAlignment="1">
      <alignment horizontal="center" vertical="top" wrapText="1"/>
    </xf>
    <xf numFmtId="3" fontId="1" fillId="0" borderId="5" xfId="0" applyNumberFormat="1" applyFont="1" applyBorder="1" applyAlignment="1">
      <alignment horizontal="center" vertical="top" wrapText="1"/>
    </xf>
    <xf numFmtId="164" fontId="1" fillId="4" borderId="42" xfId="0" applyNumberFormat="1" applyFont="1" applyFill="1" applyBorder="1" applyAlignment="1">
      <alignment horizontal="center" vertical="top" wrapText="1"/>
    </xf>
    <xf numFmtId="164" fontId="4" fillId="4" borderId="42" xfId="0" applyNumberFormat="1" applyFont="1" applyFill="1" applyBorder="1" applyAlignment="1">
      <alignment horizontal="center" vertical="top" wrapText="1"/>
    </xf>
    <xf numFmtId="164" fontId="4" fillId="4" borderId="38" xfId="0" applyNumberFormat="1" applyFont="1" applyFill="1" applyBorder="1" applyAlignment="1">
      <alignment horizontal="center" vertical="top"/>
    </xf>
    <xf numFmtId="164" fontId="4" fillId="4" borderId="41" xfId="0" applyNumberFormat="1" applyFont="1" applyFill="1" applyBorder="1" applyAlignment="1">
      <alignment horizontal="center" vertical="top"/>
    </xf>
    <xf numFmtId="164" fontId="5" fillId="4" borderId="42" xfId="0" applyNumberFormat="1" applyFont="1" applyFill="1" applyBorder="1" applyAlignment="1">
      <alignment horizontal="center" vertical="top" wrapText="1"/>
    </xf>
    <xf numFmtId="164" fontId="5" fillId="4" borderId="43" xfId="0" applyNumberFormat="1" applyFont="1" applyFill="1" applyBorder="1" applyAlignment="1">
      <alignment horizontal="center" vertical="top" wrapText="1"/>
    </xf>
    <xf numFmtId="164" fontId="5" fillId="4" borderId="61" xfId="0" applyNumberFormat="1" applyFont="1" applyFill="1" applyBorder="1" applyAlignment="1">
      <alignment horizontal="center" vertical="top" wrapText="1"/>
    </xf>
    <xf numFmtId="164" fontId="5" fillId="4" borderId="41" xfId="0" applyNumberFormat="1" applyFont="1" applyFill="1" applyBorder="1" applyAlignment="1">
      <alignment horizontal="center" vertical="top" wrapText="1"/>
    </xf>
    <xf numFmtId="3" fontId="2" fillId="0" borderId="0" xfId="0" applyNumberFormat="1" applyFont="1" applyFill="1" applyBorder="1" applyAlignment="1">
      <alignment horizontal="center" wrapText="1"/>
    </xf>
    <xf numFmtId="0" fontId="27" fillId="0" borderId="184" xfId="0" applyNumberFormat="1" applyFont="1" applyFill="1" applyBorder="1" applyAlignment="1" applyProtection="1">
      <alignment horizontal="center" vertical="top" wrapText="1" readingOrder="1"/>
      <protection locked="0"/>
    </xf>
    <xf numFmtId="3" fontId="4" fillId="4" borderId="39" xfId="0" applyNumberFormat="1" applyFont="1" applyFill="1" applyBorder="1" applyAlignment="1">
      <alignment horizontal="left" vertical="top" wrapText="1"/>
    </xf>
    <xf numFmtId="3" fontId="4" fillId="4" borderId="31" xfId="0" applyNumberFormat="1" applyFont="1" applyFill="1" applyBorder="1" applyAlignment="1">
      <alignment horizontal="left" vertical="top" wrapText="1"/>
    </xf>
    <xf numFmtId="3" fontId="4" fillId="4" borderId="53" xfId="0" applyNumberFormat="1" applyFont="1" applyFill="1" applyBorder="1" applyAlignment="1">
      <alignment horizontal="left" vertical="top" wrapText="1"/>
    </xf>
    <xf numFmtId="3" fontId="4" fillId="4" borderId="40" xfId="0" applyNumberFormat="1" applyFont="1" applyFill="1" applyBorder="1" applyAlignment="1">
      <alignment horizontal="left" vertical="top" wrapText="1"/>
    </xf>
    <xf numFmtId="3" fontId="4" fillId="4" borderId="61" xfId="0" applyNumberFormat="1" applyFont="1" applyFill="1" applyBorder="1" applyAlignment="1">
      <alignment horizontal="left" vertical="top" wrapText="1"/>
    </xf>
    <xf numFmtId="3" fontId="4" fillId="4" borderId="21" xfId="0" applyNumberFormat="1" applyFont="1" applyFill="1" applyBorder="1" applyAlignment="1">
      <alignment horizontal="left" vertical="top" wrapText="1"/>
    </xf>
    <xf numFmtId="3" fontId="17" fillId="4" borderId="31" xfId="0" applyNumberFormat="1" applyFont="1" applyFill="1" applyBorder="1" applyAlignment="1">
      <alignment horizontal="left" vertical="top" wrapText="1"/>
    </xf>
    <xf numFmtId="3" fontId="4" fillId="4" borderId="30" xfId="0" applyNumberFormat="1" applyFont="1" applyFill="1" applyBorder="1" applyAlignment="1">
      <alignment horizontal="left" vertical="top" wrapText="1"/>
    </xf>
    <xf numFmtId="4" fontId="4" fillId="4" borderId="45" xfId="0" applyNumberFormat="1" applyFont="1" applyFill="1" applyBorder="1" applyAlignment="1">
      <alignment horizontal="left" vertical="top" wrapText="1"/>
    </xf>
    <xf numFmtId="0" fontId="4" fillId="4" borderId="21" xfId="0" applyFont="1" applyFill="1" applyBorder="1" applyAlignment="1">
      <alignment horizontal="left" vertical="top" wrapText="1"/>
    </xf>
    <xf numFmtId="3" fontId="4" fillId="0" borderId="24" xfId="0" applyNumberFormat="1" applyFont="1" applyBorder="1" applyAlignment="1">
      <alignment horizontal="left" vertical="top" wrapText="1"/>
    </xf>
    <xf numFmtId="3" fontId="4" fillId="0" borderId="7" xfId="0" applyNumberFormat="1" applyFont="1" applyBorder="1" applyAlignment="1">
      <alignment horizontal="left" vertical="top" wrapText="1"/>
    </xf>
    <xf numFmtId="167" fontId="4" fillId="9" borderId="28" xfId="3" applyNumberFormat="1" applyFont="1" applyFill="1" applyBorder="1" applyAlignment="1">
      <alignment horizontal="left" vertical="top" wrapText="1"/>
    </xf>
    <xf numFmtId="167" fontId="4" fillId="9" borderId="7" xfId="3" applyNumberFormat="1" applyFont="1" applyFill="1" applyBorder="1" applyAlignment="1">
      <alignment horizontal="left" vertical="top" wrapText="1"/>
    </xf>
    <xf numFmtId="3" fontId="4" fillId="4" borderId="26" xfId="0" applyNumberFormat="1" applyFont="1" applyFill="1" applyBorder="1" applyAlignment="1">
      <alignment horizontal="left" vertical="top" wrapText="1"/>
    </xf>
    <xf numFmtId="167" fontId="4" fillId="9" borderId="99" xfId="3" applyNumberFormat="1" applyFont="1" applyFill="1" applyBorder="1" applyAlignment="1">
      <alignment horizontal="left" vertical="top" wrapText="1"/>
    </xf>
    <xf numFmtId="164" fontId="4" fillId="4" borderId="26" xfId="0" applyNumberFormat="1" applyFont="1" applyFill="1" applyBorder="1" applyAlignment="1">
      <alignment horizontal="left" vertical="top" wrapText="1"/>
    </xf>
    <xf numFmtId="3" fontId="4" fillId="0" borderId="69" xfId="0" applyNumberFormat="1" applyFont="1" applyBorder="1" applyAlignment="1">
      <alignment horizontal="left" vertical="top" wrapText="1"/>
    </xf>
    <xf numFmtId="3" fontId="5" fillId="2" borderId="69" xfId="0" applyNumberFormat="1" applyFont="1" applyFill="1" applyBorder="1" applyAlignment="1">
      <alignment horizontal="left" vertical="top" wrapText="1"/>
    </xf>
    <xf numFmtId="3" fontId="5" fillId="19" borderId="73" xfId="0" applyNumberFormat="1" applyFont="1" applyFill="1" applyBorder="1" applyAlignment="1">
      <alignment horizontal="left" vertical="top" wrapText="1"/>
    </xf>
    <xf numFmtId="3" fontId="5" fillId="8" borderId="69" xfId="0" applyNumberFormat="1" applyFont="1" applyFill="1" applyBorder="1" applyAlignment="1">
      <alignment horizontal="left" vertical="top" wrapText="1"/>
    </xf>
    <xf numFmtId="3" fontId="5" fillId="0" borderId="0" xfId="0" applyNumberFormat="1" applyFont="1" applyFill="1" applyBorder="1" applyAlignment="1">
      <alignment horizontal="left" wrapText="1"/>
    </xf>
    <xf numFmtId="3" fontId="4" fillId="0" borderId="0" xfId="0" applyNumberFormat="1" applyFont="1" applyAlignment="1">
      <alignment horizontal="left" vertical="top" wrapText="1"/>
    </xf>
    <xf numFmtId="164" fontId="4" fillId="4" borderId="12" xfId="0" applyNumberFormat="1" applyFont="1" applyFill="1" applyBorder="1" applyAlignment="1">
      <alignment horizontal="center" vertical="top"/>
    </xf>
    <xf numFmtId="164" fontId="4" fillId="4" borderId="11" xfId="0" applyNumberFormat="1" applyFont="1" applyFill="1" applyBorder="1" applyAlignment="1">
      <alignment horizontal="center" vertical="top"/>
    </xf>
    <xf numFmtId="164" fontId="4" fillId="4" borderId="73" xfId="0" applyNumberFormat="1" applyFont="1" applyFill="1" applyBorder="1" applyAlignment="1">
      <alignment horizontal="center" vertical="top"/>
    </xf>
    <xf numFmtId="0" fontId="24" fillId="20" borderId="138" xfId="0" applyNumberFormat="1" applyFont="1" applyFill="1" applyBorder="1" applyAlignment="1" applyProtection="1">
      <alignment horizontal="left" vertical="top" wrapText="1" readingOrder="1"/>
      <protection locked="0"/>
    </xf>
    <xf numFmtId="0" fontId="27" fillId="19" borderId="152" xfId="0" applyNumberFormat="1" applyFont="1" applyFill="1" applyBorder="1" applyAlignment="1" applyProtection="1">
      <alignment horizontal="left" vertical="top" wrapText="1" readingOrder="1"/>
      <protection locked="0"/>
    </xf>
    <xf numFmtId="49" fontId="5" fillId="19" borderId="57" xfId="0" applyNumberFormat="1" applyFont="1" applyFill="1" applyBorder="1" applyAlignment="1">
      <alignment vertical="top" wrapText="1"/>
    </xf>
    <xf numFmtId="0" fontId="27" fillId="19" borderId="142" xfId="0" applyNumberFormat="1" applyFont="1" applyFill="1" applyBorder="1" applyAlignment="1" applyProtection="1">
      <alignment horizontal="center" vertical="top" wrapText="1" readingOrder="1"/>
      <protection locked="0"/>
    </xf>
    <xf numFmtId="0" fontId="27" fillId="19" borderId="142" xfId="0" applyNumberFormat="1" applyFont="1" applyFill="1" applyBorder="1" applyAlignment="1" applyProtection="1">
      <alignment horizontal="left" vertical="top" wrapText="1" readingOrder="1"/>
      <protection locked="0"/>
    </xf>
    <xf numFmtId="0" fontId="27" fillId="0" borderId="188" xfId="0" applyNumberFormat="1" applyFont="1" applyFill="1" applyBorder="1" applyAlignment="1" applyProtection="1">
      <alignment horizontal="center" vertical="top" wrapText="1" readingOrder="1"/>
      <protection locked="0"/>
    </xf>
    <xf numFmtId="0" fontId="27" fillId="0" borderId="79" xfId="0" applyNumberFormat="1" applyFont="1" applyFill="1" applyBorder="1" applyAlignment="1" applyProtection="1">
      <alignment horizontal="center" vertical="top" wrapText="1" readingOrder="1"/>
      <protection locked="0"/>
    </xf>
    <xf numFmtId="0" fontId="27" fillId="0" borderId="87" xfId="0" applyNumberFormat="1" applyFont="1" applyFill="1" applyBorder="1" applyAlignment="1" applyProtection="1">
      <alignment horizontal="center" vertical="top" wrapText="1" readingOrder="1"/>
      <protection locked="0"/>
    </xf>
    <xf numFmtId="0" fontId="27" fillId="0" borderId="86" xfId="0" applyNumberFormat="1" applyFont="1" applyFill="1" applyBorder="1" applyAlignment="1" applyProtection="1">
      <alignment horizontal="center" vertical="top" wrapText="1" readingOrder="1"/>
      <protection locked="0"/>
    </xf>
    <xf numFmtId="0" fontId="27" fillId="0" borderId="81" xfId="0" applyNumberFormat="1" applyFont="1" applyFill="1" applyBorder="1" applyAlignment="1" applyProtection="1">
      <alignment horizontal="center" vertical="top" wrapText="1" readingOrder="1"/>
      <protection locked="0"/>
    </xf>
    <xf numFmtId="0" fontId="27" fillId="0" borderId="180" xfId="0" applyNumberFormat="1" applyFont="1" applyFill="1" applyBorder="1" applyAlignment="1" applyProtection="1">
      <alignment horizontal="center" vertical="top" wrapText="1" readingOrder="1"/>
      <protection locked="0"/>
    </xf>
    <xf numFmtId="0" fontId="27" fillId="0" borderId="91" xfId="0" applyNumberFormat="1" applyFont="1" applyFill="1" applyBorder="1" applyAlignment="1" applyProtection="1">
      <alignment horizontal="center" vertical="top" wrapText="1" readingOrder="1"/>
      <protection locked="0"/>
    </xf>
    <xf numFmtId="0" fontId="27" fillId="0" borderId="183" xfId="0" applyNumberFormat="1" applyFont="1" applyFill="1" applyBorder="1" applyAlignment="1" applyProtection="1">
      <alignment horizontal="left" vertical="top" wrapText="1" readingOrder="1"/>
      <protection locked="0"/>
    </xf>
    <xf numFmtId="0" fontId="24" fillId="20" borderId="186" xfId="0" applyNumberFormat="1" applyFont="1" applyFill="1" applyBorder="1" applyAlignment="1" applyProtection="1">
      <alignment horizontal="left" vertical="top" wrapText="1" readingOrder="1"/>
      <protection locked="0"/>
    </xf>
    <xf numFmtId="0" fontId="27" fillId="19" borderId="181" xfId="0" applyNumberFormat="1" applyFont="1" applyFill="1" applyBorder="1" applyAlignment="1" applyProtection="1">
      <alignment horizontal="left" vertical="top" wrapText="1" readingOrder="1"/>
      <protection locked="0"/>
    </xf>
    <xf numFmtId="0" fontId="27" fillId="19" borderId="187" xfId="0" applyNumberFormat="1" applyFont="1" applyFill="1" applyBorder="1" applyAlignment="1" applyProtection="1">
      <alignment horizontal="left" vertical="top" wrapText="1" readingOrder="1"/>
      <protection locked="0"/>
    </xf>
    <xf numFmtId="0" fontId="27" fillId="0" borderId="189" xfId="0" applyNumberFormat="1" applyFont="1" applyFill="1" applyBorder="1" applyAlignment="1" applyProtection="1">
      <alignment horizontal="left" vertical="top" wrapText="1" readingOrder="1"/>
      <protection locked="0"/>
    </xf>
    <xf numFmtId="3" fontId="4" fillId="4" borderId="40" xfId="0" applyNumberFormat="1" applyFont="1" applyFill="1" applyBorder="1" applyAlignment="1">
      <alignment vertical="top" wrapText="1"/>
    </xf>
    <xf numFmtId="49" fontId="4" fillId="7" borderId="18" xfId="0" applyNumberFormat="1" applyFont="1" applyFill="1" applyBorder="1" applyAlignment="1">
      <alignment horizontal="center" vertical="top" wrapText="1"/>
    </xf>
    <xf numFmtId="49" fontId="4" fillId="7" borderId="43" xfId="0" applyNumberFormat="1" applyFont="1" applyFill="1" applyBorder="1" applyAlignment="1">
      <alignment horizontal="center" vertical="top" wrapText="1"/>
    </xf>
    <xf numFmtId="3" fontId="4" fillId="7" borderId="0" xfId="0" applyNumberFormat="1" applyFont="1" applyFill="1" applyBorder="1" applyAlignment="1">
      <alignment horizontal="left" vertical="top" wrapText="1"/>
    </xf>
    <xf numFmtId="3" fontId="4" fillId="7" borderId="32" xfId="0" applyNumberFormat="1" applyFont="1" applyFill="1" applyBorder="1" applyAlignment="1">
      <alignment horizontal="center" vertical="top" wrapText="1"/>
    </xf>
    <xf numFmtId="164" fontId="4" fillId="7" borderId="32" xfId="0" applyNumberFormat="1" applyFont="1" applyFill="1" applyBorder="1" applyAlignment="1">
      <alignment horizontal="center" vertical="top" wrapText="1"/>
    </xf>
    <xf numFmtId="3" fontId="4" fillId="7" borderId="44" xfId="0" applyNumberFormat="1" applyFont="1" applyFill="1" applyBorder="1" applyAlignment="1">
      <alignment horizontal="left" vertical="top" wrapText="1"/>
    </xf>
    <xf numFmtId="3" fontId="4" fillId="7" borderId="68" xfId="0" applyNumberFormat="1" applyFont="1" applyFill="1" applyBorder="1" applyAlignment="1">
      <alignment horizontal="center" vertical="top" wrapText="1"/>
    </xf>
    <xf numFmtId="3" fontId="1" fillId="7" borderId="34" xfId="0" applyNumberFormat="1" applyFont="1" applyFill="1" applyBorder="1" applyAlignment="1">
      <alignment horizontal="center" vertical="top" wrapText="1"/>
    </xf>
    <xf numFmtId="3" fontId="1" fillId="7" borderId="68" xfId="0" applyNumberFormat="1" applyFont="1" applyFill="1" applyBorder="1" applyAlignment="1">
      <alignment horizontal="center" vertical="top" wrapText="1"/>
    </xf>
    <xf numFmtId="49" fontId="4" fillId="7" borderId="60" xfId="0" applyNumberFormat="1" applyFont="1" applyFill="1" applyBorder="1" applyAlignment="1">
      <alignment horizontal="center" vertical="top" wrapText="1"/>
    </xf>
    <xf numFmtId="3" fontId="1" fillId="7" borderId="62" xfId="0" applyNumberFormat="1" applyFont="1" applyFill="1" applyBorder="1" applyAlignment="1">
      <alignment horizontal="left" vertical="top" wrapText="1"/>
    </xf>
    <xf numFmtId="3" fontId="2" fillId="7" borderId="60" xfId="0" applyNumberFormat="1" applyFont="1" applyFill="1" applyBorder="1" applyAlignment="1">
      <alignment horizontal="left" vertical="top" wrapText="1"/>
    </xf>
    <xf numFmtId="3" fontId="4" fillId="7" borderId="43" xfId="0" applyNumberFormat="1" applyFont="1" applyFill="1" applyBorder="1" applyAlignment="1">
      <alignment horizontal="left" vertical="top" wrapText="1"/>
    </xf>
    <xf numFmtId="167" fontId="4" fillId="22" borderId="34" xfId="3" applyNumberFormat="1" applyFont="1" applyFill="1" applyBorder="1" applyAlignment="1">
      <alignment horizontal="center" vertical="top" wrapText="1"/>
    </xf>
    <xf numFmtId="167" fontId="4" fillId="22" borderId="40" xfId="3" applyNumberFormat="1" applyFont="1" applyFill="1" applyBorder="1" applyAlignment="1">
      <alignment horizontal="center" vertical="top" wrapText="1"/>
    </xf>
    <xf numFmtId="167" fontId="4" fillId="22" borderId="54" xfId="3" applyNumberFormat="1" applyFont="1" applyFill="1" applyBorder="1" applyAlignment="1">
      <alignment horizontal="center" vertical="top" wrapText="1"/>
    </xf>
    <xf numFmtId="167" fontId="4" fillId="22" borderId="61" xfId="3" applyNumberFormat="1" applyFont="1" applyFill="1" applyBorder="1" applyAlignment="1">
      <alignment horizontal="center" vertical="top" wrapText="1"/>
    </xf>
    <xf numFmtId="167" fontId="4" fillId="22" borderId="32" xfId="3" applyNumberFormat="1" applyFont="1" applyFill="1" applyBorder="1" applyAlignment="1">
      <alignment horizontal="center" vertical="top" wrapText="1"/>
    </xf>
    <xf numFmtId="167" fontId="4" fillId="22" borderId="31" xfId="3" applyNumberFormat="1" applyFont="1" applyFill="1" applyBorder="1" applyAlignment="1">
      <alignment horizontal="center" vertical="top" wrapText="1"/>
    </xf>
    <xf numFmtId="167" fontId="4" fillId="22" borderId="7" xfId="3" applyNumberFormat="1" applyFont="1" applyFill="1" applyBorder="1" applyAlignment="1">
      <alignment horizontal="left" vertical="top" wrapText="1"/>
    </xf>
    <xf numFmtId="3" fontId="1" fillId="7" borderId="32" xfId="0" applyNumberFormat="1" applyFont="1" applyFill="1" applyBorder="1" applyAlignment="1">
      <alignment horizontal="center" vertical="top" wrapText="1"/>
    </xf>
    <xf numFmtId="3" fontId="1" fillId="7" borderId="31" xfId="0" applyNumberFormat="1" applyFont="1" applyFill="1" applyBorder="1" applyAlignment="1">
      <alignment horizontal="center" vertical="top" wrapText="1"/>
    </xf>
    <xf numFmtId="167" fontId="4" fillId="22" borderId="63" xfId="3" applyNumberFormat="1" applyFont="1" applyFill="1" applyBorder="1" applyAlignment="1">
      <alignment horizontal="left" vertical="top" wrapText="1"/>
    </xf>
    <xf numFmtId="3" fontId="1" fillId="7" borderId="54" xfId="0" applyNumberFormat="1" applyFont="1" applyFill="1" applyBorder="1" applyAlignment="1">
      <alignment horizontal="center" vertical="top" wrapText="1"/>
    </xf>
    <xf numFmtId="3" fontId="1" fillId="7" borderId="61" xfId="0" applyNumberFormat="1" applyFont="1" applyFill="1" applyBorder="1" applyAlignment="1">
      <alignment horizontal="center" vertical="top" wrapText="1"/>
    </xf>
    <xf numFmtId="49" fontId="4" fillId="6" borderId="18" xfId="0" applyNumberFormat="1" applyFont="1" applyFill="1" applyBorder="1" applyAlignment="1">
      <alignment horizontal="center" vertical="top" wrapText="1"/>
    </xf>
    <xf numFmtId="49" fontId="4" fillId="7" borderId="19" xfId="0" applyNumberFormat="1" applyFont="1" applyFill="1" applyBorder="1" applyAlignment="1">
      <alignment horizontal="center" vertical="top" wrapText="1"/>
    </xf>
    <xf numFmtId="0" fontId="4" fillId="7" borderId="17" xfId="0" applyFont="1" applyFill="1" applyBorder="1" applyAlignment="1">
      <alignment horizontal="left" vertical="top" wrapText="1"/>
    </xf>
    <xf numFmtId="0" fontId="4" fillId="7" borderId="32" xfId="0" applyFont="1" applyFill="1" applyBorder="1" applyAlignment="1">
      <alignment horizontal="center" vertical="top" wrapText="1"/>
    </xf>
    <xf numFmtId="3" fontId="4" fillId="7" borderId="13" xfId="0" applyNumberFormat="1" applyFont="1" applyFill="1" applyBorder="1" applyAlignment="1">
      <alignment horizontal="left" vertical="top" wrapText="1"/>
    </xf>
    <xf numFmtId="49" fontId="4" fillId="7" borderId="13" xfId="0" applyNumberFormat="1" applyFont="1" applyFill="1" applyBorder="1" applyAlignment="1">
      <alignment horizontal="center" vertical="top" wrapText="1"/>
    </xf>
    <xf numFmtId="49" fontId="4" fillId="7" borderId="64" xfId="0" applyNumberFormat="1" applyFont="1" applyFill="1" applyBorder="1" applyAlignment="1">
      <alignment horizontal="center" vertical="top" wrapText="1"/>
    </xf>
    <xf numFmtId="3" fontId="1" fillId="7" borderId="16" xfId="0" applyNumberFormat="1" applyFont="1" applyFill="1" applyBorder="1" applyAlignment="1">
      <alignment horizontal="left" vertical="top" wrapText="1"/>
    </xf>
    <xf numFmtId="3" fontId="1" fillId="7" borderId="64" xfId="0" applyNumberFormat="1" applyFont="1" applyFill="1" applyBorder="1" applyAlignment="1">
      <alignment horizontal="center" vertical="top" wrapText="1"/>
    </xf>
    <xf numFmtId="3" fontId="1" fillId="7" borderId="39" xfId="0" applyNumberFormat="1" applyFont="1" applyFill="1" applyBorder="1" applyAlignment="1">
      <alignment horizontal="center" vertical="top" wrapText="1"/>
    </xf>
    <xf numFmtId="3" fontId="17" fillId="4" borderId="17" xfId="0" applyNumberFormat="1" applyFont="1" applyFill="1" applyBorder="1" applyAlignment="1">
      <alignment horizontal="left" vertical="top" wrapText="1"/>
    </xf>
    <xf numFmtId="167" fontId="4" fillId="22" borderId="60" xfId="3" applyNumberFormat="1" applyFont="1" applyFill="1" applyBorder="1" applyAlignment="1">
      <alignment horizontal="left" vertical="top" wrapText="1"/>
    </xf>
    <xf numFmtId="167" fontId="4" fillId="22" borderId="43" xfId="3" applyNumberFormat="1" applyFont="1" applyFill="1" applyBorder="1" applyAlignment="1">
      <alignment horizontal="left" vertical="top" wrapText="1"/>
    </xf>
    <xf numFmtId="167" fontId="4" fillId="22" borderId="18" xfId="3" applyNumberFormat="1" applyFont="1" applyFill="1" applyBorder="1" applyAlignment="1">
      <alignment horizontal="left" vertical="top" wrapText="1"/>
    </xf>
    <xf numFmtId="167" fontId="4" fillId="9" borderId="103" xfId="3" applyNumberFormat="1" applyFont="1" applyFill="1" applyBorder="1" applyAlignment="1">
      <alignment horizontal="left" vertical="top" wrapText="1"/>
    </xf>
    <xf numFmtId="167" fontId="4" fillId="9" borderId="18" xfId="3" applyNumberFormat="1" applyFont="1" applyFill="1" applyBorder="1" applyAlignment="1">
      <alignment horizontal="left" vertical="top" wrapText="1"/>
    </xf>
    <xf numFmtId="3" fontId="1" fillId="4" borderId="60" xfId="0" applyNumberFormat="1" applyFont="1" applyFill="1" applyBorder="1" applyAlignment="1">
      <alignment horizontal="left" vertical="top"/>
    </xf>
    <xf numFmtId="3" fontId="1" fillId="0" borderId="0" xfId="0" applyNumberFormat="1" applyFont="1" applyAlignment="1">
      <alignment horizontal="left" vertical="top" wrapText="1"/>
    </xf>
    <xf numFmtId="167" fontId="4" fillId="24" borderId="65" xfId="3" applyNumberFormat="1" applyFont="1" applyFill="1" applyBorder="1" applyAlignment="1">
      <alignment horizontal="left" vertical="top" wrapText="1"/>
    </xf>
    <xf numFmtId="167" fontId="4" fillId="24" borderId="52" xfId="3" applyNumberFormat="1" applyFont="1" applyFill="1" applyBorder="1" applyAlignment="1">
      <alignment horizontal="center" vertical="top"/>
    </xf>
    <xf numFmtId="164" fontId="4" fillId="24" borderId="53" xfId="3" applyNumberFormat="1" applyFont="1" applyFill="1" applyBorder="1" applyAlignment="1">
      <alignment horizontal="center" vertical="top"/>
    </xf>
    <xf numFmtId="167" fontId="4" fillId="24" borderId="17" xfId="3" applyNumberFormat="1" applyFont="1" applyFill="1" applyBorder="1" applyAlignment="1">
      <alignment horizontal="left" vertical="top" wrapText="1"/>
    </xf>
    <xf numFmtId="167" fontId="4" fillId="24" borderId="32" xfId="3" applyNumberFormat="1" applyFont="1" applyFill="1" applyBorder="1" applyAlignment="1">
      <alignment horizontal="center" vertical="top"/>
    </xf>
    <xf numFmtId="167" fontId="4" fillId="24" borderId="31" xfId="3" applyNumberFormat="1" applyFont="1" applyFill="1" applyBorder="1" applyAlignment="1">
      <alignment horizontal="center" vertical="top"/>
    </xf>
    <xf numFmtId="164" fontId="4" fillId="7" borderId="63" xfId="3" applyNumberFormat="1" applyFont="1" applyFill="1" applyBorder="1" applyAlignment="1"/>
    <xf numFmtId="164" fontId="4" fillId="7" borderId="54" xfId="3" applyNumberFormat="1" applyFont="1" applyFill="1" applyBorder="1" applyAlignment="1"/>
    <xf numFmtId="164" fontId="4" fillId="7" borderId="61" xfId="3" applyNumberFormat="1" applyFont="1" applyFill="1" applyBorder="1" applyAlignment="1">
      <alignment horizontal="center"/>
    </xf>
    <xf numFmtId="167" fontId="4" fillId="22" borderId="78" xfId="3" applyNumberFormat="1" applyFont="1" applyFill="1" applyBorder="1" applyAlignment="1">
      <alignment vertical="top" wrapText="1"/>
    </xf>
    <xf numFmtId="167" fontId="4" fillId="22" borderId="172" xfId="3" applyNumberFormat="1" applyFont="1" applyFill="1" applyBorder="1" applyAlignment="1">
      <alignment horizontal="center" vertical="top" wrapText="1"/>
    </xf>
    <xf numFmtId="167" fontId="4" fillId="22" borderId="167" xfId="3" applyNumberFormat="1" applyFont="1" applyFill="1" applyBorder="1" applyAlignment="1">
      <alignment horizontal="center" vertical="top" wrapText="1"/>
    </xf>
    <xf numFmtId="167" fontId="4" fillId="22" borderId="172" xfId="3" applyNumberFormat="1" applyFont="1" applyFill="1" applyBorder="1" applyAlignment="1">
      <alignment horizontal="center" vertical="top"/>
    </xf>
    <xf numFmtId="167" fontId="4" fillId="22" borderId="167" xfId="3" applyNumberFormat="1" applyFont="1" applyFill="1" applyBorder="1" applyAlignment="1">
      <alignment horizontal="center" vertical="top"/>
    </xf>
    <xf numFmtId="167" fontId="4" fillId="22" borderId="63" xfId="3" applyNumberFormat="1" applyFont="1" applyFill="1" applyBorder="1" applyAlignment="1">
      <alignment vertical="top" wrapText="1"/>
    </xf>
    <xf numFmtId="167" fontId="4" fillId="22" borderId="54" xfId="3" applyNumberFormat="1" applyFont="1" applyFill="1" applyBorder="1" applyAlignment="1">
      <alignment horizontal="center" vertical="top"/>
    </xf>
    <xf numFmtId="167" fontId="4" fillId="22" borderId="61" xfId="3" applyNumberFormat="1" applyFont="1" applyFill="1" applyBorder="1" applyAlignment="1">
      <alignment horizontal="center" vertical="top"/>
    </xf>
    <xf numFmtId="3" fontId="1" fillId="7" borderId="21" xfId="0" applyNumberFormat="1" applyFont="1" applyFill="1" applyBorder="1" applyAlignment="1">
      <alignment horizontal="center" vertical="top" wrapText="1"/>
    </xf>
    <xf numFmtId="49" fontId="4" fillId="6" borderId="43" xfId="0" applyNumberFormat="1" applyFont="1" applyFill="1" applyBorder="1" applyAlignment="1">
      <alignment horizontal="center" vertical="top" wrapText="1"/>
    </xf>
    <xf numFmtId="3" fontId="4" fillId="7" borderId="13" xfId="0" quotePrefix="1" applyNumberFormat="1" applyFont="1" applyFill="1" applyBorder="1" applyAlignment="1">
      <alignment horizontal="center" vertical="top" wrapText="1"/>
    </xf>
    <xf numFmtId="3" fontId="4" fillId="7" borderId="19" xfId="0" quotePrefix="1" applyNumberFormat="1" applyFont="1" applyFill="1" applyBorder="1" applyAlignment="1">
      <alignment horizontal="center" vertical="top" wrapText="1"/>
    </xf>
    <xf numFmtId="3" fontId="4" fillId="7" borderId="64" xfId="0" applyNumberFormat="1" applyFont="1" applyFill="1" applyBorder="1" applyAlignment="1">
      <alignment horizontal="center" vertical="top" wrapText="1"/>
    </xf>
    <xf numFmtId="3" fontId="4" fillId="7" borderId="39" xfId="0" applyNumberFormat="1" applyFont="1" applyFill="1" applyBorder="1" applyAlignment="1">
      <alignment horizontal="center" vertical="top" wrapText="1"/>
    </xf>
    <xf numFmtId="3" fontId="4" fillId="7" borderId="21" xfId="0" applyNumberFormat="1" applyFont="1" applyFill="1" applyBorder="1" applyAlignment="1">
      <alignment horizontal="center" vertical="top" wrapText="1"/>
    </xf>
    <xf numFmtId="167" fontId="4" fillId="9" borderId="95" xfId="3" applyNumberFormat="1" applyFont="1" applyFill="1" applyBorder="1" applyAlignment="1">
      <alignment horizontal="left" vertical="top" wrapText="1"/>
    </xf>
    <xf numFmtId="0" fontId="4" fillId="4" borderId="57" xfId="0" applyFont="1" applyFill="1" applyBorder="1" applyAlignment="1">
      <alignment horizontal="left" vertical="top" wrapText="1"/>
    </xf>
    <xf numFmtId="3" fontId="5" fillId="19" borderId="55" xfId="0" applyNumberFormat="1" applyFont="1" applyFill="1" applyBorder="1" applyAlignment="1">
      <alignment horizontal="left" vertical="top" wrapText="1"/>
    </xf>
    <xf numFmtId="3" fontId="4" fillId="0" borderId="13" xfId="0" applyNumberFormat="1" applyFont="1" applyBorder="1" applyAlignment="1">
      <alignment horizontal="left" vertical="top" wrapText="1"/>
    </xf>
    <xf numFmtId="3" fontId="4" fillId="0" borderId="18" xfId="0" applyNumberFormat="1" applyFont="1" applyBorder="1" applyAlignment="1">
      <alignment horizontal="left" vertical="top" wrapText="1"/>
    </xf>
    <xf numFmtId="3" fontId="4" fillId="7" borderId="18" xfId="0" applyNumberFormat="1" applyFont="1" applyFill="1" applyBorder="1" applyAlignment="1">
      <alignment horizontal="left" vertical="top" wrapText="1"/>
    </xf>
    <xf numFmtId="3" fontId="4" fillId="0" borderId="19" xfId="0" applyNumberFormat="1" applyFont="1" applyBorder="1" applyAlignment="1">
      <alignment horizontal="left" vertical="top" wrapText="1"/>
    </xf>
    <xf numFmtId="0" fontId="27" fillId="0" borderId="156" xfId="0" applyNumberFormat="1" applyFont="1" applyFill="1" applyBorder="1" applyAlignment="1" applyProtection="1">
      <alignment horizontal="center" vertical="top" wrapText="1" readingOrder="1"/>
      <protection locked="0"/>
    </xf>
    <xf numFmtId="3" fontId="4" fillId="4" borderId="41" xfId="0" applyNumberFormat="1" applyFont="1" applyFill="1" applyBorder="1" applyAlignment="1">
      <alignment horizontal="left" vertical="top" wrapText="1"/>
    </xf>
    <xf numFmtId="3" fontId="4" fillId="0" borderId="44" xfId="0" applyNumberFormat="1" applyFont="1" applyBorder="1" applyAlignment="1">
      <alignment horizontal="left" wrapText="1"/>
    </xf>
    <xf numFmtId="0" fontId="27" fillId="0" borderId="144" xfId="0" applyNumberFormat="1" applyFont="1" applyFill="1" applyBorder="1" applyAlignment="1" applyProtection="1">
      <alignment horizontal="center" vertical="top" wrapText="1" readingOrder="1"/>
      <protection locked="0"/>
    </xf>
    <xf numFmtId="164" fontId="2" fillId="8" borderId="75" xfId="0" applyNumberFormat="1" applyFont="1" applyFill="1" applyBorder="1" applyAlignment="1">
      <alignment horizontal="center" vertical="top" wrapText="1"/>
    </xf>
    <xf numFmtId="164" fontId="2" fillId="5" borderId="63" xfId="0" applyNumberFormat="1" applyFont="1" applyFill="1" applyBorder="1" applyAlignment="1">
      <alignment horizontal="center" vertical="top" wrapText="1"/>
    </xf>
    <xf numFmtId="164" fontId="4" fillId="5" borderId="63" xfId="0" applyNumberFormat="1" applyFont="1" applyFill="1" applyBorder="1" applyAlignment="1">
      <alignment horizontal="center" vertical="top" wrapText="1"/>
    </xf>
    <xf numFmtId="164" fontId="5" fillId="8" borderId="12" xfId="0" applyNumberFormat="1" applyFont="1" applyFill="1" applyBorder="1" applyAlignment="1">
      <alignment horizontal="center" vertical="top" wrapText="1"/>
    </xf>
    <xf numFmtId="164" fontId="2" fillId="8" borderId="29" xfId="0" applyNumberFormat="1" applyFont="1" applyFill="1" applyBorder="1" applyAlignment="1">
      <alignment horizontal="center" vertical="top" wrapText="1"/>
    </xf>
    <xf numFmtId="164" fontId="2" fillId="5" borderId="43" xfId="0" applyNumberFormat="1" applyFont="1" applyFill="1" applyBorder="1" applyAlignment="1">
      <alignment horizontal="center" vertical="top" wrapText="1"/>
    </xf>
    <xf numFmtId="164" fontId="4" fillId="5" borderId="43" xfId="0" applyNumberFormat="1" applyFont="1" applyFill="1" applyBorder="1" applyAlignment="1">
      <alignment horizontal="center" vertical="top" wrapText="1"/>
    </xf>
    <xf numFmtId="164" fontId="5" fillId="8" borderId="11" xfId="0" applyNumberFormat="1" applyFont="1" applyFill="1" applyBorder="1" applyAlignment="1">
      <alignment horizontal="center" vertical="top" wrapText="1"/>
    </xf>
    <xf numFmtId="49" fontId="4" fillId="4" borderId="54" xfId="0" applyNumberFormat="1" applyFont="1" applyFill="1" applyBorder="1" applyAlignment="1">
      <alignment horizontal="center" vertical="top" wrapText="1"/>
    </xf>
    <xf numFmtId="49" fontId="4" fillId="4" borderId="18" xfId="0" applyNumberFormat="1" applyFont="1" applyFill="1" applyBorder="1" applyAlignment="1">
      <alignment vertical="top" wrapText="1"/>
    </xf>
    <xf numFmtId="49" fontId="4" fillId="4" borderId="34" xfId="0" applyNumberFormat="1" applyFont="1" applyFill="1" applyBorder="1" applyAlignment="1">
      <alignment horizontal="center" vertical="top"/>
    </xf>
    <xf numFmtId="49" fontId="4" fillId="4" borderId="60" xfId="0" applyNumberFormat="1" applyFont="1" applyFill="1" applyBorder="1" applyAlignment="1">
      <alignment horizontal="center" vertical="top"/>
    </xf>
    <xf numFmtId="49" fontId="4" fillId="4" borderId="32" xfId="0" applyNumberFormat="1" applyFont="1" applyFill="1" applyBorder="1" applyAlignment="1">
      <alignment horizontal="center" vertical="top"/>
    </xf>
    <xf numFmtId="49" fontId="4" fillId="4" borderId="60" xfId="0" applyNumberFormat="1" applyFont="1" applyFill="1" applyBorder="1" applyAlignment="1">
      <alignment vertical="top" wrapText="1"/>
    </xf>
    <xf numFmtId="49" fontId="4" fillId="4" borderId="60" xfId="0" applyNumberFormat="1" applyFont="1" applyFill="1" applyBorder="1" applyAlignment="1">
      <alignment horizontal="center" vertical="top" wrapText="1"/>
    </xf>
    <xf numFmtId="49" fontId="4" fillId="4" borderId="43" xfId="0" applyNumberFormat="1" applyFont="1" applyFill="1" applyBorder="1" applyAlignment="1">
      <alignment vertical="top" wrapText="1"/>
    </xf>
    <xf numFmtId="49" fontId="4" fillId="4" borderId="66" xfId="0" applyNumberFormat="1" applyFont="1" applyFill="1" applyBorder="1" applyAlignment="1">
      <alignment horizontal="center" vertical="top"/>
    </xf>
    <xf numFmtId="49" fontId="4" fillId="4" borderId="19" xfId="0" applyNumberFormat="1" applyFont="1" applyFill="1" applyBorder="1" applyAlignment="1">
      <alignment horizontal="center" vertical="top" wrapText="1"/>
    </xf>
    <xf numFmtId="3" fontId="5" fillId="4" borderId="32" xfId="0" applyNumberFormat="1" applyFont="1" applyFill="1" applyBorder="1" applyAlignment="1">
      <alignment vertical="top" wrapText="1"/>
    </xf>
    <xf numFmtId="3" fontId="5" fillId="4" borderId="67" xfId="0" applyNumberFormat="1" applyFont="1" applyFill="1" applyBorder="1" applyAlignment="1">
      <alignment horizontal="center" vertical="top" textRotation="90" wrapText="1"/>
    </xf>
    <xf numFmtId="0" fontId="27" fillId="4" borderId="183" xfId="0" applyNumberFormat="1" applyFont="1" applyFill="1" applyBorder="1" applyAlignment="1" applyProtection="1">
      <alignment horizontal="center" vertical="top" wrapText="1" readingOrder="1"/>
      <protection locked="0"/>
    </xf>
    <xf numFmtId="0" fontId="27" fillId="4" borderId="114" xfId="0" applyNumberFormat="1" applyFont="1" applyFill="1" applyBorder="1" applyAlignment="1" applyProtection="1">
      <alignment horizontal="center" vertical="top" wrapText="1" readingOrder="1"/>
      <protection locked="0"/>
    </xf>
    <xf numFmtId="0" fontId="27" fillId="4" borderId="144" xfId="0" applyNumberFormat="1" applyFont="1" applyFill="1" applyBorder="1" applyAlignment="1" applyProtection="1">
      <alignment horizontal="center" vertical="top" wrapText="1" readingOrder="1"/>
      <protection locked="0"/>
    </xf>
    <xf numFmtId="167" fontId="4" fillId="23" borderId="65" xfId="3" applyNumberFormat="1" applyFont="1" applyFill="1" applyBorder="1" applyAlignment="1">
      <alignment vertical="top" wrapText="1"/>
    </xf>
    <xf numFmtId="167" fontId="4" fillId="23" borderId="52" xfId="3" applyNumberFormat="1" applyFont="1" applyFill="1" applyBorder="1" applyAlignment="1">
      <alignment horizontal="center" vertical="top" wrapText="1"/>
    </xf>
    <xf numFmtId="167" fontId="4" fillId="23" borderId="53" xfId="3" applyNumberFormat="1" applyFont="1" applyFill="1" applyBorder="1" applyAlignment="1">
      <alignment horizontal="center" vertical="top" wrapText="1"/>
    </xf>
    <xf numFmtId="3" fontId="4" fillId="6" borderId="43" xfId="0" applyNumberFormat="1" applyFont="1" applyFill="1" applyBorder="1" applyAlignment="1">
      <alignment horizontal="left" vertical="top" wrapText="1"/>
    </xf>
    <xf numFmtId="168" fontId="4" fillId="22" borderId="62" xfId="3" applyNumberFormat="1" applyFont="1" applyFill="1" applyBorder="1" applyAlignment="1">
      <alignment vertical="top" wrapText="1"/>
    </xf>
    <xf numFmtId="167" fontId="4" fillId="22" borderId="34" xfId="3" applyNumberFormat="1" applyFont="1" applyFill="1" applyBorder="1" applyAlignment="1">
      <alignment horizontal="center" vertical="top"/>
    </xf>
    <xf numFmtId="167" fontId="4" fillId="22" borderId="40" xfId="3" applyNumberFormat="1" applyFont="1" applyFill="1" applyBorder="1" applyAlignment="1">
      <alignment horizontal="center" vertical="top"/>
    </xf>
    <xf numFmtId="168" fontId="4" fillId="22" borderId="17" xfId="3" applyNumberFormat="1" applyFont="1" applyFill="1" applyBorder="1" applyAlignment="1">
      <alignment vertical="top" wrapText="1"/>
    </xf>
    <xf numFmtId="167" fontId="4" fillId="22" borderId="32" xfId="3" applyNumberFormat="1" applyFont="1" applyFill="1" applyBorder="1" applyAlignment="1">
      <alignment horizontal="center" vertical="top"/>
    </xf>
    <xf numFmtId="167" fontId="4" fillId="22" borderId="31" xfId="3" applyNumberFormat="1" applyFont="1" applyFill="1" applyBorder="1" applyAlignment="1">
      <alignment horizontal="center" vertical="top"/>
    </xf>
    <xf numFmtId="168" fontId="4" fillId="22" borderId="63" xfId="3" applyNumberFormat="1" applyFont="1" applyFill="1" applyBorder="1" applyAlignment="1">
      <alignment vertical="top" wrapText="1"/>
    </xf>
    <xf numFmtId="165" fontId="4" fillId="0" borderId="40" xfId="0" applyNumberFormat="1" applyFont="1" applyFill="1" applyBorder="1" applyAlignment="1" applyProtection="1">
      <alignment horizontal="center" vertical="top" wrapText="1" readingOrder="1"/>
      <protection locked="0"/>
    </xf>
    <xf numFmtId="3" fontId="1" fillId="7" borderId="62" xfId="0" applyNumberFormat="1" applyFont="1" applyFill="1" applyBorder="1" applyAlignment="1">
      <alignment vertical="top" wrapText="1"/>
    </xf>
    <xf numFmtId="3" fontId="1" fillId="7" borderId="34" xfId="0" applyNumberFormat="1" applyFont="1" applyFill="1" applyBorder="1" applyAlignment="1">
      <alignment horizontal="center" vertical="top"/>
    </xf>
    <xf numFmtId="3" fontId="1" fillId="7" borderId="40" xfId="0" applyNumberFormat="1" applyFont="1" applyFill="1" applyBorder="1" applyAlignment="1">
      <alignment horizontal="center" vertical="top"/>
    </xf>
    <xf numFmtId="3" fontId="1" fillId="7" borderId="17" xfId="0" applyNumberFormat="1" applyFont="1" applyFill="1" applyBorder="1" applyAlignment="1">
      <alignment vertical="top" wrapText="1"/>
    </xf>
    <xf numFmtId="3" fontId="1" fillId="7" borderId="32" xfId="0" applyNumberFormat="1" applyFont="1" applyFill="1" applyBorder="1" applyAlignment="1">
      <alignment horizontal="center" vertical="top"/>
    </xf>
    <xf numFmtId="3" fontId="1" fillId="7" borderId="31" xfId="0" applyNumberFormat="1" applyFont="1" applyFill="1" applyBorder="1" applyAlignment="1">
      <alignment horizontal="center" vertical="top"/>
    </xf>
    <xf numFmtId="0" fontId="27" fillId="0" borderId="194" xfId="0" applyNumberFormat="1" applyFont="1" applyFill="1" applyBorder="1" applyAlignment="1" applyProtection="1">
      <alignment horizontal="left" vertical="top" wrapText="1" readingOrder="1"/>
      <protection locked="0"/>
    </xf>
    <xf numFmtId="3" fontId="4" fillId="4" borderId="74" xfId="0" applyNumberFormat="1" applyFont="1" applyFill="1" applyBorder="1" applyAlignment="1">
      <alignment horizontal="left" vertical="top" wrapText="1"/>
    </xf>
    <xf numFmtId="0" fontId="27" fillId="0" borderId="195" xfId="0" applyNumberFormat="1" applyFont="1" applyFill="1" applyBorder="1" applyAlignment="1" applyProtection="1">
      <alignment horizontal="left" vertical="top" wrapText="1" readingOrder="1"/>
      <protection locked="0"/>
    </xf>
    <xf numFmtId="3" fontId="4" fillId="4" borderId="51" xfId="0" applyNumberFormat="1" applyFont="1" applyFill="1" applyBorder="1" applyAlignment="1">
      <alignment horizontal="left" vertical="top" wrapText="1"/>
    </xf>
    <xf numFmtId="4" fontId="4" fillId="4" borderId="48" xfId="0" applyNumberFormat="1" applyFont="1" applyFill="1" applyBorder="1" applyAlignment="1">
      <alignment horizontal="left" vertical="top" wrapText="1"/>
    </xf>
    <xf numFmtId="0" fontId="27" fillId="4" borderId="193" xfId="0" applyNumberFormat="1" applyFont="1" applyFill="1" applyBorder="1" applyAlignment="1" applyProtection="1">
      <alignment horizontal="left" vertical="top" wrapText="1" readingOrder="1"/>
      <protection locked="0"/>
    </xf>
    <xf numFmtId="3" fontId="4" fillId="4" borderId="192" xfId="0" applyNumberFormat="1" applyFont="1" applyFill="1" applyBorder="1" applyAlignment="1">
      <alignment horizontal="left" vertical="top" wrapText="1"/>
    </xf>
    <xf numFmtId="164" fontId="4" fillId="4" borderId="37" xfId="0" applyNumberFormat="1" applyFont="1" applyFill="1" applyBorder="1" applyAlignment="1">
      <alignment horizontal="left" vertical="top" wrapText="1"/>
    </xf>
    <xf numFmtId="49" fontId="4" fillId="7" borderId="32" xfId="0" applyNumberFormat="1" applyFont="1" applyFill="1" applyBorder="1" applyAlignment="1">
      <alignment horizontal="center" vertical="top" wrapText="1"/>
    </xf>
    <xf numFmtId="164" fontId="4" fillId="0" borderId="44" xfId="0" applyNumberFormat="1" applyFont="1" applyBorder="1" applyAlignment="1">
      <alignment horizontal="right" vertical="top" wrapText="1"/>
    </xf>
    <xf numFmtId="49" fontId="4" fillId="6" borderId="66" xfId="0" applyNumberFormat="1" applyFont="1" applyFill="1" applyBorder="1" applyAlignment="1">
      <alignment horizontal="center" vertical="top" wrapText="1"/>
    </xf>
    <xf numFmtId="0" fontId="1" fillId="6" borderId="18" xfId="0" applyFont="1" applyFill="1" applyBorder="1" applyAlignment="1">
      <alignment horizontal="left" vertical="top" wrapText="1"/>
    </xf>
    <xf numFmtId="165" fontId="26" fillId="0" borderId="0" xfId="0" applyNumberFormat="1" applyFont="1" applyFill="1" applyAlignment="1" applyProtection="1">
      <alignment wrapText="1" readingOrder="1"/>
    </xf>
    <xf numFmtId="165" fontId="4" fillId="0" borderId="53" xfId="0" applyNumberFormat="1" applyFont="1" applyFill="1" applyBorder="1" applyAlignment="1" applyProtection="1">
      <alignment horizontal="center" vertical="top" wrapText="1" readingOrder="1"/>
      <protection locked="0"/>
    </xf>
    <xf numFmtId="165" fontId="4" fillId="4" borderId="40" xfId="0" applyNumberFormat="1" applyFont="1" applyFill="1" applyBorder="1" applyAlignment="1" applyProtection="1">
      <alignment horizontal="center" vertical="top" wrapText="1" readingOrder="1"/>
    </xf>
    <xf numFmtId="165" fontId="4" fillId="0" borderId="185" xfId="0" applyNumberFormat="1" applyFont="1" applyFill="1" applyBorder="1" applyAlignment="1" applyProtection="1">
      <alignment horizontal="center" vertical="top" wrapText="1" readingOrder="1"/>
      <protection locked="0"/>
    </xf>
    <xf numFmtId="165" fontId="4" fillId="0" borderId="167" xfId="0" applyNumberFormat="1" applyFont="1" applyFill="1" applyBorder="1" applyAlignment="1" applyProtection="1">
      <alignment horizontal="center" vertical="top" wrapText="1" readingOrder="1"/>
      <protection locked="0"/>
    </xf>
    <xf numFmtId="165" fontId="4" fillId="0" borderId="114" xfId="0" applyNumberFormat="1" applyFont="1" applyFill="1" applyBorder="1" applyAlignment="1" applyProtection="1">
      <alignment horizontal="center" vertical="top" wrapText="1" readingOrder="1"/>
      <protection locked="0"/>
    </xf>
    <xf numFmtId="165" fontId="4" fillId="0" borderId="182" xfId="0" applyNumberFormat="1" applyFont="1" applyFill="1" applyBorder="1" applyAlignment="1" applyProtection="1">
      <alignment horizontal="center" vertical="top" wrapText="1" readingOrder="1"/>
      <protection locked="0"/>
    </xf>
    <xf numFmtId="165" fontId="4" fillId="0" borderId="181" xfId="0" applyNumberFormat="1" applyFont="1" applyFill="1" applyBorder="1" applyAlignment="1" applyProtection="1">
      <alignment horizontal="center" vertical="top" wrapText="1" readingOrder="1"/>
      <protection locked="0"/>
    </xf>
    <xf numFmtId="165" fontId="4" fillId="0" borderId="127" xfId="0" applyNumberFormat="1" applyFont="1" applyFill="1" applyBorder="1" applyAlignment="1" applyProtection="1">
      <alignment horizontal="center" vertical="top" wrapText="1" readingOrder="1"/>
      <protection locked="0"/>
    </xf>
    <xf numFmtId="165" fontId="4" fillId="0" borderId="40" xfId="0" applyNumberFormat="1" applyFont="1" applyFill="1" applyBorder="1" applyAlignment="1" applyProtection="1">
      <alignment horizontal="center" vertical="top" wrapText="1" readingOrder="1"/>
    </xf>
    <xf numFmtId="165" fontId="4" fillId="0" borderId="185" xfId="0" applyNumberFormat="1" applyFont="1" applyFill="1" applyBorder="1" applyAlignment="1" applyProtection="1">
      <alignment horizontal="center" vertical="top" wrapText="1" readingOrder="1"/>
    </xf>
    <xf numFmtId="165" fontId="4" fillId="0" borderId="168" xfId="0" applyNumberFormat="1" applyFont="1" applyFill="1" applyBorder="1" applyAlignment="1" applyProtection="1">
      <alignment horizontal="center" vertical="top" wrapText="1" readingOrder="1"/>
      <protection locked="0"/>
    </xf>
    <xf numFmtId="165" fontId="4" fillId="0" borderId="173" xfId="0" applyNumberFormat="1" applyFont="1" applyFill="1" applyBorder="1" applyAlignment="1" applyProtection="1">
      <alignment horizontal="center" vertical="top" wrapText="1" readingOrder="1"/>
      <protection locked="0"/>
    </xf>
    <xf numFmtId="165" fontId="4" fillId="0" borderId="31" xfId="0" applyNumberFormat="1" applyFont="1" applyFill="1" applyBorder="1" applyAlignment="1" applyProtection="1">
      <alignment horizontal="center" vertical="top" wrapText="1" readingOrder="1"/>
      <protection locked="0"/>
    </xf>
    <xf numFmtId="165" fontId="4" fillId="0" borderId="127" xfId="0" applyNumberFormat="1" applyFont="1" applyFill="1" applyBorder="1" applyAlignment="1" applyProtection="1">
      <alignment horizontal="center" vertical="top" wrapText="1" readingOrder="1"/>
    </xf>
    <xf numFmtId="3" fontId="1" fillId="7" borderId="60" xfId="0" applyNumberFormat="1" applyFont="1" applyFill="1" applyBorder="1" applyAlignment="1">
      <alignment horizontal="left" vertical="top" wrapText="1"/>
    </xf>
    <xf numFmtId="3" fontId="1" fillId="7" borderId="18" xfId="0" applyNumberFormat="1" applyFont="1" applyFill="1" applyBorder="1" applyAlignment="1">
      <alignment horizontal="left" vertical="top" wrapText="1"/>
    </xf>
    <xf numFmtId="164" fontId="1" fillId="4" borderId="33" xfId="0" applyNumberFormat="1" applyFont="1" applyFill="1" applyBorder="1" applyAlignment="1">
      <alignment horizontal="center" vertical="top"/>
    </xf>
    <xf numFmtId="3" fontId="4" fillId="4" borderId="65" xfId="0" applyNumberFormat="1" applyFont="1" applyFill="1" applyBorder="1" applyAlignment="1">
      <alignment horizontal="left" vertical="top" wrapText="1"/>
    </xf>
    <xf numFmtId="3" fontId="4" fillId="4" borderId="63" xfId="0" applyNumberFormat="1" applyFont="1" applyFill="1" applyBorder="1" applyAlignment="1">
      <alignment horizontal="left" vertical="top" wrapText="1"/>
    </xf>
    <xf numFmtId="3" fontId="4" fillId="4" borderId="62" xfId="0" applyNumberFormat="1" applyFont="1" applyFill="1" applyBorder="1" applyAlignment="1">
      <alignment horizontal="left" vertical="top" wrapText="1"/>
    </xf>
    <xf numFmtId="3" fontId="5" fillId="4" borderId="13" xfId="0" applyNumberFormat="1" applyFont="1" applyFill="1" applyBorder="1" applyAlignment="1">
      <alignment horizontal="left" vertical="top" wrapText="1"/>
    </xf>
    <xf numFmtId="3" fontId="2" fillId="2" borderId="55" xfId="0" applyNumberFormat="1" applyFont="1" applyFill="1" applyBorder="1" applyAlignment="1">
      <alignment horizontal="center" vertical="top" wrapText="1"/>
    </xf>
    <xf numFmtId="3" fontId="2" fillId="3" borderId="13" xfId="0" applyNumberFormat="1" applyFont="1" applyFill="1" applyBorder="1" applyAlignment="1">
      <alignment horizontal="left" vertical="top" wrapText="1"/>
    </xf>
    <xf numFmtId="3" fontId="4" fillId="4" borderId="17" xfId="0" applyNumberFormat="1" applyFont="1" applyFill="1" applyBorder="1" applyAlignment="1">
      <alignment horizontal="left" vertical="top" wrapText="1"/>
    </xf>
    <xf numFmtId="0" fontId="1" fillId="6" borderId="62" xfId="0" applyFont="1" applyFill="1" applyBorder="1" applyAlignment="1">
      <alignment vertical="top" wrapText="1"/>
    </xf>
    <xf numFmtId="3" fontId="1" fillId="6" borderId="34" xfId="0" applyNumberFormat="1" applyFont="1" applyFill="1" applyBorder="1" applyAlignment="1">
      <alignment horizontal="center" vertical="top"/>
    </xf>
    <xf numFmtId="3" fontId="1" fillId="6" borderId="40" xfId="0" applyNumberFormat="1" applyFont="1" applyFill="1" applyBorder="1" applyAlignment="1">
      <alignment horizontal="center" vertical="top"/>
    </xf>
    <xf numFmtId="0" fontId="1" fillId="6" borderId="17" xfId="0" applyFont="1" applyFill="1" applyBorder="1" applyAlignment="1">
      <alignment vertical="top" wrapText="1"/>
    </xf>
    <xf numFmtId="165" fontId="4" fillId="0" borderId="24" xfId="0" applyNumberFormat="1" applyFont="1" applyBorder="1" applyAlignment="1">
      <alignment horizontal="center" vertical="center" textRotation="90" wrapText="1"/>
    </xf>
    <xf numFmtId="3" fontId="4" fillId="4" borderId="26" xfId="0" applyNumberFormat="1" applyFont="1" applyFill="1" applyBorder="1" applyAlignment="1">
      <alignment horizontal="left" vertical="top" wrapText="1"/>
    </xf>
    <xf numFmtId="3" fontId="2" fillId="2" borderId="55" xfId="0" applyNumberFormat="1" applyFont="1" applyFill="1" applyBorder="1" applyAlignment="1">
      <alignment horizontal="center" vertical="top" wrapText="1"/>
    </xf>
    <xf numFmtId="49" fontId="2" fillId="2" borderId="18" xfId="0" applyNumberFormat="1" applyFont="1" applyFill="1" applyBorder="1" applyAlignment="1">
      <alignment horizontal="center" vertical="top"/>
    </xf>
    <xf numFmtId="3" fontId="5" fillId="2" borderId="55" xfId="0" applyNumberFormat="1" applyFont="1" applyFill="1" applyBorder="1" applyAlignment="1">
      <alignment horizontal="left" vertical="top" wrapText="1"/>
    </xf>
    <xf numFmtId="49" fontId="4" fillId="6" borderId="60" xfId="0" applyNumberFormat="1" applyFont="1" applyFill="1" applyBorder="1" applyAlignment="1">
      <alignment vertical="top" wrapText="1"/>
    </xf>
    <xf numFmtId="49" fontId="4" fillId="6" borderId="60" xfId="0" applyNumberFormat="1" applyFont="1" applyFill="1" applyBorder="1" applyAlignment="1">
      <alignment horizontal="center" vertical="top" wrapText="1"/>
    </xf>
    <xf numFmtId="49" fontId="4" fillId="6" borderId="18" xfId="0" applyNumberFormat="1" applyFont="1" applyFill="1" applyBorder="1" applyAlignment="1">
      <alignment vertical="top" wrapText="1"/>
    </xf>
    <xf numFmtId="3" fontId="4" fillId="6" borderId="75" xfId="0" applyNumberFormat="1" applyFont="1" applyFill="1" applyBorder="1" applyAlignment="1">
      <alignment vertical="top" wrapText="1"/>
    </xf>
    <xf numFmtId="3" fontId="4" fillId="6" borderId="72" xfId="0" applyNumberFormat="1" applyFont="1" applyFill="1" applyBorder="1" applyAlignment="1">
      <alignment horizontal="center" vertical="top" wrapText="1"/>
    </xf>
    <xf numFmtId="3" fontId="4" fillId="6" borderId="65" xfId="0" applyNumberFormat="1" applyFont="1" applyFill="1" applyBorder="1" applyAlignment="1">
      <alignment vertical="top" wrapText="1"/>
    </xf>
    <xf numFmtId="3" fontId="4" fillId="6" borderId="52" xfId="0" applyNumberFormat="1" applyFont="1" applyFill="1" applyBorder="1" applyAlignment="1">
      <alignment horizontal="center" vertical="top" wrapText="1"/>
    </xf>
    <xf numFmtId="0" fontId="4" fillId="4" borderId="52" xfId="0" applyFont="1" applyFill="1" applyBorder="1" applyAlignment="1">
      <alignment horizontal="center" vertical="top" wrapText="1"/>
    </xf>
    <xf numFmtId="0" fontId="27" fillId="0" borderId="196" xfId="0" applyNumberFormat="1" applyFont="1" applyFill="1" applyBorder="1" applyAlignment="1" applyProtection="1">
      <alignment horizontal="center" vertical="top" wrapText="1" readingOrder="1"/>
      <protection locked="0"/>
    </xf>
    <xf numFmtId="164" fontId="2" fillId="8" borderId="30" xfId="0" applyNumberFormat="1" applyFont="1" applyFill="1" applyBorder="1" applyAlignment="1">
      <alignment horizontal="center" vertical="top" wrapText="1"/>
    </xf>
    <xf numFmtId="164" fontId="2" fillId="5" borderId="61" xfId="0" applyNumberFormat="1" applyFont="1" applyFill="1" applyBorder="1" applyAlignment="1">
      <alignment horizontal="center" vertical="top" wrapText="1"/>
    </xf>
    <xf numFmtId="164" fontId="4" fillId="5" borderId="61" xfId="0" applyNumberFormat="1" applyFont="1" applyFill="1" applyBorder="1" applyAlignment="1">
      <alignment horizontal="center" vertical="top" wrapText="1"/>
    </xf>
    <xf numFmtId="164" fontId="5" fillId="8" borderId="83" xfId="0" applyNumberFormat="1" applyFont="1" applyFill="1" applyBorder="1" applyAlignment="1">
      <alignment horizontal="center" vertical="top" wrapText="1"/>
    </xf>
    <xf numFmtId="3" fontId="5" fillId="8" borderId="44" xfId="0" applyNumberFormat="1" applyFont="1" applyFill="1" applyBorder="1" applyAlignment="1">
      <alignment horizontal="left" vertical="top" wrapText="1"/>
    </xf>
    <xf numFmtId="3" fontId="5" fillId="19" borderId="3" xfId="0" applyNumberFormat="1" applyFont="1" applyFill="1" applyBorder="1" applyAlignment="1">
      <alignment horizontal="left" vertical="top" wrapText="1"/>
    </xf>
    <xf numFmtId="167" fontId="4" fillId="9" borderId="40" xfId="3" applyNumberFormat="1" applyFont="1" applyFill="1" applyBorder="1" applyAlignment="1">
      <alignment horizontal="center" vertical="top"/>
    </xf>
    <xf numFmtId="167" fontId="4" fillId="9" borderId="168" xfId="3" applyNumberFormat="1" applyFont="1" applyFill="1" applyBorder="1" applyAlignment="1">
      <alignment horizontal="center" vertical="top"/>
    </xf>
    <xf numFmtId="3" fontId="2" fillId="19" borderId="3" xfId="0" applyNumberFormat="1" applyFont="1" applyFill="1" applyBorder="1" applyAlignment="1">
      <alignment horizontal="center" vertical="top" wrapText="1"/>
    </xf>
    <xf numFmtId="3" fontId="2" fillId="19" borderId="16" xfId="0" applyNumberFormat="1" applyFont="1" applyFill="1" applyBorder="1" applyAlignment="1">
      <alignment horizontal="center" vertical="top" wrapText="1"/>
    </xf>
    <xf numFmtId="3" fontId="5" fillId="19" borderId="24" xfId="0" applyNumberFormat="1" applyFont="1" applyFill="1" applyBorder="1" applyAlignment="1">
      <alignment horizontal="left" vertical="top" wrapText="1"/>
    </xf>
    <xf numFmtId="3" fontId="4" fillId="19" borderId="49" xfId="0" applyNumberFormat="1" applyFont="1" applyFill="1" applyBorder="1" applyAlignment="1">
      <alignment vertical="top" wrapText="1"/>
    </xf>
    <xf numFmtId="3" fontId="4" fillId="19" borderId="45" xfId="0" applyNumberFormat="1" applyFont="1" applyFill="1" applyBorder="1" applyAlignment="1">
      <alignment vertical="top" wrapText="1"/>
    </xf>
    <xf numFmtId="3" fontId="4" fillId="19" borderId="72" xfId="0" applyNumberFormat="1" applyFont="1" applyFill="1" applyBorder="1" applyAlignment="1">
      <alignment horizontal="center" vertical="top" wrapText="1"/>
    </xf>
    <xf numFmtId="3" fontId="4" fillId="19" borderId="47" xfId="0" applyNumberFormat="1" applyFont="1" applyFill="1" applyBorder="1" applyAlignment="1">
      <alignment horizontal="center" vertical="top" wrapText="1"/>
    </xf>
    <xf numFmtId="3" fontId="1" fillId="7" borderId="57" xfId="0" applyNumberFormat="1" applyFont="1" applyFill="1" applyBorder="1" applyAlignment="1">
      <alignment horizontal="left" vertical="top" wrapText="1"/>
    </xf>
    <xf numFmtId="0" fontId="27" fillId="20" borderId="193" xfId="0" applyNumberFormat="1" applyFont="1" applyFill="1" applyBorder="1" applyAlignment="1" applyProtection="1">
      <alignment vertical="top" wrapText="1" readingOrder="1"/>
      <protection locked="0"/>
    </xf>
    <xf numFmtId="0" fontId="27" fillId="19" borderId="170" xfId="0" applyNumberFormat="1" applyFont="1" applyFill="1" applyBorder="1" applyAlignment="1" applyProtection="1">
      <alignment vertical="top" wrapText="1" readingOrder="1"/>
      <protection locked="0"/>
    </xf>
    <xf numFmtId="0" fontId="27" fillId="19" borderId="197" xfId="0" applyNumberFormat="1" applyFont="1" applyFill="1" applyBorder="1" applyAlignment="1" applyProtection="1">
      <alignment vertical="top" wrapText="1" readingOrder="1"/>
      <protection locked="0"/>
    </xf>
    <xf numFmtId="0" fontId="27" fillId="20" borderId="198" xfId="0" applyNumberFormat="1" applyFont="1" applyFill="1" applyBorder="1" applyAlignment="1" applyProtection="1">
      <alignment horizontal="center" vertical="top" wrapText="1" readingOrder="1"/>
      <protection locked="0"/>
    </xf>
    <xf numFmtId="0" fontId="27" fillId="19" borderId="199" xfId="0" applyNumberFormat="1" applyFont="1" applyFill="1" applyBorder="1" applyAlignment="1" applyProtection="1">
      <alignment horizontal="center" vertical="top" wrapText="1" readingOrder="1"/>
      <protection locked="0"/>
    </xf>
    <xf numFmtId="0" fontId="27" fillId="19" borderId="200" xfId="0" applyNumberFormat="1" applyFont="1" applyFill="1" applyBorder="1" applyAlignment="1" applyProtection="1">
      <alignment horizontal="center" vertical="top" wrapText="1" readingOrder="1"/>
      <protection locked="0"/>
    </xf>
    <xf numFmtId="3" fontId="4" fillId="0" borderId="21" xfId="0" applyNumberFormat="1" applyFont="1" applyBorder="1" applyAlignment="1">
      <alignment horizontal="center" vertical="center" textRotation="90" wrapText="1"/>
    </xf>
    <xf numFmtId="3" fontId="4" fillId="19" borderId="75" xfId="0" applyNumberFormat="1" applyFont="1" applyFill="1" applyBorder="1" applyAlignment="1">
      <alignment vertical="top" wrapText="1"/>
    </xf>
    <xf numFmtId="3" fontId="4" fillId="19" borderId="48" xfId="0" applyNumberFormat="1" applyFont="1" applyFill="1" applyBorder="1" applyAlignment="1">
      <alignment vertical="top" wrapText="1"/>
    </xf>
    <xf numFmtId="3" fontId="4" fillId="19" borderId="29" xfId="0" applyNumberFormat="1" applyFont="1" applyFill="1" applyBorder="1" applyAlignment="1">
      <alignment horizontal="center" vertical="top" wrapText="1"/>
    </xf>
    <xf numFmtId="3" fontId="4" fillId="19" borderId="4" xfId="0" applyNumberFormat="1" applyFont="1" applyFill="1" applyBorder="1" applyAlignment="1">
      <alignment horizontal="center" vertical="top" wrapText="1"/>
    </xf>
    <xf numFmtId="0" fontId="1" fillId="7" borderId="40" xfId="0" applyNumberFormat="1" applyFont="1" applyFill="1" applyBorder="1" applyAlignment="1">
      <alignment horizontal="center" vertical="top" wrapText="1"/>
    </xf>
    <xf numFmtId="0" fontId="10" fillId="0" borderId="58" xfId="0" applyFont="1" applyBorder="1" applyAlignment="1">
      <alignment horizontal="center" vertical="center"/>
    </xf>
    <xf numFmtId="0" fontId="4" fillId="0" borderId="0" xfId="0" applyFont="1" applyFill="1" applyBorder="1" applyAlignment="1">
      <alignment horizontal="left" vertical="top" wrapText="1"/>
    </xf>
    <xf numFmtId="0" fontId="26" fillId="0" borderId="120" xfId="0" applyNumberFormat="1" applyFont="1" applyFill="1" applyBorder="1" applyAlignment="1" applyProtection="1">
      <alignment horizontal="left" vertical="top" wrapText="1" readingOrder="1"/>
      <protection locked="0"/>
    </xf>
    <xf numFmtId="0" fontId="26" fillId="0" borderId="130" xfId="0" applyNumberFormat="1" applyFont="1" applyFill="1" applyBorder="1" applyAlignment="1" applyProtection="1">
      <alignment horizontal="left" vertical="top" wrapText="1" readingOrder="1"/>
      <protection locked="0"/>
    </xf>
    <xf numFmtId="0" fontId="27" fillId="0" borderId="119" xfId="0" applyNumberFormat="1" applyFont="1" applyFill="1" applyBorder="1" applyAlignment="1" applyProtection="1">
      <alignment horizontal="left" vertical="top" wrapText="1" readingOrder="1"/>
      <protection locked="0"/>
    </xf>
    <xf numFmtId="0" fontId="27" fillId="0" borderId="132" xfId="0" applyNumberFormat="1" applyFont="1" applyFill="1" applyBorder="1" applyAlignment="1" applyProtection="1">
      <alignment horizontal="left" vertical="top" wrapText="1" readingOrder="1"/>
      <protection locked="0"/>
    </xf>
    <xf numFmtId="0" fontId="26" fillId="10" borderId="120" xfId="0" applyNumberFormat="1" applyFont="1" applyFill="1" applyBorder="1" applyAlignment="1" applyProtection="1">
      <alignment horizontal="left" vertical="top" wrapText="1" readingOrder="1"/>
      <protection locked="0"/>
    </xf>
    <xf numFmtId="0" fontId="26" fillId="10" borderId="130" xfId="0" applyNumberFormat="1" applyFont="1" applyFill="1" applyBorder="1" applyAlignment="1" applyProtection="1">
      <alignment horizontal="left" vertical="top" wrapText="1" readingOrder="1"/>
      <protection locked="0"/>
    </xf>
    <xf numFmtId="0" fontId="27" fillId="10" borderId="119" xfId="0" applyNumberFormat="1" applyFont="1" applyFill="1" applyBorder="1" applyAlignment="1" applyProtection="1">
      <alignment horizontal="center" vertical="top" wrapText="1" readingOrder="1"/>
      <protection locked="0"/>
    </xf>
    <xf numFmtId="0" fontId="27" fillId="10" borderId="132" xfId="0" applyNumberFormat="1" applyFont="1" applyFill="1" applyBorder="1" applyAlignment="1" applyProtection="1">
      <alignment horizontal="center" vertical="top" wrapText="1" readingOrder="1"/>
      <protection locked="0"/>
    </xf>
    <xf numFmtId="0" fontId="26" fillId="10" borderId="120" xfId="0" applyNumberFormat="1" applyFont="1" applyFill="1" applyBorder="1" applyAlignment="1" applyProtection="1">
      <alignment horizontal="center" vertical="top" wrapText="1" readingOrder="1"/>
      <protection locked="0"/>
    </xf>
    <xf numFmtId="0" fontId="26" fillId="10" borderId="130" xfId="0" applyNumberFormat="1" applyFont="1" applyFill="1" applyBorder="1" applyAlignment="1" applyProtection="1">
      <alignment horizontal="center" vertical="top" wrapText="1" readingOrder="1"/>
      <protection locked="0"/>
    </xf>
    <xf numFmtId="0" fontId="26" fillId="0" borderId="123" xfId="0" applyNumberFormat="1" applyFont="1" applyFill="1" applyBorder="1" applyAlignment="1" applyProtection="1">
      <alignment horizontal="left" vertical="top" wrapText="1" readingOrder="1"/>
      <protection locked="0"/>
    </xf>
    <xf numFmtId="0" fontId="27" fillId="0" borderId="119" xfId="0" applyNumberFormat="1" applyFont="1" applyFill="1" applyBorder="1" applyAlignment="1" applyProtection="1">
      <alignment horizontal="center" vertical="top" wrapText="1" readingOrder="1"/>
      <protection locked="0"/>
    </xf>
    <xf numFmtId="0" fontId="27" fillId="0" borderId="132" xfId="0" applyNumberFormat="1" applyFont="1" applyFill="1" applyBorder="1" applyAlignment="1" applyProtection="1">
      <alignment horizontal="center" vertical="top" wrapText="1" readingOrder="1"/>
      <protection locked="0"/>
    </xf>
    <xf numFmtId="0" fontId="26" fillId="7" borderId="120" xfId="0" applyNumberFormat="1" applyFont="1" applyFill="1" applyBorder="1" applyAlignment="1" applyProtection="1">
      <alignment horizontal="left" vertical="top" wrapText="1" readingOrder="1"/>
      <protection locked="0"/>
    </xf>
    <xf numFmtId="0" fontId="26" fillId="7" borderId="130" xfId="0" applyNumberFormat="1" applyFont="1" applyFill="1" applyBorder="1" applyAlignment="1" applyProtection="1">
      <alignment horizontal="left" vertical="top" wrapText="1" readingOrder="1"/>
      <protection locked="0"/>
    </xf>
    <xf numFmtId="0" fontId="27" fillId="0" borderId="121" xfId="0" applyNumberFormat="1" applyFont="1" applyFill="1" applyBorder="1" applyAlignment="1" applyProtection="1">
      <alignment horizontal="center" vertical="top" wrapText="1" readingOrder="1"/>
      <protection locked="0"/>
    </xf>
    <xf numFmtId="0" fontId="26" fillId="0" borderId="122" xfId="0" applyNumberFormat="1" applyFont="1" applyFill="1" applyBorder="1" applyAlignment="1" applyProtection="1">
      <alignment horizontal="left" vertical="top" wrapText="1" readingOrder="1"/>
      <protection locked="0"/>
    </xf>
    <xf numFmtId="0" fontId="26" fillId="7" borderId="122" xfId="0" applyNumberFormat="1" applyFont="1" applyFill="1" applyBorder="1" applyAlignment="1" applyProtection="1">
      <alignment horizontal="left" vertical="top" wrapText="1" readingOrder="1"/>
      <protection locked="0"/>
    </xf>
    <xf numFmtId="0" fontId="25" fillId="0" borderId="120" xfId="0" applyNumberFormat="1" applyFont="1" applyFill="1" applyBorder="1" applyAlignment="1" applyProtection="1">
      <alignment horizontal="center" vertical="top" wrapText="1" readingOrder="1"/>
      <protection locked="0"/>
    </xf>
    <xf numFmtId="0" fontId="25" fillId="0" borderId="122" xfId="0" applyNumberFormat="1" applyFont="1" applyFill="1" applyBorder="1" applyAlignment="1" applyProtection="1">
      <alignment horizontal="center" vertical="top" wrapText="1" readingOrder="1"/>
      <protection locked="0"/>
    </xf>
    <xf numFmtId="0" fontId="25" fillId="0" borderId="130" xfId="0" applyNumberFormat="1" applyFont="1" applyFill="1" applyBorder="1" applyAlignment="1" applyProtection="1">
      <alignment horizontal="center" vertical="top" wrapText="1" readingOrder="1"/>
      <protection locked="0"/>
    </xf>
    <xf numFmtId="0" fontId="26" fillId="7" borderId="123" xfId="0" applyNumberFormat="1" applyFont="1" applyFill="1" applyBorder="1" applyAlignment="1" applyProtection="1">
      <alignment vertical="top" wrapText="1" readingOrder="1"/>
      <protection locked="0"/>
    </xf>
    <xf numFmtId="0" fontId="26" fillId="7" borderId="122" xfId="0" applyNumberFormat="1" applyFont="1" applyFill="1" applyBorder="1" applyAlignment="1" applyProtection="1">
      <alignment vertical="top" wrapText="1" readingOrder="1"/>
      <protection locked="0"/>
    </xf>
    <xf numFmtId="0" fontId="26" fillId="7" borderId="130" xfId="0" applyNumberFormat="1" applyFont="1" applyFill="1" applyBorder="1" applyAlignment="1" applyProtection="1">
      <alignment vertical="top" wrapText="1" readingOrder="1"/>
      <protection locked="0"/>
    </xf>
    <xf numFmtId="0" fontId="27" fillId="7" borderId="123" xfId="0" applyNumberFormat="1" applyFont="1" applyFill="1" applyBorder="1" applyAlignment="1" applyProtection="1">
      <alignment horizontal="center" vertical="top" wrapText="1" readingOrder="1"/>
      <protection locked="0"/>
    </xf>
    <xf numFmtId="0" fontId="27" fillId="7" borderId="122" xfId="0" applyNumberFormat="1" applyFont="1" applyFill="1" applyBorder="1" applyAlignment="1" applyProtection="1">
      <alignment horizontal="center" vertical="top" wrapText="1" readingOrder="1"/>
      <protection locked="0"/>
    </xf>
    <xf numFmtId="0" fontId="27" fillId="7" borderId="130" xfId="0" applyNumberFormat="1" applyFont="1" applyFill="1" applyBorder="1" applyAlignment="1" applyProtection="1">
      <alignment horizontal="center" vertical="top" wrapText="1" readingOrder="1"/>
      <protection locked="0"/>
    </xf>
    <xf numFmtId="0" fontId="26" fillId="7" borderId="123" xfId="0" applyNumberFormat="1" applyFont="1" applyFill="1" applyBorder="1" applyAlignment="1" applyProtection="1">
      <alignment horizontal="center" vertical="top" wrapText="1" readingOrder="1"/>
      <protection locked="0"/>
    </xf>
    <xf numFmtId="0" fontId="26" fillId="7" borderId="122" xfId="0" applyNumberFormat="1" applyFont="1" applyFill="1" applyBorder="1" applyAlignment="1" applyProtection="1">
      <alignment horizontal="center" vertical="top" wrapText="1" readingOrder="1"/>
      <protection locked="0"/>
    </xf>
    <xf numFmtId="0" fontId="26" fillId="7" borderId="130" xfId="0" applyNumberFormat="1" applyFont="1" applyFill="1" applyBorder="1" applyAlignment="1" applyProtection="1">
      <alignment horizontal="center" vertical="top" wrapText="1" readingOrder="1"/>
      <protection locked="0"/>
    </xf>
    <xf numFmtId="0" fontId="26" fillId="7" borderId="120" xfId="0" applyNumberFormat="1" applyFont="1" applyFill="1" applyBorder="1" applyAlignment="1" applyProtection="1">
      <alignment horizontal="center" vertical="top" wrapText="1" readingOrder="1"/>
      <protection locked="0"/>
    </xf>
    <xf numFmtId="0" fontId="26" fillId="7" borderId="129" xfId="0" applyNumberFormat="1" applyFont="1" applyFill="1" applyBorder="1" applyAlignment="1" applyProtection="1">
      <alignment horizontal="left" vertical="top" wrapText="1" readingOrder="1"/>
      <protection locked="0"/>
    </xf>
    <xf numFmtId="0" fontId="26" fillId="7" borderId="125" xfId="0" applyNumberFormat="1" applyFont="1" applyFill="1" applyBorder="1" applyAlignment="1" applyProtection="1">
      <alignment horizontal="left" vertical="top" wrapText="1" readingOrder="1"/>
      <protection locked="0"/>
    </xf>
    <xf numFmtId="0" fontId="26" fillId="7" borderId="131" xfId="0" applyNumberFormat="1" applyFont="1" applyFill="1" applyBorder="1" applyAlignment="1" applyProtection="1">
      <alignment horizontal="left" vertical="top" wrapText="1" readingOrder="1"/>
      <protection locked="0"/>
    </xf>
    <xf numFmtId="0" fontId="26" fillId="0" borderId="123" xfId="0" applyNumberFormat="1" applyFont="1" applyFill="1" applyBorder="1" applyAlignment="1" applyProtection="1">
      <alignment vertical="top" wrapText="1" readingOrder="1"/>
      <protection locked="0"/>
    </xf>
    <xf numFmtId="0" fontId="26" fillId="0" borderId="130" xfId="0" applyNumberFormat="1" applyFont="1" applyFill="1" applyBorder="1" applyAlignment="1" applyProtection="1">
      <alignment vertical="top" wrapText="1" readingOrder="1"/>
      <protection locked="0"/>
    </xf>
    <xf numFmtId="0" fontId="27" fillId="0" borderId="123" xfId="0" applyNumberFormat="1" applyFont="1" applyFill="1" applyBorder="1" applyAlignment="1" applyProtection="1">
      <alignment horizontal="center" vertical="top" wrapText="1" readingOrder="1"/>
      <protection locked="0"/>
    </xf>
    <xf numFmtId="0" fontId="27" fillId="0" borderId="130" xfId="0" applyNumberFormat="1" applyFont="1" applyFill="1" applyBorder="1" applyAlignment="1" applyProtection="1">
      <alignment horizontal="center" vertical="top" wrapText="1" readingOrder="1"/>
      <protection locked="0"/>
    </xf>
    <xf numFmtId="0" fontId="26" fillId="0" borderId="123" xfId="0" applyNumberFormat="1" applyFont="1" applyFill="1" applyBorder="1" applyAlignment="1" applyProtection="1">
      <alignment horizontal="center" vertical="top" wrapText="1" readingOrder="1"/>
      <protection locked="0"/>
    </xf>
    <xf numFmtId="0" fontId="26" fillId="0" borderId="130" xfId="0" applyNumberFormat="1" applyFont="1" applyFill="1" applyBorder="1" applyAlignment="1" applyProtection="1">
      <alignment horizontal="center" vertical="top" wrapText="1" readingOrder="1"/>
      <protection locked="0"/>
    </xf>
    <xf numFmtId="0" fontId="26" fillId="7" borderId="120" xfId="0" applyNumberFormat="1" applyFont="1" applyFill="1" applyBorder="1" applyAlignment="1" applyProtection="1">
      <alignment vertical="top" wrapText="1" readingOrder="1"/>
      <protection locked="0"/>
    </xf>
    <xf numFmtId="0" fontId="27" fillId="7" borderId="120" xfId="0" applyNumberFormat="1" applyFont="1" applyFill="1" applyBorder="1" applyAlignment="1" applyProtection="1">
      <alignment horizontal="center" vertical="top" wrapText="1" readingOrder="1"/>
      <protection locked="0"/>
    </xf>
    <xf numFmtId="0" fontId="26" fillId="0" borderId="120" xfId="0" applyNumberFormat="1" applyFont="1" applyFill="1" applyBorder="1" applyAlignment="1" applyProtection="1">
      <alignment vertical="top" wrapText="1" readingOrder="1"/>
      <protection locked="0"/>
    </xf>
    <xf numFmtId="0" fontId="26" fillId="0" borderId="122" xfId="0" applyNumberFormat="1" applyFont="1" applyFill="1" applyBorder="1" applyAlignment="1" applyProtection="1">
      <alignment vertical="top" wrapText="1" readingOrder="1"/>
      <protection locked="0"/>
    </xf>
    <xf numFmtId="0" fontId="27" fillId="0" borderId="120" xfId="0" applyNumberFormat="1" applyFont="1" applyFill="1" applyBorder="1" applyAlignment="1" applyProtection="1">
      <alignment horizontal="center" vertical="top" wrapText="1" readingOrder="1"/>
      <protection locked="0"/>
    </xf>
    <xf numFmtId="0" fontId="27" fillId="0" borderId="122" xfId="0" applyNumberFormat="1" applyFont="1" applyFill="1" applyBorder="1" applyAlignment="1" applyProtection="1">
      <alignment horizontal="center" vertical="top" wrapText="1" readingOrder="1"/>
      <protection locked="0"/>
    </xf>
    <xf numFmtId="0" fontId="26" fillId="0" borderId="120" xfId="0" applyNumberFormat="1" applyFont="1" applyFill="1" applyBorder="1" applyAlignment="1" applyProtection="1">
      <alignment horizontal="center" vertical="top" wrapText="1" readingOrder="1"/>
      <protection locked="0"/>
    </xf>
    <xf numFmtId="0" fontId="26" fillId="0" borderId="122" xfId="0" applyNumberFormat="1" applyFont="1" applyFill="1" applyBorder="1" applyAlignment="1" applyProtection="1">
      <alignment horizontal="center" vertical="top" wrapText="1" readingOrder="1"/>
      <protection locked="0"/>
    </xf>
    <xf numFmtId="0" fontId="27" fillId="0" borderId="89" xfId="0" applyNumberFormat="1" applyFont="1" applyFill="1" applyBorder="1" applyAlignment="1" applyProtection="1">
      <alignment horizontal="center" vertical="top" wrapText="1" readingOrder="1"/>
      <protection locked="0"/>
    </xf>
    <xf numFmtId="0" fontId="27" fillId="0" borderId="139" xfId="0" applyNumberFormat="1" applyFont="1" applyFill="1" applyBorder="1" applyAlignment="1" applyProtection="1">
      <alignment horizontal="center" vertical="top" wrapText="1" readingOrder="1"/>
      <protection locked="0"/>
    </xf>
    <xf numFmtId="0" fontId="26" fillId="0" borderId="136" xfId="0" applyNumberFormat="1" applyFont="1" applyFill="1" applyBorder="1" applyAlignment="1" applyProtection="1">
      <alignment horizontal="left" vertical="top" wrapText="1" readingOrder="1"/>
      <protection locked="0"/>
    </xf>
    <xf numFmtId="0" fontId="26" fillId="0" borderId="140" xfId="0" applyNumberFormat="1" applyFont="1" applyFill="1" applyBorder="1" applyAlignment="1" applyProtection="1">
      <alignment horizontal="left" vertical="top" wrapText="1" readingOrder="1"/>
      <protection locked="0"/>
    </xf>
    <xf numFmtId="0" fontId="26" fillId="0" borderId="129" xfId="0" applyNumberFormat="1" applyFont="1" applyFill="1" applyBorder="1" applyAlignment="1" applyProtection="1">
      <alignment horizontal="left" vertical="top" wrapText="1" readingOrder="1"/>
      <protection locked="0"/>
    </xf>
    <xf numFmtId="0" fontId="26" fillId="0" borderId="125" xfId="0" applyNumberFormat="1" applyFont="1" applyFill="1" applyBorder="1" applyAlignment="1" applyProtection="1">
      <alignment horizontal="left" vertical="top" wrapText="1" readingOrder="1"/>
      <protection locked="0"/>
    </xf>
    <xf numFmtId="0" fontId="26" fillId="0" borderId="131" xfId="0" applyNumberFormat="1" applyFont="1" applyFill="1" applyBorder="1" applyAlignment="1" applyProtection="1">
      <alignment horizontal="left" vertical="top" wrapText="1" readingOrder="1"/>
      <protection locked="0"/>
    </xf>
    <xf numFmtId="0" fontId="26" fillId="0" borderId="124" xfId="0" applyNumberFormat="1" applyFont="1" applyFill="1" applyBorder="1" applyAlignment="1" applyProtection="1">
      <alignment horizontal="left" vertical="top" wrapText="1" readingOrder="1"/>
      <protection locked="0"/>
    </xf>
    <xf numFmtId="0" fontId="25" fillId="0" borderId="123" xfId="0" applyNumberFormat="1" applyFont="1" applyFill="1" applyBorder="1" applyAlignment="1" applyProtection="1">
      <alignment horizontal="center" vertical="top" wrapText="1" readingOrder="1"/>
      <protection locked="0"/>
    </xf>
    <xf numFmtId="0" fontId="25" fillId="0" borderId="127" xfId="0" applyNumberFormat="1" applyFont="1" applyFill="1" applyBorder="1" applyAlignment="1" applyProtection="1">
      <alignment horizontal="center" vertical="top" wrapText="1" readingOrder="1"/>
      <protection locked="0"/>
    </xf>
    <xf numFmtId="165" fontId="25" fillId="0" borderId="111" xfId="0" applyNumberFormat="1" applyFont="1" applyFill="1" applyBorder="1" applyAlignment="1" applyProtection="1">
      <alignment horizontal="center" wrapText="1" readingOrder="1"/>
    </xf>
    <xf numFmtId="165" fontId="25" fillId="0" borderId="114" xfId="0" applyNumberFormat="1" applyFont="1" applyFill="1" applyBorder="1" applyAlignment="1" applyProtection="1">
      <alignment horizontal="center" wrapText="1" readingOrder="1"/>
    </xf>
    <xf numFmtId="165" fontId="25" fillId="0" borderId="117" xfId="0" applyNumberFormat="1" applyFont="1" applyFill="1" applyBorder="1" applyAlignment="1" applyProtection="1">
      <alignment horizontal="center" wrapText="1" readingOrder="1"/>
    </xf>
    <xf numFmtId="0" fontId="25" fillId="0" borderId="111" xfId="0" applyNumberFormat="1" applyFont="1" applyFill="1" applyBorder="1" applyAlignment="1" applyProtection="1">
      <alignment horizontal="center" wrapText="1" readingOrder="1"/>
    </xf>
    <xf numFmtId="0" fontId="25" fillId="0" borderId="114" xfId="0" applyNumberFormat="1" applyFont="1" applyFill="1" applyBorder="1" applyAlignment="1" applyProtection="1">
      <alignment horizontal="center" wrapText="1" readingOrder="1"/>
    </xf>
    <xf numFmtId="0" fontId="25" fillId="0" borderId="117" xfId="0" applyNumberFormat="1" applyFont="1" applyFill="1" applyBorder="1" applyAlignment="1" applyProtection="1">
      <alignment horizontal="center" wrapText="1" readingOrder="1"/>
    </xf>
    <xf numFmtId="0" fontId="25" fillId="0" borderId="112" xfId="0" applyNumberFormat="1" applyFont="1" applyFill="1" applyBorder="1" applyAlignment="1" applyProtection="1">
      <alignment horizontal="center" wrapText="1" readingOrder="1"/>
    </xf>
    <xf numFmtId="0" fontId="25" fillId="0" borderId="114" xfId="0" applyNumberFormat="1" applyFont="1" applyFill="1" applyBorder="1" applyAlignment="1" applyProtection="1">
      <alignment wrapText="1" readingOrder="1"/>
    </xf>
    <xf numFmtId="0" fontId="25" fillId="0" borderId="117" xfId="0" applyNumberFormat="1" applyFont="1" applyFill="1" applyBorder="1" applyAlignment="1" applyProtection="1">
      <alignment wrapText="1" readingOrder="1"/>
    </xf>
    <xf numFmtId="0" fontId="24" fillId="0" borderId="114" xfId="0" applyNumberFormat="1" applyFont="1" applyFill="1" applyBorder="1" applyAlignment="1" applyProtection="1">
      <alignment horizontal="center" wrapText="1" readingOrder="1"/>
    </xf>
    <xf numFmtId="0" fontId="24" fillId="0" borderId="117" xfId="0" applyNumberFormat="1" applyFont="1" applyFill="1" applyBorder="1" applyAlignment="1" applyProtection="1">
      <alignment horizontal="center" wrapText="1" readingOrder="1"/>
    </xf>
    <xf numFmtId="0" fontId="25" fillId="0" borderId="114" xfId="0" applyNumberFormat="1" applyFont="1" applyFill="1" applyBorder="1" applyAlignment="1" applyProtection="1">
      <alignment horizontal="left" wrapText="1" readingOrder="1"/>
    </xf>
    <xf numFmtId="0" fontId="25" fillId="0" borderId="117" xfId="0" applyNumberFormat="1" applyFont="1" applyFill="1" applyBorder="1" applyAlignment="1" applyProtection="1">
      <alignment horizontal="left" wrapText="1" readingOrder="1"/>
    </xf>
    <xf numFmtId="0" fontId="25" fillId="0" borderId="115" xfId="0" applyNumberFormat="1" applyFont="1" applyFill="1" applyBorder="1" applyAlignment="1" applyProtection="1">
      <alignment horizontal="left" wrapText="1" readingOrder="1"/>
    </xf>
    <xf numFmtId="0" fontId="25" fillId="0" borderId="118" xfId="0" applyNumberFormat="1" applyFont="1" applyFill="1" applyBorder="1" applyAlignment="1" applyProtection="1">
      <alignment horizontal="left" wrapText="1" readingOrder="1"/>
    </xf>
    <xf numFmtId="0" fontId="24" fillId="0" borderId="110" xfId="0" applyNumberFormat="1" applyFont="1" applyFill="1" applyBorder="1" applyAlignment="1" applyProtection="1">
      <alignment horizontal="center" wrapText="1" readingOrder="1"/>
    </xf>
    <xf numFmtId="0" fontId="24" fillId="0" borderId="113" xfId="0" applyNumberFormat="1" applyFont="1" applyFill="1" applyBorder="1" applyAlignment="1" applyProtection="1">
      <alignment horizontal="center" wrapText="1" readingOrder="1"/>
    </xf>
    <xf numFmtId="0" fontId="24" fillId="0" borderId="116" xfId="0" applyNumberFormat="1" applyFont="1" applyFill="1" applyBorder="1" applyAlignment="1" applyProtection="1">
      <alignment horizontal="center" wrapText="1" readingOrder="1"/>
    </xf>
    <xf numFmtId="0" fontId="25" fillId="0" borderId="111" xfId="0" applyNumberFormat="1" applyFont="1" applyFill="1" applyBorder="1" applyAlignment="1" applyProtection="1">
      <alignment horizontal="left" wrapText="1" readingOrder="1"/>
    </xf>
    <xf numFmtId="0" fontId="24" fillId="0" borderId="111" xfId="0" applyNumberFormat="1" applyFont="1" applyFill="1" applyBorder="1" applyAlignment="1" applyProtection="1">
      <alignment horizontal="center" wrapText="1" readingOrder="1"/>
    </xf>
    <xf numFmtId="0" fontId="26" fillId="10" borderId="122" xfId="0" applyNumberFormat="1" applyFont="1" applyFill="1" applyBorder="1" applyAlignment="1" applyProtection="1">
      <alignment horizontal="left" vertical="top" wrapText="1" readingOrder="1"/>
      <protection locked="0"/>
    </xf>
    <xf numFmtId="0" fontId="26" fillId="7" borderId="123" xfId="0" applyNumberFormat="1" applyFont="1" applyFill="1" applyBorder="1" applyAlignment="1" applyProtection="1">
      <alignment horizontal="left" vertical="top" wrapText="1" readingOrder="1"/>
      <protection locked="0"/>
    </xf>
    <xf numFmtId="0" fontId="26" fillId="7" borderId="124" xfId="0" applyNumberFormat="1" applyFont="1" applyFill="1" applyBorder="1" applyAlignment="1" applyProtection="1">
      <alignment horizontal="left" vertical="top" wrapText="1" readingOrder="1"/>
      <protection locked="0"/>
    </xf>
    <xf numFmtId="0" fontId="26" fillId="18" borderId="129" xfId="0" applyNumberFormat="1" applyFont="1" applyFill="1" applyBorder="1" applyAlignment="1" applyProtection="1">
      <alignment horizontal="left" vertical="top" wrapText="1" readingOrder="1"/>
      <protection locked="0"/>
    </xf>
    <xf numFmtId="0" fontId="26" fillId="18" borderId="125" xfId="0" applyNumberFormat="1" applyFont="1" applyFill="1" applyBorder="1" applyAlignment="1" applyProtection="1">
      <alignment horizontal="left" vertical="top" wrapText="1" readingOrder="1"/>
      <protection locked="0"/>
    </xf>
    <xf numFmtId="0" fontId="26" fillId="18" borderId="131" xfId="0" applyNumberFormat="1" applyFont="1" applyFill="1" applyBorder="1" applyAlignment="1" applyProtection="1">
      <alignment horizontal="left" vertical="top" wrapText="1" readingOrder="1"/>
      <protection locked="0"/>
    </xf>
    <xf numFmtId="0" fontId="27" fillId="7" borderId="153" xfId="0" applyNumberFormat="1" applyFont="1" applyFill="1" applyBorder="1" applyAlignment="1" applyProtection="1">
      <alignment horizontal="center" vertical="top" wrapText="1" readingOrder="1"/>
      <protection locked="0"/>
    </xf>
    <xf numFmtId="0" fontId="27" fillId="7" borderId="90" xfId="0" applyNumberFormat="1" applyFont="1" applyFill="1" applyBorder="1" applyAlignment="1" applyProtection="1">
      <alignment horizontal="center" vertical="top" wrapText="1" readingOrder="1"/>
      <protection locked="0"/>
    </xf>
    <xf numFmtId="0" fontId="27" fillId="7" borderId="139" xfId="0" applyNumberFormat="1" applyFont="1" applyFill="1" applyBorder="1" applyAlignment="1" applyProtection="1">
      <alignment horizontal="center" vertical="top" wrapText="1" readingOrder="1"/>
      <protection locked="0"/>
    </xf>
    <xf numFmtId="0" fontId="26" fillId="7" borderId="140" xfId="0" applyNumberFormat="1" applyFont="1" applyFill="1" applyBorder="1" applyAlignment="1" applyProtection="1">
      <alignment vertical="top" wrapText="1" readingOrder="1"/>
      <protection locked="0"/>
    </xf>
    <xf numFmtId="0" fontId="27" fillId="7" borderId="140" xfId="0" applyNumberFormat="1" applyFont="1" applyFill="1" applyBorder="1" applyAlignment="1" applyProtection="1">
      <alignment horizontal="center" vertical="top" wrapText="1" readingOrder="1"/>
      <protection locked="0"/>
    </xf>
    <xf numFmtId="0" fontId="26" fillId="7" borderId="140" xfId="0" applyNumberFormat="1" applyFont="1" applyFill="1" applyBorder="1" applyAlignment="1" applyProtection="1">
      <alignment horizontal="center" vertical="top" wrapText="1" readingOrder="1"/>
      <protection locked="0"/>
    </xf>
    <xf numFmtId="0" fontId="26" fillId="7" borderId="140" xfId="0" applyNumberFormat="1" applyFont="1" applyFill="1" applyBorder="1" applyAlignment="1" applyProtection="1">
      <alignment horizontal="left" vertical="top" wrapText="1" readingOrder="1"/>
      <protection locked="0"/>
    </xf>
    <xf numFmtId="0" fontId="26" fillId="7" borderId="155" xfId="0" applyNumberFormat="1" applyFont="1" applyFill="1" applyBorder="1" applyAlignment="1" applyProtection="1">
      <alignment horizontal="left" vertical="top" wrapText="1" readingOrder="1"/>
      <protection locked="0"/>
    </xf>
    <xf numFmtId="0" fontId="26" fillId="7" borderId="156" xfId="0" applyNumberFormat="1" applyFont="1" applyFill="1" applyBorder="1" applyAlignment="1" applyProtection="1">
      <alignment horizontal="left" vertical="top" wrapText="1" readingOrder="1"/>
      <protection locked="0"/>
    </xf>
    <xf numFmtId="0" fontId="26" fillId="7" borderId="157" xfId="0" applyNumberFormat="1" applyFont="1" applyFill="1" applyBorder="1" applyAlignment="1" applyProtection="1">
      <alignment horizontal="left" vertical="top" wrapText="1" readingOrder="1"/>
      <protection locked="0"/>
    </xf>
    <xf numFmtId="0" fontId="27" fillId="0" borderId="90" xfId="0" applyNumberFormat="1" applyFont="1" applyFill="1" applyBorder="1" applyAlignment="1" applyProtection="1">
      <alignment horizontal="center" vertical="top" wrapText="1" readingOrder="1"/>
      <protection locked="0"/>
    </xf>
    <xf numFmtId="0" fontId="25" fillId="0" borderId="140" xfId="0" applyNumberFormat="1" applyFont="1" applyFill="1" applyBorder="1" applyAlignment="1" applyProtection="1">
      <alignment horizontal="center" vertical="top" wrapText="1" readingOrder="1"/>
      <protection locked="0"/>
    </xf>
    <xf numFmtId="0" fontId="25" fillId="0" borderId="136" xfId="0" applyNumberFormat="1" applyFont="1" applyFill="1" applyBorder="1" applyAlignment="1" applyProtection="1">
      <alignment horizontal="center" vertical="top" wrapText="1" readingOrder="1"/>
      <protection locked="0"/>
    </xf>
    <xf numFmtId="0" fontId="26" fillId="0" borderId="136" xfId="0" applyNumberFormat="1" applyFont="1" applyFill="1" applyBorder="1" applyAlignment="1" applyProtection="1">
      <alignment vertical="top" wrapText="1" readingOrder="1"/>
      <protection locked="0"/>
    </xf>
    <xf numFmtId="0" fontId="26" fillId="0" borderId="140" xfId="0" applyNumberFormat="1" applyFont="1" applyFill="1" applyBorder="1" applyAlignment="1" applyProtection="1">
      <alignment vertical="top" wrapText="1" readingOrder="1"/>
      <protection locked="0"/>
    </xf>
    <xf numFmtId="0" fontId="27" fillId="0" borderId="136" xfId="0" applyNumberFormat="1" applyFont="1" applyFill="1" applyBorder="1" applyAlignment="1" applyProtection="1">
      <alignment horizontal="center" vertical="top" wrapText="1" readingOrder="1"/>
      <protection locked="0"/>
    </xf>
    <xf numFmtId="0" fontId="27" fillId="0" borderId="140" xfId="0" applyNumberFormat="1" applyFont="1" applyFill="1" applyBorder="1" applyAlignment="1" applyProtection="1">
      <alignment horizontal="center" vertical="top" wrapText="1" readingOrder="1"/>
      <protection locked="0"/>
    </xf>
    <xf numFmtId="0" fontId="26" fillId="0" borderId="158" xfId="0" applyNumberFormat="1" applyFont="1" applyFill="1" applyBorder="1" applyAlignment="1" applyProtection="1">
      <alignment horizontal="left" vertical="top" wrapText="1" readingOrder="1"/>
      <protection locked="0"/>
    </xf>
    <xf numFmtId="0" fontId="26" fillId="0" borderId="156" xfId="0" applyNumberFormat="1" applyFont="1" applyFill="1" applyBorder="1" applyAlignment="1" applyProtection="1">
      <alignment horizontal="left" vertical="top" wrapText="1" readingOrder="1"/>
      <protection locked="0"/>
    </xf>
    <xf numFmtId="0" fontId="26" fillId="0" borderId="157" xfId="0" applyNumberFormat="1" applyFont="1" applyFill="1" applyBorder="1" applyAlignment="1" applyProtection="1">
      <alignment horizontal="left" vertical="top" wrapText="1" readingOrder="1"/>
      <protection locked="0"/>
    </xf>
    <xf numFmtId="0" fontId="26" fillId="0" borderId="136" xfId="0" applyNumberFormat="1" applyFont="1" applyFill="1" applyBorder="1" applyAlignment="1" applyProtection="1">
      <alignment horizontal="center" vertical="top" wrapText="1" readingOrder="1"/>
      <protection locked="0"/>
    </xf>
    <xf numFmtId="0" fontId="26" fillId="0" borderId="140" xfId="0" applyNumberFormat="1" applyFont="1" applyFill="1" applyBorder="1" applyAlignment="1" applyProtection="1">
      <alignment horizontal="center" vertical="top" wrapText="1" readingOrder="1"/>
      <protection locked="0"/>
    </xf>
    <xf numFmtId="0" fontId="27" fillId="6" borderId="90" xfId="0" applyNumberFormat="1" applyFont="1" applyFill="1" applyBorder="1" applyAlignment="1" applyProtection="1">
      <alignment horizontal="center" vertical="top" wrapText="1" readingOrder="1"/>
      <protection locked="0"/>
    </xf>
    <xf numFmtId="0" fontId="27" fillId="6" borderId="159" xfId="0" applyNumberFormat="1" applyFont="1" applyFill="1" applyBorder="1" applyAlignment="1" applyProtection="1">
      <alignment horizontal="center" vertical="top" wrapText="1" readingOrder="1"/>
      <protection locked="0"/>
    </xf>
    <xf numFmtId="0" fontId="26" fillId="6" borderId="122" xfId="0" applyNumberFormat="1" applyFont="1" applyFill="1" applyBorder="1" applyAlignment="1" applyProtection="1">
      <alignment horizontal="left" vertical="top" wrapText="1" readingOrder="1"/>
      <protection locked="0"/>
    </xf>
    <xf numFmtId="0" fontId="26" fillId="6" borderId="160" xfId="0" applyNumberFormat="1" applyFont="1" applyFill="1" applyBorder="1" applyAlignment="1" applyProtection="1">
      <alignment horizontal="left" vertical="top" wrapText="1" readingOrder="1"/>
      <protection locked="0"/>
    </xf>
    <xf numFmtId="0" fontId="24" fillId="20" borderId="119" xfId="0" applyNumberFormat="1" applyFont="1" applyFill="1" applyBorder="1" applyAlignment="1" applyProtection="1">
      <alignment horizontal="center" vertical="top" wrapText="1" readingOrder="1"/>
      <protection locked="0"/>
    </xf>
    <xf numFmtId="0" fontId="24" fillId="20" borderId="132" xfId="0" applyNumberFormat="1" applyFont="1" applyFill="1" applyBorder="1" applyAlignment="1" applyProtection="1">
      <alignment horizontal="center" vertical="top" wrapText="1" readingOrder="1"/>
      <protection locked="0"/>
    </xf>
    <xf numFmtId="0" fontId="25" fillId="20" borderId="120" xfId="0" applyNumberFormat="1" applyFont="1" applyFill="1" applyBorder="1" applyAlignment="1" applyProtection="1">
      <alignment horizontal="left" vertical="top" wrapText="1" readingOrder="1"/>
      <protection locked="0"/>
    </xf>
    <xf numFmtId="0" fontId="25" fillId="20" borderId="130" xfId="0" applyNumberFormat="1" applyFont="1" applyFill="1" applyBorder="1" applyAlignment="1" applyProtection="1">
      <alignment horizontal="left" vertical="top" wrapText="1" readingOrder="1"/>
      <protection locked="0"/>
    </xf>
    <xf numFmtId="0" fontId="25" fillId="20" borderId="120" xfId="0" applyNumberFormat="1" applyFont="1" applyFill="1" applyBorder="1" applyAlignment="1" applyProtection="1">
      <alignment horizontal="center" vertical="top" wrapText="1" readingOrder="1"/>
      <protection locked="0"/>
    </xf>
    <xf numFmtId="0" fontId="25" fillId="20" borderId="130" xfId="0" applyNumberFormat="1" applyFont="1" applyFill="1" applyBorder="1" applyAlignment="1" applyProtection="1">
      <alignment horizontal="center" vertical="top" wrapText="1" readingOrder="1"/>
      <protection locked="0"/>
    </xf>
    <xf numFmtId="0" fontId="24" fillId="20" borderId="120" xfId="0" applyNumberFormat="1" applyFont="1" applyFill="1" applyBorder="1" applyAlignment="1" applyProtection="1">
      <alignment horizontal="center" vertical="top" wrapText="1" readingOrder="1"/>
      <protection locked="0"/>
    </xf>
    <xf numFmtId="0" fontId="24" fillId="20" borderId="130" xfId="0" applyNumberFormat="1" applyFont="1" applyFill="1" applyBorder="1" applyAlignment="1" applyProtection="1">
      <alignment horizontal="center" vertical="top" wrapText="1" readingOrder="1"/>
      <protection locked="0"/>
    </xf>
    <xf numFmtId="165" fontId="25" fillId="20" borderId="120" xfId="0" applyNumberFormat="1" applyFont="1" applyFill="1" applyBorder="1" applyAlignment="1" applyProtection="1">
      <alignment horizontal="center" vertical="top" wrapText="1" readingOrder="1"/>
    </xf>
    <xf numFmtId="165" fontId="25" fillId="20" borderId="130" xfId="0" applyNumberFormat="1" applyFont="1" applyFill="1" applyBorder="1" applyAlignment="1" applyProtection="1">
      <alignment horizontal="center" vertical="top" wrapText="1" readingOrder="1"/>
    </xf>
    <xf numFmtId="0" fontId="27" fillId="0" borderId="163" xfId="0" applyNumberFormat="1" applyFont="1" applyFill="1" applyBorder="1" applyAlignment="1" applyProtection="1">
      <alignment horizontal="center" vertical="top" wrapText="1" readingOrder="1"/>
      <protection locked="0"/>
    </xf>
    <xf numFmtId="0" fontId="26" fillId="0" borderId="164" xfId="0" applyNumberFormat="1" applyFont="1" applyFill="1" applyBorder="1" applyAlignment="1" applyProtection="1">
      <alignment horizontal="left" vertical="top" wrapText="1" readingOrder="1"/>
      <protection locked="0"/>
    </xf>
    <xf numFmtId="0" fontId="26" fillId="4" borderId="123" xfId="0" applyNumberFormat="1" applyFont="1" applyFill="1" applyBorder="1" applyAlignment="1" applyProtection="1">
      <alignment horizontal="left" vertical="top" wrapText="1" readingOrder="1"/>
      <protection locked="0"/>
    </xf>
    <xf numFmtId="0" fontId="26" fillId="4" borderId="130" xfId="0" applyNumberFormat="1" applyFont="1" applyFill="1" applyBorder="1" applyAlignment="1" applyProtection="1">
      <alignment horizontal="left" vertical="top" wrapText="1" readingOrder="1"/>
      <protection locked="0"/>
    </xf>
    <xf numFmtId="0" fontId="26" fillId="4" borderId="124" xfId="0" applyNumberFormat="1" applyFont="1" applyFill="1" applyBorder="1" applyAlignment="1" applyProtection="1">
      <alignment horizontal="left" vertical="top" wrapText="1" readingOrder="1"/>
      <protection locked="0"/>
    </xf>
    <xf numFmtId="0" fontId="26" fillId="4" borderId="131" xfId="0" applyNumberFormat="1" applyFont="1" applyFill="1" applyBorder="1" applyAlignment="1" applyProtection="1">
      <alignment horizontal="left" vertical="top" wrapText="1" readingOrder="1"/>
      <protection locked="0"/>
    </xf>
    <xf numFmtId="0" fontId="27" fillId="7" borderId="119" xfId="0" applyNumberFormat="1" applyFont="1" applyFill="1" applyBorder="1" applyAlignment="1" applyProtection="1">
      <alignment horizontal="center" vertical="top" wrapText="1" readingOrder="1"/>
      <protection locked="0"/>
    </xf>
    <xf numFmtId="0" fontId="27" fillId="7" borderId="121" xfId="0" applyNumberFormat="1" applyFont="1" applyFill="1" applyBorder="1" applyAlignment="1" applyProtection="1">
      <alignment horizontal="center" vertical="top" wrapText="1" readingOrder="1"/>
      <protection locked="0"/>
    </xf>
    <xf numFmtId="0" fontId="27" fillId="7" borderId="132" xfId="0" applyNumberFormat="1" applyFont="1" applyFill="1" applyBorder="1" applyAlignment="1" applyProtection="1">
      <alignment horizontal="center" vertical="top" wrapText="1" readingOrder="1"/>
      <protection locked="0"/>
    </xf>
    <xf numFmtId="0" fontId="26" fillId="10" borderId="136" xfId="0" applyNumberFormat="1" applyFont="1" applyFill="1" applyBorder="1" applyAlignment="1" applyProtection="1">
      <alignment horizontal="left" vertical="top" wrapText="1" readingOrder="1"/>
      <protection locked="0"/>
    </xf>
    <xf numFmtId="0" fontId="26" fillId="10" borderId="140" xfId="0" applyNumberFormat="1" applyFont="1" applyFill="1" applyBorder="1" applyAlignment="1" applyProtection="1">
      <alignment horizontal="left" vertical="top" wrapText="1" readingOrder="1"/>
      <protection locked="0"/>
    </xf>
    <xf numFmtId="0" fontId="26" fillId="10" borderId="158" xfId="0" applyNumberFormat="1" applyFont="1" applyFill="1" applyBorder="1" applyAlignment="1" applyProtection="1">
      <alignment horizontal="left" vertical="top" wrapText="1" readingOrder="1"/>
      <protection locked="0"/>
    </xf>
    <xf numFmtId="0" fontId="26" fillId="10" borderId="156" xfId="0" applyNumberFormat="1" applyFont="1" applyFill="1" applyBorder="1" applyAlignment="1" applyProtection="1">
      <alignment horizontal="left" vertical="top" wrapText="1" readingOrder="1"/>
      <protection locked="0"/>
    </xf>
    <xf numFmtId="0" fontId="26" fillId="10" borderId="157" xfId="0" applyNumberFormat="1" applyFont="1" applyFill="1" applyBorder="1" applyAlignment="1" applyProtection="1">
      <alignment horizontal="left" vertical="top" wrapText="1" readingOrder="1"/>
      <protection locked="0"/>
    </xf>
    <xf numFmtId="0" fontId="27" fillId="10" borderId="89" xfId="0" applyNumberFormat="1" applyFont="1" applyFill="1" applyBorder="1" applyAlignment="1" applyProtection="1">
      <alignment horizontal="center" vertical="top" wrapText="1" readingOrder="1"/>
      <protection locked="0"/>
    </xf>
    <xf numFmtId="0" fontId="27" fillId="10" borderId="90" xfId="0" applyNumberFormat="1" applyFont="1" applyFill="1" applyBorder="1" applyAlignment="1" applyProtection="1">
      <alignment horizontal="center" vertical="top" wrapText="1" readingOrder="1"/>
      <protection locked="0"/>
    </xf>
    <xf numFmtId="0" fontId="27" fillId="10" borderId="139" xfId="0" applyNumberFormat="1" applyFont="1" applyFill="1" applyBorder="1" applyAlignment="1" applyProtection="1">
      <alignment horizontal="center" vertical="top" wrapText="1" readingOrder="1"/>
      <protection locked="0"/>
    </xf>
    <xf numFmtId="0" fontId="26" fillId="7" borderId="81" xfId="0" applyNumberFormat="1" applyFont="1" applyFill="1" applyBorder="1" applyAlignment="1" applyProtection="1">
      <alignment horizontal="left" vertical="top" wrapText="1" readingOrder="1"/>
      <protection locked="0"/>
    </xf>
    <xf numFmtId="0" fontId="26" fillId="7" borderId="165" xfId="0" applyNumberFormat="1" applyFont="1" applyFill="1" applyBorder="1" applyAlignment="1" applyProtection="1">
      <alignment horizontal="left" vertical="top" wrapText="1" readingOrder="1"/>
      <protection locked="0"/>
    </xf>
    <xf numFmtId="0" fontId="26" fillId="7" borderId="79" xfId="0" applyNumberFormat="1" applyFont="1" applyFill="1" applyBorder="1" applyAlignment="1" applyProtection="1">
      <alignment horizontal="left" vertical="top" wrapText="1" readingOrder="1"/>
      <protection locked="0"/>
    </xf>
    <xf numFmtId="0" fontId="26" fillId="7" borderId="147" xfId="0" applyNumberFormat="1" applyFont="1" applyFill="1" applyBorder="1" applyAlignment="1" applyProtection="1">
      <alignment horizontal="left" vertical="top" wrapText="1" readingOrder="1"/>
      <protection locked="0"/>
    </xf>
    <xf numFmtId="0" fontId="26" fillId="7" borderId="87" xfId="0" applyNumberFormat="1" applyFont="1" applyFill="1" applyBorder="1" applyAlignment="1" applyProtection="1">
      <alignment horizontal="left" vertical="top" wrapText="1" readingOrder="1"/>
      <protection locked="0"/>
    </xf>
    <xf numFmtId="0" fontId="26" fillId="7" borderId="148" xfId="0" applyNumberFormat="1" applyFont="1" applyFill="1" applyBorder="1" applyAlignment="1" applyProtection="1">
      <alignment horizontal="left" vertical="top" wrapText="1" readingOrder="1"/>
      <protection locked="0"/>
    </xf>
    <xf numFmtId="0" fontId="26" fillId="7" borderId="145" xfId="0" applyNumberFormat="1" applyFont="1" applyFill="1" applyBorder="1" applyAlignment="1" applyProtection="1">
      <alignment horizontal="left" vertical="top" wrapText="1" readingOrder="1"/>
      <protection locked="0"/>
    </xf>
    <xf numFmtId="0" fontId="26" fillId="7" borderId="149" xfId="0" applyNumberFormat="1" applyFont="1" applyFill="1" applyBorder="1" applyAlignment="1" applyProtection="1">
      <alignment horizontal="left" vertical="top" wrapText="1" readingOrder="1"/>
      <protection locked="0"/>
    </xf>
    <xf numFmtId="0" fontId="27" fillId="10" borderId="121" xfId="0" applyNumberFormat="1" applyFont="1" applyFill="1" applyBorder="1" applyAlignment="1" applyProtection="1">
      <alignment horizontal="center" vertical="top" wrapText="1" readingOrder="1"/>
      <protection locked="0"/>
    </xf>
    <xf numFmtId="0" fontId="26" fillId="10" borderId="129" xfId="0" applyNumberFormat="1" applyFont="1" applyFill="1" applyBorder="1" applyAlignment="1" applyProtection="1">
      <alignment horizontal="left" vertical="top" wrapText="1" readingOrder="1"/>
      <protection locked="0"/>
    </xf>
    <xf numFmtId="0" fontId="26" fillId="10" borderId="125" xfId="0" applyNumberFormat="1" applyFont="1" applyFill="1" applyBorder="1" applyAlignment="1" applyProtection="1">
      <alignment horizontal="left" vertical="top" wrapText="1" readingOrder="1"/>
      <protection locked="0"/>
    </xf>
    <xf numFmtId="0" fontId="26" fillId="10" borderId="131" xfId="0" applyNumberFormat="1" applyFont="1" applyFill="1" applyBorder="1" applyAlignment="1" applyProtection="1">
      <alignment horizontal="left" vertical="top" wrapText="1" readingOrder="1"/>
      <protection locked="0"/>
    </xf>
    <xf numFmtId="0" fontId="8" fillId="4" borderId="0" xfId="0" applyFont="1" applyFill="1" applyAlignment="1">
      <alignment horizontal="left" vertical="top" wrapText="1"/>
    </xf>
    <xf numFmtId="0" fontId="16" fillId="4" borderId="0" xfId="0" applyFont="1" applyFill="1" applyBorder="1" applyAlignment="1">
      <alignment horizontal="left" vertical="top" wrapText="1"/>
    </xf>
    <xf numFmtId="0" fontId="10" fillId="4" borderId="0" xfId="0" applyFont="1" applyFill="1" applyAlignment="1">
      <alignment horizontal="center" vertical="top"/>
    </xf>
    <xf numFmtId="0" fontId="10" fillId="4" borderId="0" xfId="0" applyFont="1" applyFill="1" applyAlignment="1">
      <alignment horizontal="center" vertical="top" wrapText="1"/>
    </xf>
    <xf numFmtId="0" fontId="10" fillId="4" borderId="0" xfId="0" applyFont="1" applyFill="1" applyBorder="1" applyAlignment="1">
      <alignment horizontal="left" vertical="top" wrapText="1"/>
    </xf>
    <xf numFmtId="0" fontId="8" fillId="4" borderId="0" xfId="0" applyFont="1" applyFill="1" applyBorder="1" applyAlignment="1">
      <alignment horizontal="left" vertical="top" wrapText="1"/>
    </xf>
    <xf numFmtId="0" fontId="8" fillId="4" borderId="0" xfId="1" applyFont="1" applyFill="1" applyBorder="1" applyAlignment="1">
      <alignment horizontal="left" wrapText="1"/>
    </xf>
    <xf numFmtId="0" fontId="8" fillId="4" borderId="0" xfId="1" applyFont="1" applyFill="1" applyAlignment="1">
      <alignment horizontal="left" vertical="center" wrapText="1"/>
    </xf>
    <xf numFmtId="3" fontId="4" fillId="4" borderId="16" xfId="0" applyNumberFormat="1" applyFont="1" applyFill="1" applyBorder="1" applyAlignment="1">
      <alignment horizontal="left" vertical="top" wrapText="1"/>
    </xf>
    <xf numFmtId="3" fontId="4" fillId="4" borderId="24" xfId="0" applyNumberFormat="1" applyFont="1" applyFill="1" applyBorder="1" applyAlignment="1">
      <alignment horizontal="left" vertical="top" wrapText="1"/>
    </xf>
    <xf numFmtId="3" fontId="4" fillId="4" borderId="57" xfId="0" applyNumberFormat="1" applyFont="1" applyFill="1" applyBorder="1" applyAlignment="1">
      <alignment horizontal="left" vertical="top" wrapText="1"/>
    </xf>
    <xf numFmtId="3" fontId="4" fillId="4" borderId="69" xfId="0" applyNumberFormat="1" applyFont="1" applyFill="1" applyBorder="1" applyAlignment="1">
      <alignment horizontal="left" vertical="top" wrapText="1"/>
    </xf>
    <xf numFmtId="167" fontId="4" fillId="22" borderId="38" xfId="3" applyNumberFormat="1" applyFont="1" applyFill="1" applyBorder="1" applyAlignment="1">
      <alignment horizontal="left" vertical="top" wrapText="1"/>
    </xf>
    <xf numFmtId="167" fontId="4" fillId="22" borderId="42" xfId="3" applyNumberFormat="1" applyFont="1" applyFill="1" applyBorder="1" applyAlignment="1">
      <alignment horizontal="left" vertical="top" wrapText="1"/>
    </xf>
    <xf numFmtId="167" fontId="4" fillId="22" borderId="40" xfId="3" applyNumberFormat="1" applyFont="1" applyFill="1" applyBorder="1" applyAlignment="1">
      <alignment horizontal="left" vertical="top" wrapText="1"/>
    </xf>
    <xf numFmtId="167" fontId="4" fillId="22" borderId="31" xfId="3" applyNumberFormat="1" applyFont="1" applyFill="1" applyBorder="1" applyAlignment="1">
      <alignment horizontal="left" vertical="top" wrapText="1"/>
    </xf>
    <xf numFmtId="167" fontId="4" fillId="22" borderId="61" xfId="3" applyNumberFormat="1" applyFont="1" applyFill="1" applyBorder="1" applyAlignment="1">
      <alignment horizontal="left" vertical="top" wrapText="1"/>
    </xf>
    <xf numFmtId="167" fontId="4" fillId="9" borderId="62" xfId="3" applyNumberFormat="1" applyFont="1" applyFill="1" applyBorder="1" applyAlignment="1">
      <alignment horizontal="left" vertical="top" wrapText="1"/>
    </xf>
    <xf numFmtId="167" fontId="4" fillId="9" borderId="28" xfId="3" applyNumberFormat="1" applyFont="1" applyFill="1" applyBorder="1" applyAlignment="1">
      <alignment horizontal="left" vertical="top" wrapText="1"/>
    </xf>
    <xf numFmtId="167" fontId="4" fillId="9" borderId="57" xfId="3" applyNumberFormat="1" applyFont="1" applyFill="1" applyBorder="1" applyAlignment="1">
      <alignment horizontal="left" vertical="top" wrapText="1"/>
    </xf>
    <xf numFmtId="167" fontId="4" fillId="9" borderId="69" xfId="3" applyNumberFormat="1" applyFont="1" applyFill="1" applyBorder="1" applyAlignment="1">
      <alignment horizontal="left" vertical="top" wrapText="1"/>
    </xf>
    <xf numFmtId="167" fontId="4" fillId="23" borderId="65" xfId="3" applyNumberFormat="1" applyFont="1" applyFill="1" applyBorder="1" applyAlignment="1">
      <alignment horizontal="left" vertical="top" wrapText="1"/>
    </xf>
    <xf numFmtId="167" fontId="4" fillId="23" borderId="26" xfId="3" applyNumberFormat="1" applyFont="1" applyFill="1" applyBorder="1" applyAlignment="1">
      <alignment horizontal="left" vertical="top" wrapText="1"/>
    </xf>
    <xf numFmtId="3" fontId="4" fillId="4" borderId="65" xfId="0" applyNumberFormat="1" applyFont="1" applyFill="1" applyBorder="1" applyAlignment="1">
      <alignment horizontal="left" vertical="top" wrapText="1"/>
    </xf>
    <xf numFmtId="3" fontId="4" fillId="4" borderId="26" xfId="0" applyNumberFormat="1" applyFont="1" applyFill="1" applyBorder="1" applyAlignment="1">
      <alignment horizontal="left" vertical="top" wrapText="1"/>
    </xf>
    <xf numFmtId="3" fontId="4" fillId="4" borderId="38" xfId="0" applyNumberFormat="1" applyFont="1" applyFill="1" applyBorder="1" applyAlignment="1">
      <alignment horizontal="left" vertical="top" wrapText="1"/>
    </xf>
    <xf numFmtId="3" fontId="4" fillId="4" borderId="41" xfId="0" applyNumberFormat="1" applyFont="1" applyFill="1" applyBorder="1" applyAlignment="1">
      <alignment horizontal="left" vertical="top" wrapText="1"/>
    </xf>
    <xf numFmtId="3" fontId="4" fillId="7" borderId="12" xfId="0" applyNumberFormat="1" applyFont="1" applyFill="1" applyBorder="1" applyAlignment="1">
      <alignment horizontal="left" vertical="top" wrapText="1"/>
    </xf>
    <xf numFmtId="3" fontId="4" fillId="7" borderId="73" xfId="0" applyNumberFormat="1" applyFont="1" applyFill="1" applyBorder="1" applyAlignment="1">
      <alignment horizontal="left" vertical="top" wrapText="1"/>
    </xf>
    <xf numFmtId="3" fontId="4" fillId="7" borderId="65" xfId="0" applyNumberFormat="1" applyFont="1" applyFill="1" applyBorder="1" applyAlignment="1">
      <alignment horizontal="left" vertical="top" wrapText="1"/>
    </xf>
    <xf numFmtId="3" fontId="4" fillId="7" borderId="26" xfId="0" applyNumberFormat="1" applyFont="1" applyFill="1" applyBorder="1" applyAlignment="1">
      <alignment horizontal="left" vertical="top" wrapText="1"/>
    </xf>
    <xf numFmtId="167" fontId="4" fillId="9" borderId="38" xfId="3" applyNumberFormat="1" applyFont="1" applyFill="1" applyBorder="1" applyAlignment="1">
      <alignment horizontal="left" vertical="top" wrapText="1"/>
    </xf>
    <xf numFmtId="167" fontId="4" fillId="9" borderId="94" xfId="3" applyNumberFormat="1" applyFont="1" applyFill="1" applyBorder="1" applyAlignment="1">
      <alignment horizontal="left" vertical="top" wrapText="1"/>
    </xf>
    <xf numFmtId="3" fontId="4" fillId="19" borderId="75" xfId="0" applyNumberFormat="1" applyFont="1" applyFill="1" applyBorder="1" applyAlignment="1">
      <alignment horizontal="left" vertical="top" wrapText="1"/>
    </xf>
    <xf numFmtId="3" fontId="4" fillId="19" borderId="74" xfId="0" applyNumberFormat="1" applyFont="1" applyFill="1" applyBorder="1" applyAlignment="1">
      <alignment horizontal="left" vertical="top" wrapText="1"/>
    </xf>
    <xf numFmtId="3" fontId="2" fillId="8" borderId="12" xfId="0" applyNumberFormat="1" applyFont="1" applyFill="1" applyBorder="1" applyAlignment="1">
      <alignment horizontal="right" vertical="top" wrapText="1"/>
    </xf>
    <xf numFmtId="3" fontId="2" fillId="8" borderId="55" xfId="0" applyNumberFormat="1" applyFont="1" applyFill="1" applyBorder="1" applyAlignment="1">
      <alignment horizontal="right" vertical="top" wrapText="1"/>
    </xf>
    <xf numFmtId="3" fontId="2" fillId="8" borderId="73" xfId="0" applyNumberFormat="1" applyFont="1" applyFill="1" applyBorder="1" applyAlignment="1">
      <alignment horizontal="right" vertical="top" wrapText="1"/>
    </xf>
    <xf numFmtId="3" fontId="1" fillId="3" borderId="75" xfId="0" applyNumberFormat="1" applyFont="1" applyFill="1" applyBorder="1" applyAlignment="1">
      <alignment horizontal="left" vertical="top" wrapText="1"/>
    </xf>
    <xf numFmtId="3" fontId="1" fillId="3" borderId="59" xfId="0" applyNumberFormat="1" applyFont="1" applyFill="1" applyBorder="1" applyAlignment="1">
      <alignment horizontal="left" vertical="top" wrapText="1"/>
    </xf>
    <xf numFmtId="3" fontId="1" fillId="3" borderId="74" xfId="0" applyNumberFormat="1" applyFont="1" applyFill="1" applyBorder="1" applyAlignment="1">
      <alignment horizontal="left" vertical="top" wrapText="1"/>
    </xf>
    <xf numFmtId="3" fontId="4" fillId="0" borderId="65" xfId="0" applyNumberFormat="1" applyFont="1" applyBorder="1" applyAlignment="1">
      <alignment horizontal="left" vertical="top" wrapText="1"/>
    </xf>
    <xf numFmtId="3" fontId="4" fillId="0" borderId="35" xfId="0" applyNumberFormat="1" applyFont="1" applyBorder="1" applyAlignment="1">
      <alignment horizontal="left" vertical="top" wrapText="1"/>
    </xf>
    <xf numFmtId="3" fontId="4" fillId="0" borderId="26" xfId="0" applyNumberFormat="1" applyFont="1" applyBorder="1" applyAlignment="1">
      <alignment horizontal="left" vertical="top" wrapText="1"/>
    </xf>
    <xf numFmtId="3" fontId="2" fillId="5" borderId="12" xfId="0" applyNumberFormat="1" applyFont="1" applyFill="1" applyBorder="1" applyAlignment="1">
      <alignment horizontal="right" vertical="top" wrapText="1"/>
    </xf>
    <xf numFmtId="3" fontId="2" fillId="5" borderId="55" xfId="0" applyNumberFormat="1" applyFont="1" applyFill="1" applyBorder="1" applyAlignment="1">
      <alignment horizontal="right" vertical="top" wrapText="1"/>
    </xf>
    <xf numFmtId="3" fontId="2" fillId="5" borderId="73" xfId="0" applyNumberFormat="1" applyFont="1" applyFill="1" applyBorder="1" applyAlignment="1">
      <alignment horizontal="right" vertical="top" wrapText="1"/>
    </xf>
    <xf numFmtId="3" fontId="1" fillId="0" borderId="0" xfId="0" applyNumberFormat="1" applyFont="1" applyBorder="1" applyAlignment="1">
      <alignment horizontal="center" vertical="top" wrapText="1"/>
    </xf>
    <xf numFmtId="3" fontId="1" fillId="0" borderId="62" xfId="0" applyNumberFormat="1" applyFont="1" applyBorder="1" applyAlignment="1">
      <alignment horizontal="left" vertical="top" wrapText="1"/>
    </xf>
    <xf numFmtId="3" fontId="1" fillId="0" borderId="27" xfId="0" applyNumberFormat="1" applyFont="1" applyBorder="1" applyAlignment="1">
      <alignment horizontal="left" vertical="top" wrapText="1"/>
    </xf>
    <xf numFmtId="3" fontId="1" fillId="0" borderId="28" xfId="0" applyNumberFormat="1" applyFont="1" applyBorder="1" applyAlignment="1">
      <alignment horizontal="left" vertical="top" wrapText="1"/>
    </xf>
    <xf numFmtId="3" fontId="1" fillId="0" borderId="65" xfId="0" applyNumberFormat="1" applyFont="1" applyBorder="1" applyAlignment="1">
      <alignment horizontal="left" vertical="top" wrapText="1"/>
    </xf>
    <xf numFmtId="3" fontId="1" fillId="0" borderId="35" xfId="0" applyNumberFormat="1" applyFont="1" applyBorder="1" applyAlignment="1">
      <alignment horizontal="left" vertical="top" wrapText="1"/>
    </xf>
    <xf numFmtId="3" fontId="1" fillId="0" borderId="26" xfId="0" applyNumberFormat="1" applyFont="1" applyBorder="1" applyAlignment="1">
      <alignment horizontal="left" vertical="top" wrapText="1"/>
    </xf>
    <xf numFmtId="3" fontId="1" fillId="5" borderId="65" xfId="0" applyNumberFormat="1" applyFont="1" applyFill="1" applyBorder="1" applyAlignment="1">
      <alignment horizontal="left" vertical="top" wrapText="1"/>
    </xf>
    <xf numFmtId="3" fontId="1" fillId="5" borderId="35" xfId="0" applyNumberFormat="1" applyFont="1" applyFill="1" applyBorder="1" applyAlignment="1">
      <alignment horizontal="left" vertical="top" wrapText="1"/>
    </xf>
    <xf numFmtId="3" fontId="1" fillId="5" borderId="26" xfId="0" applyNumberFormat="1" applyFont="1" applyFill="1" applyBorder="1" applyAlignment="1">
      <alignment horizontal="left" vertical="top" wrapText="1"/>
    </xf>
    <xf numFmtId="3" fontId="1" fillId="3" borderId="60" xfId="0" applyNumberFormat="1" applyFont="1" applyFill="1" applyBorder="1" applyAlignment="1">
      <alignment horizontal="left" vertical="top" wrapText="1"/>
    </xf>
    <xf numFmtId="3" fontId="1" fillId="3" borderId="43" xfId="0" applyNumberFormat="1" applyFont="1" applyFill="1" applyBorder="1" applyAlignment="1">
      <alignment horizontal="left" vertical="top" wrapText="1"/>
    </xf>
    <xf numFmtId="3" fontId="1" fillId="4" borderId="62" xfId="0" applyNumberFormat="1" applyFont="1" applyFill="1" applyBorder="1" applyAlignment="1">
      <alignment horizontal="left" vertical="top" wrapText="1"/>
    </xf>
    <xf numFmtId="3" fontId="1" fillId="4" borderId="17" xfId="0" applyNumberFormat="1" applyFont="1" applyFill="1" applyBorder="1" applyAlignment="1">
      <alignment horizontal="left" vertical="top" wrapText="1"/>
    </xf>
    <xf numFmtId="3" fontId="1" fillId="4" borderId="63" xfId="0" applyNumberFormat="1" applyFont="1" applyFill="1" applyBorder="1" applyAlignment="1">
      <alignment horizontal="left" vertical="top" wrapText="1"/>
    </xf>
    <xf numFmtId="3" fontId="2" fillId="2" borderId="14" xfId="0" applyNumberFormat="1" applyFont="1" applyFill="1" applyBorder="1" applyAlignment="1">
      <alignment horizontal="right" vertical="top" wrapText="1"/>
    </xf>
    <xf numFmtId="3" fontId="2" fillId="2" borderId="55" xfId="0" applyNumberFormat="1" applyFont="1" applyFill="1" applyBorder="1" applyAlignment="1">
      <alignment horizontal="right" vertical="top" wrapText="1"/>
    </xf>
    <xf numFmtId="3" fontId="2" fillId="19" borderId="14" xfId="0" applyNumberFormat="1" applyFont="1" applyFill="1" applyBorder="1" applyAlignment="1">
      <alignment horizontal="right" vertical="top" wrapText="1"/>
    </xf>
    <xf numFmtId="3" fontId="2" fillId="19" borderId="55" xfId="0" applyNumberFormat="1" applyFont="1" applyFill="1" applyBorder="1" applyAlignment="1">
      <alignment horizontal="right" vertical="top" wrapText="1"/>
    </xf>
    <xf numFmtId="3" fontId="2" fillId="8" borderId="14" xfId="0" applyNumberFormat="1" applyFont="1" applyFill="1" applyBorder="1" applyAlignment="1">
      <alignment horizontal="right" vertical="top" wrapText="1"/>
    </xf>
    <xf numFmtId="3" fontId="4" fillId="3" borderId="0" xfId="1" applyNumberFormat="1" applyFont="1" applyFill="1" applyBorder="1" applyAlignment="1">
      <alignment horizontal="left" vertical="top" wrapText="1"/>
    </xf>
    <xf numFmtId="0" fontId="3" fillId="0" borderId="0" xfId="1" applyFont="1" applyBorder="1" applyAlignment="1">
      <alignment horizontal="left" vertical="top" wrapText="1"/>
    </xf>
    <xf numFmtId="3" fontId="2" fillId="0" borderId="44" xfId="0" applyNumberFormat="1" applyFont="1" applyFill="1" applyBorder="1" applyAlignment="1">
      <alignment horizontal="center" wrapText="1"/>
    </xf>
    <xf numFmtId="3" fontId="2" fillId="0" borderId="12" xfId="0" applyNumberFormat="1" applyFont="1" applyBorder="1" applyAlignment="1">
      <alignment horizontal="center" vertical="center" wrapText="1"/>
    </xf>
    <xf numFmtId="3" fontId="2" fillId="0" borderId="55" xfId="0" applyNumberFormat="1" applyFont="1" applyBorder="1" applyAlignment="1">
      <alignment horizontal="center" vertical="center" wrapText="1"/>
    </xf>
    <xf numFmtId="3" fontId="2" fillId="0" borderId="73" xfId="0" applyNumberFormat="1" applyFont="1" applyBorder="1" applyAlignment="1">
      <alignment horizontal="center" vertical="center" wrapText="1"/>
    </xf>
    <xf numFmtId="3" fontId="2" fillId="8" borderId="75" xfId="0" applyNumberFormat="1" applyFont="1" applyFill="1" applyBorder="1" applyAlignment="1">
      <alignment horizontal="right" vertical="top" wrapText="1"/>
    </xf>
    <xf numFmtId="3" fontId="2" fillId="8" borderId="59" xfId="0" applyNumberFormat="1" applyFont="1" applyFill="1" applyBorder="1" applyAlignment="1">
      <alignment horizontal="right" vertical="top" wrapText="1"/>
    </xf>
    <xf numFmtId="3" fontId="2" fillId="8" borderId="74" xfId="0" applyNumberFormat="1" applyFont="1" applyFill="1" applyBorder="1" applyAlignment="1">
      <alignment horizontal="right" vertical="top" wrapText="1"/>
    </xf>
    <xf numFmtId="3" fontId="2" fillId="5" borderId="65" xfId="0" applyNumberFormat="1" applyFont="1" applyFill="1" applyBorder="1" applyAlignment="1">
      <alignment horizontal="right" vertical="top" wrapText="1"/>
    </xf>
    <xf numFmtId="3" fontId="2" fillId="5" borderId="35" xfId="0" applyNumberFormat="1" applyFont="1" applyFill="1" applyBorder="1" applyAlignment="1">
      <alignment horizontal="right" vertical="top" wrapText="1"/>
    </xf>
    <xf numFmtId="3" fontId="2" fillId="5" borderId="26" xfId="0" applyNumberFormat="1" applyFont="1" applyFill="1" applyBorder="1" applyAlignment="1">
      <alignment horizontal="right" vertical="top" wrapText="1"/>
    </xf>
    <xf numFmtId="3" fontId="4" fillId="6" borderId="65" xfId="0" applyNumberFormat="1" applyFont="1" applyFill="1" applyBorder="1" applyAlignment="1">
      <alignment horizontal="left" vertical="top" wrapText="1"/>
    </xf>
    <xf numFmtId="3" fontId="4" fillId="6" borderId="26" xfId="0" applyNumberFormat="1" applyFont="1" applyFill="1" applyBorder="1" applyAlignment="1">
      <alignment horizontal="left" vertical="top" wrapText="1"/>
    </xf>
    <xf numFmtId="3" fontId="4" fillId="7" borderId="62" xfId="0" applyNumberFormat="1" applyFont="1" applyFill="1" applyBorder="1" applyAlignment="1">
      <alignment horizontal="left" vertical="top" wrapText="1"/>
    </xf>
    <xf numFmtId="3" fontId="4" fillId="7" borderId="28" xfId="0" applyNumberFormat="1" applyFont="1" applyFill="1" applyBorder="1" applyAlignment="1">
      <alignment horizontal="left" vertical="top" wrapText="1"/>
    </xf>
    <xf numFmtId="3" fontId="4" fillId="7" borderId="57" xfId="0" applyNumberFormat="1" applyFont="1" applyFill="1" applyBorder="1" applyAlignment="1">
      <alignment horizontal="left" vertical="top" wrapText="1"/>
    </xf>
    <xf numFmtId="3" fontId="4" fillId="7" borderId="69" xfId="0" applyNumberFormat="1" applyFont="1" applyFill="1" applyBorder="1" applyAlignment="1">
      <alignment horizontal="left" vertical="top" wrapText="1"/>
    </xf>
    <xf numFmtId="3" fontId="4" fillId="4" borderId="62" xfId="0" applyNumberFormat="1" applyFont="1" applyFill="1" applyBorder="1" applyAlignment="1">
      <alignment horizontal="left" vertical="top" wrapText="1"/>
    </xf>
    <xf numFmtId="3" fontId="4" fillId="4" borderId="28" xfId="0" applyNumberFormat="1" applyFont="1" applyFill="1" applyBorder="1" applyAlignment="1">
      <alignment horizontal="left" vertical="top" wrapText="1"/>
    </xf>
    <xf numFmtId="3" fontId="4" fillId="4" borderId="63" xfId="0" applyNumberFormat="1" applyFont="1" applyFill="1" applyBorder="1" applyAlignment="1">
      <alignment horizontal="left" vertical="top" wrapText="1"/>
    </xf>
    <xf numFmtId="3" fontId="4" fillId="4" borderId="15" xfId="0" applyNumberFormat="1" applyFont="1" applyFill="1" applyBorder="1" applyAlignment="1">
      <alignment horizontal="left" vertical="top" wrapText="1"/>
    </xf>
    <xf numFmtId="3" fontId="4" fillId="4" borderId="65" xfId="0" applyNumberFormat="1" applyFont="1" applyFill="1" applyBorder="1" applyAlignment="1">
      <alignment vertical="top" wrapText="1"/>
    </xf>
    <xf numFmtId="3" fontId="4" fillId="4" borderId="26" xfId="0" applyNumberFormat="1" applyFont="1" applyFill="1" applyBorder="1" applyAlignment="1">
      <alignment vertical="top" wrapText="1"/>
    </xf>
    <xf numFmtId="3" fontId="1" fillId="4" borderId="13" xfId="0" applyNumberFormat="1" applyFont="1" applyFill="1" applyBorder="1" applyAlignment="1">
      <alignment horizontal="left" vertical="top" wrapText="1"/>
    </xf>
    <xf numFmtId="3" fontId="1" fillId="4" borderId="19" xfId="0" applyNumberFormat="1" applyFont="1" applyFill="1" applyBorder="1" applyAlignment="1">
      <alignment horizontal="left" vertical="top" wrapText="1"/>
    </xf>
    <xf numFmtId="0" fontId="1" fillId="4" borderId="18" xfId="0" applyFont="1" applyFill="1" applyBorder="1" applyAlignment="1">
      <alignment horizontal="left" vertical="top" wrapText="1"/>
    </xf>
    <xf numFmtId="0" fontId="1" fillId="4" borderId="43" xfId="0" applyFont="1" applyFill="1" applyBorder="1" applyAlignment="1">
      <alignment horizontal="left" vertical="top" wrapText="1"/>
    </xf>
    <xf numFmtId="0" fontId="1" fillId="4" borderId="60" xfId="0" applyFont="1" applyFill="1" applyBorder="1" applyAlignment="1">
      <alignment horizontal="left" vertical="top" wrapText="1"/>
    </xf>
    <xf numFmtId="0" fontId="1" fillId="4" borderId="62" xfId="0" applyFont="1" applyFill="1" applyBorder="1" applyAlignment="1">
      <alignment horizontal="left" vertical="top" wrapText="1"/>
    </xf>
    <xf numFmtId="0" fontId="1" fillId="4" borderId="17" xfId="0" applyFont="1" applyFill="1" applyBorder="1" applyAlignment="1">
      <alignment horizontal="left" vertical="top" wrapText="1"/>
    </xf>
    <xf numFmtId="0" fontId="1" fillId="7" borderId="60" xfId="0" applyFont="1" applyFill="1" applyBorder="1" applyAlignment="1">
      <alignment horizontal="left" vertical="top" wrapText="1"/>
    </xf>
    <xf numFmtId="0" fontId="1" fillId="7" borderId="18" xfId="0" applyFont="1" applyFill="1" applyBorder="1" applyAlignment="1">
      <alignment horizontal="left" vertical="top" wrapText="1"/>
    </xf>
    <xf numFmtId="0" fontId="1" fillId="7" borderId="19" xfId="0" applyFont="1" applyFill="1" applyBorder="1" applyAlignment="1">
      <alignment horizontal="left" vertical="top" wrapText="1"/>
    </xf>
    <xf numFmtId="3" fontId="2" fillId="4" borderId="40" xfId="0" applyNumberFormat="1" applyFont="1" applyFill="1" applyBorder="1" applyAlignment="1">
      <alignment horizontal="center" vertical="top" wrapText="1"/>
    </xf>
    <xf numFmtId="3" fontId="2" fillId="4" borderId="61" xfId="0" applyNumberFormat="1" applyFont="1" applyFill="1" applyBorder="1" applyAlignment="1">
      <alignment horizontal="center" vertical="top" wrapText="1"/>
    </xf>
    <xf numFmtId="0" fontId="1" fillId="7" borderId="62" xfId="0" applyFont="1" applyFill="1" applyBorder="1" applyAlignment="1">
      <alignment horizontal="left" vertical="top" wrapText="1"/>
    </xf>
    <xf numFmtId="0" fontId="1" fillId="7" borderId="57" xfId="0" applyFont="1" applyFill="1" applyBorder="1" applyAlignment="1">
      <alignment horizontal="left" vertical="top" wrapText="1"/>
    </xf>
    <xf numFmtId="3" fontId="1" fillId="4" borderId="60" xfId="0" applyNumberFormat="1" applyFont="1" applyFill="1" applyBorder="1" applyAlignment="1">
      <alignment horizontal="left" vertical="top" wrapText="1"/>
    </xf>
    <xf numFmtId="3" fontId="1" fillId="4" borderId="43" xfId="0" applyNumberFormat="1" applyFont="1" applyFill="1" applyBorder="1" applyAlignment="1">
      <alignment horizontal="left" vertical="top" wrapText="1"/>
    </xf>
    <xf numFmtId="3" fontId="2" fillId="0" borderId="60" xfId="0" applyNumberFormat="1" applyFont="1" applyFill="1" applyBorder="1" applyAlignment="1">
      <alignment horizontal="center" vertical="center" textRotation="90" wrapText="1"/>
    </xf>
    <xf numFmtId="3" fontId="2" fillId="0" borderId="43" xfId="0" applyNumberFormat="1" applyFont="1" applyFill="1" applyBorder="1" applyAlignment="1">
      <alignment horizontal="center" vertical="center" textRotation="90" wrapText="1"/>
    </xf>
    <xf numFmtId="3" fontId="4" fillId="4" borderId="18" xfId="0" applyNumberFormat="1" applyFont="1" applyFill="1" applyBorder="1" applyAlignment="1">
      <alignment horizontal="left" vertical="top" wrapText="1"/>
    </xf>
    <xf numFmtId="3" fontId="4" fillId="4" borderId="19" xfId="0" applyNumberFormat="1" applyFont="1" applyFill="1" applyBorder="1" applyAlignment="1">
      <alignment horizontal="left" vertical="top" wrapText="1"/>
    </xf>
    <xf numFmtId="3" fontId="1" fillId="4" borderId="41" xfId="0" applyNumberFormat="1" applyFont="1" applyFill="1" applyBorder="1" applyAlignment="1">
      <alignment horizontal="left" vertical="top" wrapText="1"/>
    </xf>
    <xf numFmtId="49" fontId="2" fillId="19" borderId="17" xfId="0" applyNumberFormat="1" applyFont="1" applyFill="1" applyBorder="1" applyAlignment="1">
      <alignment horizontal="center" vertical="top"/>
    </xf>
    <xf numFmtId="49" fontId="2" fillId="19" borderId="57" xfId="0" applyNumberFormat="1" applyFont="1" applyFill="1" applyBorder="1" applyAlignment="1">
      <alignment horizontal="center" vertical="top"/>
    </xf>
    <xf numFmtId="49" fontId="2" fillId="2" borderId="43" xfId="0" applyNumberFormat="1" applyFont="1" applyFill="1" applyBorder="1" applyAlignment="1">
      <alignment horizontal="center" vertical="top"/>
    </xf>
    <xf numFmtId="49" fontId="2" fillId="2" borderId="18" xfId="0" applyNumberFormat="1" applyFont="1" applyFill="1" applyBorder="1" applyAlignment="1">
      <alignment horizontal="center" vertical="top"/>
    </xf>
    <xf numFmtId="49" fontId="2" fillId="2" borderId="4" xfId="0" applyNumberFormat="1" applyFont="1" applyFill="1" applyBorder="1" applyAlignment="1">
      <alignment horizontal="center" vertical="top"/>
    </xf>
    <xf numFmtId="3" fontId="1" fillId="4" borderId="18" xfId="0" applyNumberFormat="1" applyFont="1" applyFill="1" applyBorder="1" applyAlignment="1">
      <alignment horizontal="left" vertical="top" wrapText="1"/>
    </xf>
    <xf numFmtId="3" fontId="2" fillId="0" borderId="18" xfId="0" applyNumberFormat="1" applyFont="1" applyFill="1" applyBorder="1" applyAlignment="1">
      <alignment horizontal="center" vertical="top" textRotation="90" wrapText="1"/>
    </xf>
    <xf numFmtId="3" fontId="2" fillId="0" borderId="19" xfId="0" applyNumberFormat="1" applyFont="1" applyFill="1" applyBorder="1" applyAlignment="1">
      <alignment horizontal="center" vertical="top" textRotation="90" wrapText="1"/>
    </xf>
    <xf numFmtId="3" fontId="2" fillId="0" borderId="64" xfId="0" applyNumberFormat="1" applyFont="1" applyFill="1" applyBorder="1" applyAlignment="1">
      <alignment horizontal="center" vertical="top"/>
    </xf>
    <xf numFmtId="3" fontId="2" fillId="0" borderId="32" xfId="0" applyNumberFormat="1" applyFont="1" applyFill="1" applyBorder="1" applyAlignment="1">
      <alignment horizontal="center" vertical="top"/>
    </xf>
    <xf numFmtId="3" fontId="2" fillId="0" borderId="68" xfId="0" applyNumberFormat="1" applyFont="1" applyFill="1" applyBorder="1" applyAlignment="1">
      <alignment horizontal="center" vertical="top"/>
    </xf>
    <xf numFmtId="3" fontId="1" fillId="4" borderId="16" xfId="0" applyNumberFormat="1" applyFont="1" applyFill="1" applyBorder="1" applyAlignment="1">
      <alignment horizontal="left" vertical="top" wrapText="1"/>
    </xf>
    <xf numFmtId="3" fontId="1" fillId="4" borderId="57" xfId="0" applyNumberFormat="1" applyFont="1" applyFill="1" applyBorder="1" applyAlignment="1">
      <alignment horizontal="left" vertical="top" wrapText="1"/>
    </xf>
    <xf numFmtId="3" fontId="2" fillId="4" borderId="34" xfId="0" applyNumberFormat="1" applyFont="1" applyFill="1" applyBorder="1" applyAlignment="1">
      <alignment horizontal="center" vertical="top"/>
    </xf>
    <xf numFmtId="3" fontId="2" fillId="4" borderId="32" xfId="0" applyNumberFormat="1" applyFont="1" applyFill="1" applyBorder="1" applyAlignment="1">
      <alignment horizontal="center" vertical="top"/>
    </xf>
    <xf numFmtId="3" fontId="2" fillId="2" borderId="25" xfId="0" applyNumberFormat="1" applyFont="1" applyFill="1" applyBorder="1" applyAlignment="1">
      <alignment horizontal="right" vertical="top" wrapText="1"/>
    </xf>
    <xf numFmtId="3" fontId="2" fillId="2" borderId="14" xfId="0" applyNumberFormat="1" applyFont="1" applyFill="1" applyBorder="1" applyAlignment="1">
      <alignment horizontal="left" vertical="top" wrapText="1"/>
    </xf>
    <xf numFmtId="3" fontId="2" fillId="2" borderId="55" xfId="0" applyNumberFormat="1" applyFont="1" applyFill="1" applyBorder="1" applyAlignment="1">
      <alignment horizontal="left" vertical="top" wrapText="1"/>
    </xf>
    <xf numFmtId="3" fontId="2" fillId="2" borderId="73" xfId="0" applyNumberFormat="1" applyFont="1" applyFill="1" applyBorder="1" applyAlignment="1">
      <alignment horizontal="left" vertical="top" wrapText="1"/>
    </xf>
    <xf numFmtId="3" fontId="4" fillId="4" borderId="42" xfId="0" applyNumberFormat="1" applyFont="1" applyFill="1" applyBorder="1" applyAlignment="1">
      <alignment horizontal="left" vertical="top" wrapText="1"/>
    </xf>
    <xf numFmtId="3" fontId="1" fillId="4" borderId="8" xfId="0" applyNumberFormat="1" applyFont="1" applyFill="1" applyBorder="1" applyAlignment="1">
      <alignment horizontal="center" vertical="top" wrapText="1"/>
    </xf>
    <xf numFmtId="3" fontId="1" fillId="4" borderId="5" xfId="0" applyNumberFormat="1" applyFont="1" applyFill="1" applyBorder="1" applyAlignment="1">
      <alignment horizontal="center" vertical="top" wrapText="1"/>
    </xf>
    <xf numFmtId="164" fontId="1" fillId="4" borderId="62" xfId="0" applyNumberFormat="1" applyFont="1" applyFill="1" applyBorder="1" applyAlignment="1">
      <alignment horizontal="center" vertical="top"/>
    </xf>
    <xf numFmtId="164" fontId="1" fillId="4" borderId="63" xfId="0" applyNumberFormat="1" applyFont="1" applyFill="1" applyBorder="1" applyAlignment="1">
      <alignment horizontal="center" vertical="top"/>
    </xf>
    <xf numFmtId="164" fontId="1" fillId="4" borderId="60" xfId="0" applyNumberFormat="1" applyFont="1" applyFill="1" applyBorder="1" applyAlignment="1">
      <alignment horizontal="center" vertical="top"/>
    </xf>
    <xf numFmtId="164" fontId="1" fillId="4" borderId="43" xfId="0" applyNumberFormat="1" applyFont="1" applyFill="1" applyBorder="1" applyAlignment="1">
      <alignment horizontal="center" vertical="top"/>
    </xf>
    <xf numFmtId="3" fontId="1" fillId="4" borderId="38" xfId="0" applyNumberFormat="1" applyFont="1" applyFill="1" applyBorder="1" applyAlignment="1">
      <alignment horizontal="left" vertical="top" wrapText="1"/>
    </xf>
    <xf numFmtId="3" fontId="1" fillId="4" borderId="20" xfId="0" applyNumberFormat="1" applyFont="1" applyFill="1" applyBorder="1" applyAlignment="1">
      <alignment horizontal="left" vertical="top" wrapText="1"/>
    </xf>
    <xf numFmtId="3" fontId="2" fillId="5" borderId="47" xfId="0" applyNumberFormat="1" applyFont="1" applyFill="1" applyBorder="1" applyAlignment="1">
      <alignment horizontal="right" vertical="top" wrapText="1"/>
    </xf>
    <xf numFmtId="3" fontId="2" fillId="5" borderId="46" xfId="0" applyNumberFormat="1" applyFont="1" applyFill="1" applyBorder="1" applyAlignment="1">
      <alignment horizontal="right" vertical="top" wrapText="1"/>
    </xf>
    <xf numFmtId="3" fontId="2" fillId="5" borderId="51" xfId="0" applyNumberFormat="1" applyFont="1" applyFill="1" applyBorder="1" applyAlignment="1">
      <alignment horizontal="right" vertical="top" wrapText="1"/>
    </xf>
    <xf numFmtId="3" fontId="2" fillId="2" borderId="12" xfId="0" applyNumberFormat="1" applyFont="1" applyFill="1" applyBorder="1" applyAlignment="1">
      <alignment horizontal="center" vertical="top" wrapText="1"/>
    </xf>
    <xf numFmtId="3" fontId="2" fillId="2" borderId="55" xfId="0" applyNumberFormat="1" applyFont="1" applyFill="1" applyBorder="1" applyAlignment="1">
      <alignment horizontal="center" vertical="top" wrapText="1"/>
    </xf>
    <xf numFmtId="3" fontId="2" fillId="2" borderId="73" xfId="0" applyNumberFormat="1" applyFont="1" applyFill="1" applyBorder="1" applyAlignment="1">
      <alignment horizontal="center" vertical="top" wrapText="1"/>
    </xf>
    <xf numFmtId="3" fontId="1" fillId="0" borderId="0" xfId="0" applyNumberFormat="1" applyFont="1" applyFill="1" applyBorder="1" applyAlignment="1">
      <alignment horizontal="center" vertical="top" wrapText="1"/>
    </xf>
    <xf numFmtId="3" fontId="2" fillId="4" borderId="13" xfId="0" applyNumberFormat="1" applyFont="1" applyFill="1" applyBorder="1" applyAlignment="1">
      <alignment horizontal="left" vertical="top" wrapText="1"/>
    </xf>
    <xf numFmtId="3" fontId="2" fillId="4" borderId="18" xfId="0" applyNumberFormat="1" applyFont="1" applyFill="1" applyBorder="1" applyAlignment="1">
      <alignment horizontal="left" vertical="top" wrapText="1"/>
    </xf>
    <xf numFmtId="3" fontId="1" fillId="7" borderId="60" xfId="0" applyNumberFormat="1" applyFont="1" applyFill="1" applyBorder="1" applyAlignment="1">
      <alignment horizontal="left" vertical="top" wrapText="1"/>
    </xf>
    <xf numFmtId="3" fontId="1" fillId="7" borderId="18" xfId="0" applyNumberFormat="1" applyFont="1" applyFill="1" applyBorder="1" applyAlignment="1">
      <alignment horizontal="left" vertical="top" wrapText="1"/>
    </xf>
    <xf numFmtId="3" fontId="1" fillId="7" borderId="43" xfId="0" applyNumberFormat="1" applyFont="1" applyFill="1" applyBorder="1" applyAlignment="1">
      <alignment horizontal="left" vertical="top" wrapText="1"/>
    </xf>
    <xf numFmtId="167" fontId="4" fillId="9" borderId="17" xfId="3" applyNumberFormat="1" applyFont="1" applyFill="1" applyBorder="1" applyAlignment="1">
      <alignment horizontal="left" vertical="top" wrapText="1"/>
    </xf>
    <xf numFmtId="167" fontId="4" fillId="9" borderId="80" xfId="3" applyNumberFormat="1" applyFont="1" applyFill="1" applyBorder="1" applyAlignment="1">
      <alignment horizontal="left" vertical="top" wrapText="1"/>
    </xf>
    <xf numFmtId="3" fontId="4" fillId="4" borderId="60" xfId="0" applyNumberFormat="1" applyFont="1" applyFill="1" applyBorder="1" applyAlignment="1">
      <alignment horizontal="left" vertical="top" wrapText="1"/>
    </xf>
    <xf numFmtId="3" fontId="4" fillId="4" borderId="43" xfId="0" applyNumberFormat="1" applyFont="1" applyFill="1" applyBorder="1" applyAlignment="1">
      <alignment horizontal="left" vertical="top" wrapText="1"/>
    </xf>
    <xf numFmtId="3" fontId="5" fillId="7" borderId="18" xfId="0" applyNumberFormat="1" applyFont="1" applyFill="1" applyBorder="1" applyAlignment="1">
      <alignment horizontal="left" vertical="top" wrapText="1"/>
    </xf>
    <xf numFmtId="3" fontId="5" fillId="7" borderId="19" xfId="0" applyNumberFormat="1" applyFont="1" applyFill="1" applyBorder="1" applyAlignment="1">
      <alignment horizontal="left" vertical="top" wrapText="1"/>
    </xf>
    <xf numFmtId="3" fontId="5" fillId="5" borderId="47" xfId="0" applyNumberFormat="1" applyFont="1" applyFill="1" applyBorder="1" applyAlignment="1">
      <alignment horizontal="right" vertical="top" wrapText="1"/>
    </xf>
    <xf numFmtId="3" fontId="5" fillId="5" borderId="46" xfId="0" applyNumberFormat="1" applyFont="1" applyFill="1" applyBorder="1" applyAlignment="1">
      <alignment horizontal="right" vertical="top" wrapText="1"/>
    </xf>
    <xf numFmtId="3" fontId="5" fillId="5" borderId="51" xfId="0" applyNumberFormat="1" applyFont="1" applyFill="1" applyBorder="1" applyAlignment="1">
      <alignment horizontal="right" vertical="top" wrapText="1"/>
    </xf>
    <xf numFmtId="3" fontId="4" fillId="7" borderId="60" xfId="0" applyNumberFormat="1" applyFont="1" applyFill="1" applyBorder="1" applyAlignment="1">
      <alignment horizontal="left" vertical="top" wrapText="1"/>
    </xf>
    <xf numFmtId="3" fontId="4" fillId="7" borderId="18" xfId="0" applyNumberFormat="1" applyFont="1" applyFill="1" applyBorder="1" applyAlignment="1">
      <alignment horizontal="left" vertical="top" wrapText="1"/>
    </xf>
    <xf numFmtId="3" fontId="4" fillId="7" borderId="43" xfId="0" applyNumberFormat="1" applyFont="1" applyFill="1" applyBorder="1" applyAlignment="1">
      <alignment horizontal="left" vertical="top" wrapText="1"/>
    </xf>
    <xf numFmtId="167" fontId="4" fillId="24" borderId="62" xfId="3" applyNumberFormat="1" applyFont="1" applyFill="1" applyBorder="1" applyAlignment="1">
      <alignment horizontal="left" vertical="top" wrapText="1"/>
    </xf>
    <xf numFmtId="167" fontId="4" fillId="24" borderId="28" xfId="3" applyNumberFormat="1" applyFont="1" applyFill="1" applyBorder="1" applyAlignment="1">
      <alignment horizontal="left" vertical="top" wrapText="1"/>
    </xf>
    <xf numFmtId="167" fontId="4" fillId="24" borderId="63" xfId="3" applyNumberFormat="1" applyFont="1" applyFill="1" applyBorder="1" applyAlignment="1">
      <alignment horizontal="left" vertical="top" wrapText="1"/>
    </xf>
    <xf numFmtId="167" fontId="4" fillId="24" borderId="15" xfId="3" applyNumberFormat="1" applyFont="1" applyFill="1" applyBorder="1" applyAlignment="1">
      <alignment horizontal="left" vertical="top" wrapText="1"/>
    </xf>
    <xf numFmtId="167" fontId="4" fillId="24" borderId="65" xfId="3" applyNumberFormat="1" applyFont="1" applyFill="1" applyBorder="1" applyAlignment="1">
      <alignment horizontal="left" vertical="top" wrapText="1"/>
    </xf>
    <xf numFmtId="167" fontId="4" fillId="24" borderId="26" xfId="3" applyNumberFormat="1" applyFont="1" applyFill="1" applyBorder="1" applyAlignment="1">
      <alignment horizontal="left" vertical="top" wrapText="1"/>
    </xf>
    <xf numFmtId="167" fontId="4" fillId="22" borderId="78" xfId="3" applyNumberFormat="1" applyFont="1" applyFill="1" applyBorder="1" applyAlignment="1">
      <alignment horizontal="left" vertical="top" wrapText="1"/>
    </xf>
    <xf numFmtId="167" fontId="4" fillId="22" borderId="99" xfId="3" applyNumberFormat="1" applyFont="1" applyFill="1" applyBorder="1" applyAlignment="1">
      <alignment horizontal="left" vertical="top" wrapText="1"/>
    </xf>
    <xf numFmtId="167" fontId="4" fillId="22" borderId="17" xfId="3" applyNumberFormat="1" applyFont="1" applyFill="1" applyBorder="1" applyAlignment="1">
      <alignment horizontal="left" vertical="top" wrapText="1"/>
    </xf>
    <xf numFmtId="167" fontId="4" fillId="22" borderId="7" xfId="3" applyNumberFormat="1" applyFont="1" applyFill="1" applyBorder="1" applyAlignment="1">
      <alignment horizontal="left" vertical="top" wrapText="1"/>
    </xf>
    <xf numFmtId="167" fontId="4" fillId="22" borderId="63" xfId="3" applyNumberFormat="1" applyFont="1" applyFill="1" applyBorder="1" applyAlignment="1">
      <alignment horizontal="left" vertical="top" wrapText="1"/>
    </xf>
    <xf numFmtId="167" fontId="4" fillId="22" borderId="15" xfId="3" applyNumberFormat="1" applyFont="1" applyFill="1" applyBorder="1" applyAlignment="1">
      <alignment horizontal="left" vertical="top" wrapText="1"/>
    </xf>
    <xf numFmtId="167" fontId="4" fillId="9" borderId="78" xfId="3" applyNumberFormat="1" applyFont="1" applyFill="1" applyBorder="1" applyAlignment="1">
      <alignment horizontal="left" vertical="top" wrapText="1"/>
    </xf>
    <xf numFmtId="167" fontId="4" fillId="9" borderId="20" xfId="3" applyNumberFormat="1" applyFont="1" applyFill="1" applyBorder="1" applyAlignment="1">
      <alignment horizontal="left" vertical="top" wrapText="1"/>
    </xf>
    <xf numFmtId="0" fontId="4" fillId="7" borderId="62" xfId="0" applyFont="1" applyFill="1" applyBorder="1" applyAlignment="1">
      <alignment horizontal="left" vertical="top" wrapText="1"/>
    </xf>
    <xf numFmtId="0" fontId="4" fillId="7" borderId="28" xfId="0" applyFont="1" applyFill="1" applyBorder="1" applyAlignment="1">
      <alignment horizontal="left" vertical="top" wrapText="1"/>
    </xf>
    <xf numFmtId="0" fontId="4" fillId="7" borderId="17" xfId="0" applyFont="1" applyFill="1" applyBorder="1" applyAlignment="1">
      <alignment horizontal="left" vertical="top" wrapText="1"/>
    </xf>
    <xf numFmtId="0" fontId="4" fillId="7" borderId="7" xfId="0" applyFont="1" applyFill="1" applyBorder="1" applyAlignment="1">
      <alignment horizontal="left" vertical="top" wrapText="1"/>
    </xf>
    <xf numFmtId="0" fontId="4" fillId="7" borderId="57" xfId="0" applyFont="1" applyFill="1" applyBorder="1" applyAlignment="1">
      <alignment horizontal="left" vertical="top" wrapText="1"/>
    </xf>
    <xf numFmtId="0" fontId="4" fillId="7" borderId="69" xfId="0" applyFont="1" applyFill="1" applyBorder="1" applyAlignment="1">
      <alignment horizontal="left" vertical="top" wrapText="1"/>
    </xf>
    <xf numFmtId="3" fontId="4" fillId="0" borderId="75" xfId="0" applyNumberFormat="1" applyFont="1" applyBorder="1" applyAlignment="1">
      <alignment horizontal="left" vertical="top" wrapText="1"/>
    </xf>
    <xf numFmtId="3" fontId="4" fillId="0" borderId="74" xfId="0" applyNumberFormat="1" applyFont="1" applyBorder="1" applyAlignment="1">
      <alignment horizontal="left" vertical="top" wrapText="1"/>
    </xf>
    <xf numFmtId="164" fontId="1" fillId="4" borderId="0" xfId="0" applyNumberFormat="1" applyFont="1" applyFill="1" applyBorder="1" applyAlignment="1">
      <alignment horizontal="left" vertical="top" wrapText="1"/>
    </xf>
    <xf numFmtId="3" fontId="1" fillId="0" borderId="0" xfId="0" applyNumberFormat="1" applyFont="1" applyBorder="1" applyAlignment="1">
      <alignment horizontal="left" vertical="top" wrapText="1"/>
    </xf>
    <xf numFmtId="3" fontId="2" fillId="2" borderId="12" xfId="0" applyNumberFormat="1" applyFont="1" applyFill="1" applyBorder="1" applyAlignment="1">
      <alignment horizontal="left" vertical="top" wrapText="1"/>
    </xf>
    <xf numFmtId="3" fontId="2" fillId="2" borderId="44" xfId="0" applyNumberFormat="1" applyFont="1" applyFill="1" applyBorder="1" applyAlignment="1">
      <alignment horizontal="left" vertical="top" wrapText="1"/>
    </xf>
    <xf numFmtId="3" fontId="2" fillId="2" borderId="69" xfId="0" applyNumberFormat="1" applyFont="1" applyFill="1" applyBorder="1" applyAlignment="1">
      <alignment horizontal="left" vertical="top" wrapText="1"/>
    </xf>
    <xf numFmtId="49" fontId="2" fillId="19" borderId="22" xfId="0" applyNumberFormat="1" applyFont="1" applyFill="1" applyBorder="1" applyAlignment="1">
      <alignment horizontal="center" vertical="top"/>
    </xf>
    <xf numFmtId="49" fontId="2" fillId="19" borderId="20" xfId="0" applyNumberFormat="1" applyFont="1" applyFill="1" applyBorder="1" applyAlignment="1">
      <alignment horizontal="center" vertical="top"/>
    </xf>
    <xf numFmtId="3" fontId="2" fillId="10" borderId="13" xfId="0" quotePrefix="1" applyNumberFormat="1" applyFont="1" applyFill="1" applyBorder="1" applyAlignment="1">
      <alignment horizontal="center" vertical="top" wrapText="1"/>
    </xf>
    <xf numFmtId="3" fontId="2" fillId="10" borderId="19" xfId="0" quotePrefix="1" applyNumberFormat="1" applyFont="1" applyFill="1" applyBorder="1" applyAlignment="1">
      <alignment horizontal="center" vertical="top" wrapText="1"/>
    </xf>
    <xf numFmtId="3" fontId="2" fillId="4" borderId="64" xfId="0" quotePrefix="1" applyNumberFormat="1" applyFont="1" applyFill="1" applyBorder="1" applyAlignment="1">
      <alignment horizontal="center" vertical="top" wrapText="1"/>
    </xf>
    <xf numFmtId="3" fontId="2" fillId="4" borderId="68" xfId="0" quotePrefix="1" applyNumberFormat="1" applyFont="1" applyFill="1" applyBorder="1" applyAlignment="1">
      <alignment horizontal="center" vertical="top" wrapText="1"/>
    </xf>
    <xf numFmtId="3" fontId="4" fillId="7" borderId="13" xfId="0" applyNumberFormat="1" applyFont="1" applyFill="1" applyBorder="1" applyAlignment="1">
      <alignment horizontal="left" vertical="top" wrapText="1"/>
    </xf>
    <xf numFmtId="3" fontId="4" fillId="7" borderId="19" xfId="0" applyNumberFormat="1" applyFont="1" applyFill="1" applyBorder="1" applyAlignment="1">
      <alignment horizontal="left" vertical="top" wrapText="1"/>
    </xf>
    <xf numFmtId="3" fontId="4" fillId="4" borderId="13" xfId="0" applyNumberFormat="1" applyFont="1" applyFill="1" applyBorder="1" applyAlignment="1">
      <alignment horizontal="center" vertical="top" wrapText="1"/>
    </xf>
    <xf numFmtId="3" fontId="4" fillId="4" borderId="19" xfId="0" applyNumberFormat="1" applyFont="1" applyFill="1" applyBorder="1" applyAlignment="1">
      <alignment horizontal="center" vertical="top" wrapText="1"/>
    </xf>
    <xf numFmtId="3" fontId="4" fillId="7" borderId="16" xfId="0" applyNumberFormat="1" applyFont="1" applyFill="1" applyBorder="1" applyAlignment="1">
      <alignment horizontal="left" vertical="top" wrapText="1"/>
    </xf>
    <xf numFmtId="3" fontId="4" fillId="7" borderId="24" xfId="0" applyNumberFormat="1" applyFont="1" applyFill="1" applyBorder="1" applyAlignment="1">
      <alignment horizontal="left" vertical="top" wrapText="1"/>
    </xf>
    <xf numFmtId="167" fontId="4" fillId="22" borderId="62" xfId="3" applyNumberFormat="1" applyFont="1" applyFill="1" applyBorder="1" applyAlignment="1">
      <alignment horizontal="left" vertical="top" wrapText="1"/>
    </xf>
    <xf numFmtId="167" fontId="4" fillId="9" borderId="40" xfId="3" applyNumberFormat="1" applyFont="1" applyFill="1" applyBorder="1" applyAlignment="1">
      <alignment horizontal="left" vertical="top" wrapText="1"/>
    </xf>
    <xf numFmtId="167" fontId="4" fillId="9" borderId="61" xfId="3" applyNumberFormat="1" applyFont="1" applyFill="1" applyBorder="1" applyAlignment="1">
      <alignment horizontal="left" vertical="top" wrapText="1"/>
    </xf>
    <xf numFmtId="3" fontId="2" fillId="19" borderId="64" xfId="0" applyNumberFormat="1" applyFont="1" applyFill="1" applyBorder="1" applyAlignment="1">
      <alignment horizontal="left" vertical="top" wrapText="1"/>
    </xf>
    <xf numFmtId="3" fontId="2" fillId="19" borderId="3" xfId="0" applyNumberFormat="1" applyFont="1" applyFill="1" applyBorder="1" applyAlignment="1">
      <alignment horizontal="left" vertical="top" wrapText="1"/>
    </xf>
    <xf numFmtId="3" fontId="2" fillId="19" borderId="32" xfId="0" applyNumberFormat="1" applyFont="1" applyFill="1" applyBorder="1" applyAlignment="1">
      <alignment horizontal="left" vertical="top" wrapText="1"/>
    </xf>
    <xf numFmtId="3" fontId="2" fillId="19" borderId="0" xfId="0" applyNumberFormat="1" applyFont="1" applyFill="1" applyBorder="1" applyAlignment="1">
      <alignment horizontal="left" vertical="top" wrapText="1"/>
    </xf>
    <xf numFmtId="49" fontId="2" fillId="19" borderId="22" xfId="0" applyNumberFormat="1" applyFont="1" applyFill="1" applyBorder="1" applyAlignment="1">
      <alignment horizontal="center" vertical="top" wrapText="1"/>
    </xf>
    <xf numFmtId="49" fontId="2" fillId="19" borderId="41" xfId="0" applyNumberFormat="1" applyFont="1" applyFill="1" applyBorder="1" applyAlignment="1">
      <alignment horizontal="center" vertical="top" wrapText="1"/>
    </xf>
    <xf numFmtId="3" fontId="4" fillId="4" borderId="0" xfId="0" applyNumberFormat="1" applyFont="1" applyFill="1" applyBorder="1" applyAlignment="1">
      <alignment horizontal="center" vertical="top" wrapText="1"/>
    </xf>
    <xf numFmtId="3" fontId="4" fillId="4" borderId="17" xfId="0" applyNumberFormat="1" applyFont="1" applyFill="1" applyBorder="1" applyAlignment="1">
      <alignment horizontal="left" vertical="top" wrapText="1"/>
    </xf>
    <xf numFmtId="3" fontId="4" fillId="4" borderId="7" xfId="0" applyNumberFormat="1" applyFont="1" applyFill="1" applyBorder="1" applyAlignment="1">
      <alignment horizontal="left" vertical="top" wrapText="1"/>
    </xf>
    <xf numFmtId="3" fontId="4" fillId="7" borderId="17" xfId="0" applyNumberFormat="1" applyFont="1" applyFill="1" applyBorder="1" applyAlignment="1">
      <alignment horizontal="left" vertical="top" wrapText="1"/>
    </xf>
    <xf numFmtId="3" fontId="4" fillId="7" borderId="7" xfId="0" applyNumberFormat="1" applyFont="1" applyFill="1" applyBorder="1" applyAlignment="1">
      <alignment horizontal="left" vertical="top" wrapText="1"/>
    </xf>
    <xf numFmtId="3" fontId="18" fillId="5" borderId="47" xfId="0" applyNumberFormat="1" applyFont="1" applyFill="1" applyBorder="1" applyAlignment="1">
      <alignment horizontal="right" vertical="top" wrapText="1"/>
    </xf>
    <xf numFmtId="3" fontId="18" fillId="5" borderId="46" xfId="0" applyNumberFormat="1" applyFont="1" applyFill="1" applyBorder="1" applyAlignment="1">
      <alignment horizontal="right" vertical="top" wrapText="1"/>
    </xf>
    <xf numFmtId="3" fontId="5" fillId="7" borderId="43" xfId="0" applyNumberFormat="1" applyFont="1" applyFill="1" applyBorder="1" applyAlignment="1">
      <alignment horizontal="left" vertical="top" wrapText="1"/>
    </xf>
    <xf numFmtId="3" fontId="5" fillId="4" borderId="60" xfId="0" applyNumberFormat="1" applyFont="1" applyFill="1" applyBorder="1" applyAlignment="1">
      <alignment horizontal="left" vertical="top" wrapText="1"/>
    </xf>
    <xf numFmtId="3" fontId="5" fillId="4" borderId="18" xfId="0" applyNumberFormat="1" applyFont="1" applyFill="1" applyBorder="1" applyAlignment="1">
      <alignment horizontal="left" vertical="top" wrapText="1"/>
    </xf>
    <xf numFmtId="3" fontId="5" fillId="6" borderId="60" xfId="0" applyNumberFormat="1" applyFont="1" applyFill="1" applyBorder="1" applyAlignment="1">
      <alignment horizontal="left" vertical="top" wrapText="1"/>
    </xf>
    <xf numFmtId="3" fontId="5" fillId="6" borderId="18" xfId="0" applyNumberFormat="1" applyFont="1" applyFill="1" applyBorder="1" applyAlignment="1">
      <alignment horizontal="left" vertical="top" wrapText="1"/>
    </xf>
    <xf numFmtId="0" fontId="4" fillId="0" borderId="63" xfId="0" applyNumberFormat="1" applyFont="1" applyFill="1" applyBorder="1" applyAlignment="1" applyProtection="1">
      <alignment horizontal="left" vertical="top" wrapText="1" readingOrder="1"/>
      <protection locked="0"/>
    </xf>
    <xf numFmtId="0" fontId="4" fillId="0" borderId="15" xfId="0" applyNumberFormat="1" applyFont="1" applyFill="1" applyBorder="1" applyAlignment="1" applyProtection="1">
      <alignment horizontal="left" vertical="top" wrapText="1" readingOrder="1"/>
      <protection locked="0"/>
    </xf>
    <xf numFmtId="165" fontId="4" fillId="4" borderId="40" xfId="0" applyNumberFormat="1" applyFont="1" applyFill="1" applyBorder="1" applyAlignment="1" applyProtection="1">
      <alignment horizontal="center" vertical="top" wrapText="1" readingOrder="1"/>
      <protection locked="0"/>
    </xf>
    <xf numFmtId="165" fontId="4" fillId="4" borderId="31" xfId="0" applyNumberFormat="1" applyFont="1" applyFill="1" applyBorder="1" applyAlignment="1" applyProtection="1">
      <alignment horizontal="center" vertical="top" wrapText="1" readingOrder="1"/>
      <protection locked="0"/>
    </xf>
    <xf numFmtId="164" fontId="1" fillId="0" borderId="39" xfId="0" applyNumberFormat="1" applyFont="1" applyFill="1" applyBorder="1" applyAlignment="1">
      <alignment horizontal="center" vertical="top" wrapText="1"/>
    </xf>
    <xf numFmtId="164" fontId="1" fillId="0" borderId="61" xfId="0" applyNumberFormat="1" applyFont="1" applyFill="1" applyBorder="1" applyAlignment="1">
      <alignment horizontal="center" vertical="top" wrapText="1"/>
    </xf>
    <xf numFmtId="0" fontId="27" fillId="0" borderId="62" xfId="0" applyNumberFormat="1" applyFont="1" applyFill="1" applyBorder="1" applyAlignment="1" applyProtection="1">
      <alignment horizontal="left" vertical="top" wrapText="1" readingOrder="1"/>
      <protection locked="0"/>
    </xf>
    <xf numFmtId="0" fontId="27" fillId="0" borderId="28" xfId="0" applyNumberFormat="1" applyFont="1" applyFill="1" applyBorder="1" applyAlignment="1" applyProtection="1">
      <alignment horizontal="left" vertical="top" wrapText="1" readingOrder="1"/>
      <protection locked="0"/>
    </xf>
    <xf numFmtId="0" fontId="27" fillId="0" borderId="17" xfId="0" applyNumberFormat="1" applyFont="1" applyFill="1" applyBorder="1" applyAlignment="1" applyProtection="1">
      <alignment horizontal="left" vertical="top" wrapText="1" readingOrder="1"/>
      <protection locked="0"/>
    </xf>
    <xf numFmtId="0" fontId="27" fillId="0" borderId="7" xfId="0" applyNumberFormat="1" applyFont="1" applyFill="1" applyBorder="1" applyAlignment="1" applyProtection="1">
      <alignment horizontal="left" vertical="top" wrapText="1" readingOrder="1"/>
      <protection locked="0"/>
    </xf>
    <xf numFmtId="3" fontId="4" fillId="6" borderId="75" xfId="0" applyNumberFormat="1" applyFont="1" applyFill="1" applyBorder="1" applyAlignment="1">
      <alignment horizontal="left" vertical="top" wrapText="1"/>
    </xf>
    <xf numFmtId="3" fontId="4" fillId="6" borderId="74" xfId="0" applyNumberFormat="1" applyFont="1" applyFill="1" applyBorder="1" applyAlignment="1">
      <alignment horizontal="left" vertical="top" wrapText="1"/>
    </xf>
    <xf numFmtId="3" fontId="4" fillId="4" borderId="39" xfId="0" applyNumberFormat="1" applyFont="1" applyFill="1" applyBorder="1" applyAlignment="1">
      <alignment horizontal="left" vertical="top" wrapText="1"/>
    </xf>
    <xf numFmtId="3" fontId="4" fillId="4" borderId="61" xfId="0" applyNumberFormat="1" applyFont="1" applyFill="1" applyBorder="1" applyAlignment="1">
      <alignment horizontal="left" vertical="top" wrapText="1"/>
    </xf>
    <xf numFmtId="3" fontId="4" fillId="4" borderId="22" xfId="0" applyNumberFormat="1" applyFont="1" applyFill="1" applyBorder="1" applyAlignment="1">
      <alignment horizontal="left" vertical="top" wrapText="1"/>
    </xf>
    <xf numFmtId="3" fontId="4" fillId="4" borderId="48" xfId="0" applyNumberFormat="1" applyFont="1" applyFill="1" applyBorder="1" applyAlignment="1">
      <alignment horizontal="left" vertical="top" wrapText="1"/>
    </xf>
    <xf numFmtId="3" fontId="4" fillId="4" borderId="51" xfId="0" applyNumberFormat="1" applyFont="1" applyFill="1" applyBorder="1" applyAlignment="1">
      <alignment horizontal="left" vertical="top" wrapText="1"/>
    </xf>
    <xf numFmtId="3" fontId="5" fillId="4" borderId="60" xfId="0" applyNumberFormat="1" applyFont="1" applyFill="1" applyBorder="1" applyAlignment="1">
      <alignment horizontal="center" vertical="center" textRotation="90" wrapText="1"/>
    </xf>
    <xf numFmtId="3" fontId="5" fillId="4" borderId="43" xfId="0" applyNumberFormat="1" applyFont="1" applyFill="1" applyBorder="1" applyAlignment="1">
      <alignment horizontal="center" vertical="center" textRotation="90" wrapText="1"/>
    </xf>
    <xf numFmtId="0" fontId="27" fillId="0" borderId="190" xfId="0" applyNumberFormat="1" applyFont="1" applyFill="1" applyBorder="1" applyAlignment="1" applyProtection="1">
      <alignment horizontal="left" vertical="top" wrapText="1" readingOrder="1"/>
      <protection locked="0"/>
    </xf>
    <xf numFmtId="0" fontId="27" fillId="0" borderId="191" xfId="0" applyNumberFormat="1" applyFont="1" applyFill="1" applyBorder="1" applyAlignment="1" applyProtection="1">
      <alignment horizontal="left" vertical="top" wrapText="1" readingOrder="1"/>
      <protection locked="0"/>
    </xf>
    <xf numFmtId="3" fontId="4" fillId="0" borderId="60" xfId="0" applyNumberFormat="1" applyFont="1" applyFill="1" applyBorder="1" applyAlignment="1">
      <alignment horizontal="left" vertical="top" wrapText="1"/>
    </xf>
    <xf numFmtId="3" fontId="4" fillId="0" borderId="18" xfId="0" applyNumberFormat="1" applyFont="1" applyFill="1" applyBorder="1" applyAlignment="1">
      <alignment horizontal="left" vertical="top" wrapText="1"/>
    </xf>
    <xf numFmtId="3" fontId="4" fillId="0" borderId="43" xfId="0" applyNumberFormat="1" applyFont="1" applyFill="1" applyBorder="1" applyAlignment="1">
      <alignment horizontal="left" vertical="top" wrapText="1"/>
    </xf>
    <xf numFmtId="3" fontId="4" fillId="4" borderId="0" xfId="0" applyNumberFormat="1" applyFont="1" applyFill="1" applyBorder="1" applyAlignment="1">
      <alignment horizontal="left" vertical="top" wrapText="1"/>
    </xf>
    <xf numFmtId="3" fontId="5" fillId="0" borderId="60" xfId="0" applyNumberFormat="1" applyFont="1" applyFill="1" applyBorder="1" applyAlignment="1">
      <alignment horizontal="left" vertical="top" wrapText="1"/>
    </xf>
    <xf numFmtId="3" fontId="5" fillId="0" borderId="18" xfId="0" applyNumberFormat="1" applyFont="1" applyFill="1" applyBorder="1" applyAlignment="1">
      <alignment horizontal="left" vertical="top" wrapText="1"/>
    </xf>
    <xf numFmtId="3" fontId="5" fillId="0" borderId="43" xfId="0" applyNumberFormat="1" applyFont="1" applyFill="1" applyBorder="1" applyAlignment="1">
      <alignment horizontal="left" vertical="top" wrapText="1"/>
    </xf>
    <xf numFmtId="49" fontId="1" fillId="0" borderId="13" xfId="0" applyNumberFormat="1" applyFont="1" applyBorder="1" applyAlignment="1">
      <alignment horizontal="center" vertical="center" textRotation="90" wrapText="1"/>
    </xf>
    <xf numFmtId="49" fontId="1" fillId="0" borderId="18" xfId="0" applyNumberFormat="1" applyFont="1" applyBorder="1" applyAlignment="1">
      <alignment horizontal="center" vertical="center" textRotation="90" wrapText="1"/>
    </xf>
    <xf numFmtId="49" fontId="1" fillId="0" borderId="19" xfId="0" applyNumberFormat="1" applyFont="1" applyBorder="1" applyAlignment="1">
      <alignment horizontal="center" vertical="center" textRotation="90" wrapText="1"/>
    </xf>
    <xf numFmtId="3" fontId="1" fillId="0" borderId="13" xfId="0" applyNumberFormat="1" applyFont="1" applyBorder="1" applyAlignment="1">
      <alignment horizontal="left" vertical="center" wrapText="1"/>
    </xf>
    <xf numFmtId="3" fontId="1" fillId="0" borderId="18" xfId="0" applyNumberFormat="1" applyFont="1" applyBorder="1" applyAlignment="1">
      <alignment horizontal="left" vertical="center" wrapText="1"/>
    </xf>
    <xf numFmtId="3" fontId="1" fillId="0" borderId="19" xfId="0" applyNumberFormat="1" applyFont="1" applyBorder="1" applyAlignment="1">
      <alignment horizontal="left" vertical="center" wrapText="1"/>
    </xf>
    <xf numFmtId="3" fontId="4" fillId="0" borderId="44" xfId="0" applyNumberFormat="1" applyFont="1" applyBorder="1" applyAlignment="1">
      <alignment horizontal="right" wrapText="1"/>
    </xf>
    <xf numFmtId="3" fontId="5" fillId="2" borderId="57" xfId="0" applyNumberFormat="1" applyFont="1" applyFill="1" applyBorder="1" applyAlignment="1">
      <alignment horizontal="left" vertical="top" wrapText="1"/>
    </xf>
    <xf numFmtId="3" fontId="5" fillId="2" borderId="44" xfId="0" applyNumberFormat="1" applyFont="1" applyFill="1" applyBorder="1" applyAlignment="1">
      <alignment horizontal="left" vertical="top" wrapText="1"/>
    </xf>
    <xf numFmtId="3" fontId="5" fillId="2" borderId="0" xfId="0" applyNumberFormat="1" applyFont="1" applyFill="1" applyBorder="1" applyAlignment="1">
      <alignment horizontal="left" vertical="top" wrapText="1"/>
    </xf>
    <xf numFmtId="3" fontId="5" fillId="2" borderId="69" xfId="0" applyNumberFormat="1" applyFont="1" applyFill="1" applyBorder="1" applyAlignment="1">
      <alignment horizontal="left" vertical="top" wrapText="1"/>
    </xf>
    <xf numFmtId="3" fontId="6" fillId="0" borderId="13" xfId="0" applyNumberFormat="1" applyFont="1" applyFill="1" applyBorder="1" applyAlignment="1">
      <alignment horizontal="left" vertical="top" wrapText="1"/>
    </xf>
    <xf numFmtId="3" fontId="6" fillId="0" borderId="43" xfId="0" applyNumberFormat="1" applyFont="1" applyFill="1" applyBorder="1" applyAlignment="1">
      <alignment horizontal="left" vertical="top" wrapText="1"/>
    </xf>
    <xf numFmtId="3" fontId="1" fillId="0" borderId="39" xfId="0" applyNumberFormat="1" applyFont="1" applyBorder="1" applyAlignment="1">
      <alignment horizontal="center" vertical="center" textRotation="90" wrapText="1"/>
    </xf>
    <xf numFmtId="3" fontId="1" fillId="0" borderId="31" xfId="0" applyNumberFormat="1" applyFont="1" applyBorder="1" applyAlignment="1">
      <alignment horizontal="center" vertical="center" textRotation="90" wrapText="1"/>
    </xf>
    <xf numFmtId="3" fontId="1" fillId="0" borderId="21" xfId="0" applyNumberFormat="1" applyFont="1" applyBorder="1" applyAlignment="1">
      <alignment horizontal="center" vertical="center" textRotation="90" wrapText="1"/>
    </xf>
    <xf numFmtId="3" fontId="1" fillId="0" borderId="10" xfId="0" applyNumberFormat="1" applyFont="1" applyBorder="1" applyAlignment="1">
      <alignment horizontal="center" vertical="center" textRotation="90" wrapText="1"/>
    </xf>
    <xf numFmtId="3" fontId="1" fillId="0" borderId="8" xfId="0" applyNumberFormat="1" applyFont="1" applyBorder="1" applyAlignment="1">
      <alignment horizontal="center" vertical="center" textRotation="90" wrapText="1"/>
    </xf>
    <xf numFmtId="3" fontId="1" fillId="0" borderId="50" xfId="0" applyNumberFormat="1" applyFont="1" applyBorder="1" applyAlignment="1">
      <alignment horizontal="center" vertical="center" textRotation="90" wrapText="1"/>
    </xf>
    <xf numFmtId="165" fontId="4" fillId="0" borderId="39" xfId="0" applyNumberFormat="1" applyFont="1" applyBorder="1" applyAlignment="1">
      <alignment horizontal="center" vertical="center" textRotation="90" wrapText="1"/>
    </xf>
    <xf numFmtId="165" fontId="4" fillId="0" borderId="31" xfId="0" applyNumberFormat="1" applyFont="1" applyBorder="1" applyAlignment="1">
      <alignment horizontal="center" vertical="center" textRotation="90" wrapText="1"/>
    </xf>
    <xf numFmtId="165" fontId="4" fillId="0" borderId="21" xfId="0" applyNumberFormat="1" applyFont="1" applyBorder="1" applyAlignment="1">
      <alignment horizontal="center" vertical="center" textRotation="90" wrapText="1"/>
    </xf>
    <xf numFmtId="3" fontId="1" fillId="0" borderId="62" xfId="0" applyNumberFormat="1" applyFont="1" applyBorder="1" applyAlignment="1">
      <alignment horizontal="center" vertical="center" wrapText="1"/>
    </xf>
    <xf numFmtId="3" fontId="1" fillId="0" borderId="57" xfId="0" applyNumberFormat="1" applyFont="1" applyBorder="1" applyAlignment="1">
      <alignment horizontal="center" vertical="center" wrapText="1"/>
    </xf>
    <xf numFmtId="0" fontId="4" fillId="4" borderId="62" xfId="0" applyFont="1" applyFill="1" applyBorder="1" applyAlignment="1">
      <alignment horizontal="left" vertical="top" wrapText="1"/>
    </xf>
    <xf numFmtId="0" fontId="4" fillId="4" borderId="28" xfId="0" applyFont="1" applyFill="1" applyBorder="1" applyAlignment="1">
      <alignment horizontal="left" vertical="top" wrapText="1"/>
    </xf>
    <xf numFmtId="0" fontId="4" fillId="4" borderId="63" xfId="0" applyFont="1" applyFill="1" applyBorder="1" applyAlignment="1">
      <alignment horizontal="left" vertical="top" wrapText="1"/>
    </xf>
    <xf numFmtId="0" fontId="4" fillId="4" borderId="15" xfId="0" applyFont="1" applyFill="1" applyBorder="1" applyAlignment="1">
      <alignment horizontal="left" vertical="top" wrapText="1"/>
    </xf>
    <xf numFmtId="3" fontId="8" fillId="0" borderId="0" xfId="0" applyNumberFormat="1" applyFont="1" applyAlignment="1">
      <alignment horizontal="center" vertical="top" wrapText="1"/>
    </xf>
    <xf numFmtId="3" fontId="16" fillId="0" borderId="0" xfId="0" applyNumberFormat="1" applyFont="1" applyBorder="1" applyAlignment="1">
      <alignment horizontal="center" vertical="center" wrapText="1"/>
    </xf>
    <xf numFmtId="3" fontId="1" fillId="0" borderId="52" xfId="0" applyNumberFormat="1" applyFont="1" applyBorder="1" applyAlignment="1">
      <alignment horizontal="center" vertical="top" wrapText="1"/>
    </xf>
    <xf numFmtId="3" fontId="1" fillId="0" borderId="26" xfId="0" applyNumberFormat="1" applyFont="1" applyBorder="1" applyAlignment="1">
      <alignment horizontal="center" vertical="top" wrapText="1"/>
    </xf>
    <xf numFmtId="3" fontId="4" fillId="3" borderId="3" xfId="1" applyNumberFormat="1" applyFont="1" applyFill="1" applyBorder="1" applyAlignment="1">
      <alignment horizontal="left" vertical="top" wrapText="1"/>
    </xf>
    <xf numFmtId="0" fontId="3" fillId="0" borderId="3" xfId="1" applyFont="1" applyBorder="1" applyAlignment="1">
      <alignment horizontal="left" vertical="top" wrapText="1"/>
    </xf>
    <xf numFmtId="164" fontId="1" fillId="4" borderId="41" xfId="0" applyNumberFormat="1" applyFont="1" applyFill="1" applyBorder="1" applyAlignment="1">
      <alignment horizontal="center" vertical="top" wrapText="1"/>
    </xf>
    <xf numFmtId="3" fontId="5" fillId="19" borderId="16" xfId="0" applyNumberFormat="1" applyFont="1" applyFill="1" applyBorder="1" applyAlignment="1">
      <alignment horizontal="left" vertical="top" wrapText="1"/>
    </xf>
    <xf numFmtId="3" fontId="5" fillId="19" borderId="3" xfId="0" applyNumberFormat="1" applyFont="1" applyFill="1" applyBorder="1" applyAlignment="1">
      <alignment horizontal="left" vertical="top" wrapText="1"/>
    </xf>
    <xf numFmtId="3" fontId="5" fillId="19" borderId="17" xfId="0" applyNumberFormat="1" applyFont="1" applyFill="1" applyBorder="1" applyAlignment="1">
      <alignment horizontal="left" vertical="top" wrapText="1"/>
    </xf>
    <xf numFmtId="3" fontId="5" fillId="19" borderId="0" xfId="0" applyNumberFormat="1" applyFont="1" applyFill="1" applyBorder="1" applyAlignment="1">
      <alignment horizontal="left" vertical="top" wrapText="1"/>
    </xf>
    <xf numFmtId="3" fontId="5" fillId="19" borderId="57" xfId="0" applyNumberFormat="1" applyFont="1" applyFill="1" applyBorder="1" applyAlignment="1">
      <alignment horizontal="left" vertical="top" wrapText="1"/>
    </xf>
    <xf numFmtId="3" fontId="5" fillId="19" borderId="44" xfId="0" applyNumberFormat="1" applyFont="1" applyFill="1" applyBorder="1" applyAlignment="1">
      <alignment horizontal="left" vertical="top" wrapText="1"/>
    </xf>
    <xf numFmtId="49" fontId="5" fillId="19" borderId="10" xfId="0" applyNumberFormat="1" applyFont="1" applyFill="1" applyBorder="1" applyAlignment="1">
      <alignment horizontal="center" vertical="top" wrapText="1"/>
    </xf>
    <xf numFmtId="49" fontId="5" fillId="19" borderId="8" xfId="0" applyNumberFormat="1" applyFont="1" applyFill="1" applyBorder="1" applyAlignment="1">
      <alignment horizontal="center" vertical="top" wrapText="1"/>
    </xf>
    <xf numFmtId="164" fontId="4" fillId="0" borderId="28" xfId="0" applyNumberFormat="1" applyFont="1" applyBorder="1" applyAlignment="1">
      <alignment horizontal="center" vertical="center" textRotation="90" wrapText="1"/>
    </xf>
    <xf numFmtId="164" fontId="4" fillId="0" borderId="69" xfId="0" applyNumberFormat="1" applyFont="1" applyBorder="1" applyAlignment="1">
      <alignment horizontal="center" vertical="center" textRotation="90" wrapText="1"/>
    </xf>
    <xf numFmtId="3" fontId="1" fillId="4" borderId="32" xfId="0" applyNumberFormat="1" applyFont="1" applyFill="1" applyBorder="1" applyAlignment="1">
      <alignment horizontal="center" vertical="top" wrapText="1"/>
    </xf>
    <xf numFmtId="3" fontId="4" fillId="0" borderId="39" xfId="0" applyNumberFormat="1" applyFont="1" applyBorder="1" applyAlignment="1">
      <alignment horizontal="center" vertical="center" wrapText="1"/>
    </xf>
    <xf numFmtId="3" fontId="4" fillId="0" borderId="31" xfId="0" applyNumberFormat="1" applyFont="1" applyBorder="1" applyAlignment="1">
      <alignment horizontal="center" vertical="center" wrapText="1"/>
    </xf>
    <xf numFmtId="3" fontId="4" fillId="0" borderId="21" xfId="0" applyNumberFormat="1" applyFont="1" applyBorder="1" applyAlignment="1">
      <alignment horizontal="center" vertical="center" wrapText="1"/>
    </xf>
    <xf numFmtId="3" fontId="1" fillId="0" borderId="75" xfId="0" applyNumberFormat="1" applyFont="1" applyBorder="1" applyAlignment="1">
      <alignment horizontal="center" vertical="center" wrapText="1"/>
    </xf>
    <xf numFmtId="3" fontId="1" fillId="0" borderId="59" xfId="0" applyNumberFormat="1" applyFont="1" applyBorder="1" applyAlignment="1">
      <alignment horizontal="center" vertical="center" wrapText="1"/>
    </xf>
    <xf numFmtId="3" fontId="1" fillId="0" borderId="74"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3" fontId="4" fillId="0" borderId="41"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3" fontId="2" fillId="6" borderId="16" xfId="0" applyNumberFormat="1" applyFont="1" applyFill="1" applyBorder="1" applyAlignment="1">
      <alignment horizontal="left" vertical="top" wrapText="1"/>
    </xf>
    <xf numFmtId="3" fontId="2" fillId="6" borderId="3" xfId="0" applyNumberFormat="1" applyFont="1" applyFill="1" applyBorder="1" applyAlignment="1">
      <alignment horizontal="left" vertical="top" wrapText="1"/>
    </xf>
    <xf numFmtId="3" fontId="2" fillId="6" borderId="24" xfId="0" applyNumberFormat="1" applyFont="1" applyFill="1" applyBorder="1" applyAlignment="1">
      <alignment horizontal="left" vertical="top" wrapText="1"/>
    </xf>
    <xf numFmtId="3" fontId="6" fillId="8" borderId="62" xfId="0" applyNumberFormat="1" applyFont="1" applyFill="1" applyBorder="1" applyAlignment="1">
      <alignment horizontal="left" vertical="top" wrapText="1"/>
    </xf>
    <xf numFmtId="3" fontId="6" fillId="8" borderId="27" xfId="0" applyNumberFormat="1" applyFont="1" applyFill="1" applyBorder="1" applyAlignment="1">
      <alignment horizontal="left" vertical="top" wrapText="1"/>
    </xf>
    <xf numFmtId="3" fontId="6" fillId="8" borderId="28" xfId="0" applyNumberFormat="1" applyFont="1" applyFill="1" applyBorder="1" applyAlignment="1">
      <alignment horizontal="left" vertical="top" wrapText="1"/>
    </xf>
    <xf numFmtId="11" fontId="1" fillId="0" borderId="22" xfId="0" applyNumberFormat="1" applyFont="1" applyBorder="1" applyAlignment="1">
      <alignment horizontal="center" vertical="center" textRotation="90" wrapText="1"/>
    </xf>
    <xf numFmtId="11" fontId="1" fillId="0" borderId="41" xfId="0" applyNumberFormat="1" applyFont="1" applyBorder="1" applyAlignment="1">
      <alignment horizontal="center" vertical="center" textRotation="90" wrapText="1"/>
    </xf>
    <xf numFmtId="11" fontId="1" fillId="0" borderId="20" xfId="0" applyNumberFormat="1" applyFont="1" applyBorder="1" applyAlignment="1">
      <alignment horizontal="center" vertical="center" textRotation="90" wrapText="1"/>
    </xf>
    <xf numFmtId="11" fontId="1" fillId="0" borderId="13" xfId="0" applyNumberFormat="1" applyFont="1" applyBorder="1" applyAlignment="1">
      <alignment horizontal="center" vertical="center" textRotation="90" wrapText="1"/>
    </xf>
    <xf numFmtId="11" fontId="1" fillId="0" borderId="18" xfId="0" applyNumberFormat="1" applyFont="1" applyBorder="1" applyAlignment="1">
      <alignment horizontal="center" vertical="center" textRotation="90" wrapText="1"/>
    </xf>
    <xf numFmtId="11" fontId="1" fillId="0" borderId="19" xfId="0" applyNumberFormat="1" applyFont="1" applyBorder="1" applyAlignment="1">
      <alignment horizontal="center" vertical="center" textRotation="90" wrapText="1"/>
    </xf>
    <xf numFmtId="3" fontId="1" fillId="0" borderId="75" xfId="0" applyNumberFormat="1" applyFont="1" applyBorder="1" applyAlignment="1">
      <alignment horizontal="center" vertical="top" wrapText="1"/>
    </xf>
    <xf numFmtId="3" fontId="1" fillId="0" borderId="59" xfId="0" applyNumberFormat="1" applyFont="1" applyBorder="1" applyAlignment="1">
      <alignment horizontal="center" vertical="top" wrapText="1"/>
    </xf>
    <xf numFmtId="3" fontId="1" fillId="0" borderId="74" xfId="0" applyNumberFormat="1" applyFont="1" applyBorder="1" applyAlignment="1">
      <alignment horizontal="center" vertical="top" wrapText="1"/>
    </xf>
    <xf numFmtId="3" fontId="1" fillId="0" borderId="62" xfId="0" applyNumberFormat="1" applyFont="1" applyBorder="1" applyAlignment="1">
      <alignment horizontal="center" vertical="center" textRotation="90" wrapText="1"/>
    </xf>
    <xf numFmtId="3" fontId="1" fillId="0" borderId="57" xfId="0" applyNumberFormat="1" applyFont="1" applyBorder="1" applyAlignment="1">
      <alignment horizontal="center" vertical="center" textRotation="90" wrapText="1"/>
    </xf>
    <xf numFmtId="164" fontId="4" fillId="0" borderId="60" xfId="0" applyNumberFormat="1" applyFont="1" applyBorder="1" applyAlignment="1">
      <alignment horizontal="center" vertical="center" textRotation="90" wrapText="1"/>
    </xf>
    <xf numFmtId="164" fontId="4" fillId="0" borderId="19" xfId="0" applyNumberFormat="1" applyFont="1" applyBorder="1" applyAlignment="1">
      <alignment horizontal="center" vertical="center" textRotation="90" wrapText="1"/>
    </xf>
    <xf numFmtId="49" fontId="2" fillId="7" borderId="22" xfId="0" applyNumberFormat="1" applyFont="1" applyFill="1" applyBorder="1" applyAlignment="1">
      <alignment horizontal="center" vertical="top"/>
    </xf>
    <xf numFmtId="49" fontId="2" fillId="7" borderId="20" xfId="0" applyNumberFormat="1" applyFont="1" applyFill="1" applyBorder="1" applyAlignment="1">
      <alignment horizontal="center" vertical="top"/>
    </xf>
    <xf numFmtId="3" fontId="8" fillId="0" borderId="0" xfId="0" applyNumberFormat="1" applyFont="1" applyBorder="1" applyAlignment="1">
      <alignment horizontal="center" vertical="top" wrapText="1"/>
    </xf>
    <xf numFmtId="3" fontId="4" fillId="4" borderId="10" xfId="0" applyNumberFormat="1" applyFont="1" applyFill="1" applyBorder="1" applyAlignment="1">
      <alignment horizontal="left" vertical="top" wrapText="1"/>
    </xf>
    <xf numFmtId="3" fontId="4" fillId="4" borderId="50" xfId="0" applyNumberFormat="1" applyFont="1" applyFill="1" applyBorder="1" applyAlignment="1">
      <alignment horizontal="left" vertical="top" wrapText="1"/>
    </xf>
    <xf numFmtId="3" fontId="5" fillId="4" borderId="43" xfId="0" applyNumberFormat="1" applyFont="1" applyFill="1" applyBorder="1" applyAlignment="1">
      <alignment horizontal="left" vertical="top" wrapText="1"/>
    </xf>
    <xf numFmtId="3" fontId="4" fillId="4" borderId="18" xfId="0" applyNumberFormat="1" applyFont="1" applyFill="1" applyBorder="1" applyAlignment="1">
      <alignment horizontal="center" vertical="top" wrapText="1"/>
    </xf>
    <xf numFmtId="3" fontId="4" fillId="4" borderId="43" xfId="0" applyNumberFormat="1" applyFont="1" applyFill="1" applyBorder="1" applyAlignment="1">
      <alignment horizontal="center" vertical="top" wrapText="1"/>
    </xf>
    <xf numFmtId="3" fontId="5" fillId="0" borderId="60" xfId="0" applyNumberFormat="1" applyFont="1" applyFill="1" applyBorder="1" applyAlignment="1">
      <alignment horizontal="center" vertical="center" textRotation="90" wrapText="1"/>
    </xf>
    <xf numFmtId="3" fontId="5" fillId="0" borderId="43" xfId="0" applyNumberFormat="1" applyFont="1" applyFill="1" applyBorder="1" applyAlignment="1">
      <alignment horizontal="center" vertical="center" textRotation="90" wrapText="1"/>
    </xf>
    <xf numFmtId="3" fontId="2" fillId="2" borderId="73" xfId="0" applyNumberFormat="1" applyFont="1" applyFill="1" applyBorder="1" applyAlignment="1">
      <alignment horizontal="right" vertical="top" wrapText="1"/>
    </xf>
    <xf numFmtId="3" fontId="2" fillId="7" borderId="14" xfId="0" applyNumberFormat="1" applyFont="1" applyFill="1" applyBorder="1" applyAlignment="1">
      <alignment horizontal="right" vertical="top" wrapText="1"/>
    </xf>
    <xf numFmtId="3" fontId="2" fillId="7" borderId="55" xfId="0" applyNumberFormat="1" applyFont="1" applyFill="1" applyBorder="1" applyAlignment="1">
      <alignment horizontal="right" vertical="top" wrapText="1"/>
    </xf>
    <xf numFmtId="3" fontId="2" fillId="7" borderId="73" xfId="0" applyNumberFormat="1" applyFont="1" applyFill="1" applyBorder="1" applyAlignment="1">
      <alignment horizontal="right" vertical="top" wrapText="1"/>
    </xf>
    <xf numFmtId="3" fontId="2" fillId="7" borderId="16" xfId="0" applyNumberFormat="1" applyFont="1" applyFill="1" applyBorder="1" applyAlignment="1">
      <alignment horizontal="left" vertical="top" wrapText="1"/>
    </xf>
    <xf numFmtId="3" fontId="2" fillId="7" borderId="3" xfId="0" applyNumberFormat="1" applyFont="1" applyFill="1" applyBorder="1" applyAlignment="1">
      <alignment horizontal="left" vertical="top" wrapText="1"/>
    </xf>
    <xf numFmtId="3" fontId="2" fillId="7" borderId="24" xfId="0" applyNumberFormat="1" applyFont="1" applyFill="1" applyBorder="1" applyAlignment="1">
      <alignment horizontal="left" vertical="top" wrapText="1"/>
    </xf>
    <xf numFmtId="3" fontId="4" fillId="0" borderId="13" xfId="0" applyNumberFormat="1" applyFont="1" applyFill="1" applyBorder="1" applyAlignment="1">
      <alignment horizontal="left" vertical="top" wrapText="1"/>
    </xf>
    <xf numFmtId="3" fontId="4" fillId="0" borderId="19" xfId="0" applyNumberFormat="1" applyFont="1" applyFill="1" applyBorder="1" applyAlignment="1">
      <alignment horizontal="left" vertical="top" wrapText="1"/>
    </xf>
    <xf numFmtId="3" fontId="4" fillId="4" borderId="13" xfId="0" applyNumberFormat="1" applyFont="1" applyFill="1" applyBorder="1" applyAlignment="1">
      <alignment horizontal="left" vertical="top" wrapText="1"/>
    </xf>
    <xf numFmtId="167" fontId="4" fillId="9" borderId="10" xfId="3" applyNumberFormat="1" applyFont="1" applyFill="1" applyBorder="1" applyAlignment="1">
      <alignment horizontal="left" vertical="top" wrapText="1"/>
    </xf>
    <xf numFmtId="167" fontId="4" fillId="9" borderId="50" xfId="3" applyNumberFormat="1" applyFont="1" applyFill="1" applyBorder="1" applyAlignment="1">
      <alignment horizontal="left" vertical="top" wrapText="1"/>
    </xf>
    <xf numFmtId="3" fontId="5" fillId="4" borderId="19" xfId="0" applyNumberFormat="1" applyFont="1" applyFill="1" applyBorder="1" applyAlignment="1">
      <alignment horizontal="left" vertical="top" wrapText="1"/>
    </xf>
    <xf numFmtId="0" fontId="4" fillId="4" borderId="6" xfId="0" applyFont="1" applyFill="1" applyBorder="1" applyAlignment="1">
      <alignment horizontal="left" vertical="top" wrapText="1"/>
    </xf>
    <xf numFmtId="0" fontId="4" fillId="4" borderId="8" xfId="0" applyFont="1" applyFill="1" applyBorder="1" applyAlignment="1">
      <alignment horizontal="left" vertical="top" wrapText="1"/>
    </xf>
    <xf numFmtId="3" fontId="5" fillId="4" borderId="13" xfId="0" applyNumberFormat="1" applyFont="1" applyFill="1" applyBorder="1" applyAlignment="1">
      <alignment horizontal="left" vertical="top" wrapText="1"/>
    </xf>
    <xf numFmtId="167" fontId="4" fillId="11" borderId="6" xfId="3" applyNumberFormat="1" applyFont="1" applyFill="1" applyBorder="1" applyAlignment="1">
      <alignment horizontal="left" vertical="top" wrapText="1"/>
    </xf>
    <xf numFmtId="167" fontId="4" fillId="11" borderId="5" xfId="3" applyNumberFormat="1" applyFont="1" applyFill="1" applyBorder="1" applyAlignment="1">
      <alignment horizontal="left" vertical="top" wrapText="1"/>
    </xf>
    <xf numFmtId="0" fontId="1" fillId="4" borderId="6" xfId="0" applyFont="1" applyFill="1" applyBorder="1" applyAlignment="1">
      <alignment horizontal="left" vertical="top" wrapText="1"/>
    </xf>
    <xf numFmtId="0" fontId="1" fillId="4" borderId="5" xfId="0" applyFont="1" applyFill="1" applyBorder="1" applyAlignment="1">
      <alignment horizontal="left" vertical="top" wrapText="1"/>
    </xf>
    <xf numFmtId="3" fontId="1" fillId="4" borderId="6" xfId="0" applyNumberFormat="1" applyFont="1" applyFill="1" applyBorder="1" applyAlignment="1">
      <alignment horizontal="left" vertical="top" wrapText="1"/>
    </xf>
    <xf numFmtId="3" fontId="1" fillId="4" borderId="50" xfId="0" applyNumberFormat="1" applyFont="1" applyFill="1" applyBorder="1" applyAlignment="1">
      <alignment horizontal="left" vertical="top" wrapText="1"/>
    </xf>
    <xf numFmtId="49" fontId="2" fillId="2" borderId="13" xfId="0" applyNumberFormat="1" applyFont="1" applyFill="1" applyBorder="1" applyAlignment="1">
      <alignment horizontal="center" vertical="top"/>
    </xf>
    <xf numFmtId="49" fontId="2" fillId="2" borderId="19" xfId="0" applyNumberFormat="1" applyFont="1" applyFill="1" applyBorder="1" applyAlignment="1">
      <alignment horizontal="center" vertical="top"/>
    </xf>
    <xf numFmtId="3" fontId="2" fillId="0" borderId="13" xfId="0" applyNumberFormat="1" applyFont="1" applyFill="1" applyBorder="1" applyAlignment="1">
      <alignment horizontal="center" vertical="top" textRotation="90" wrapText="1"/>
    </xf>
    <xf numFmtId="3" fontId="2" fillId="0" borderId="39" xfId="0" applyNumberFormat="1" applyFont="1" applyFill="1" applyBorder="1" applyAlignment="1">
      <alignment horizontal="center" vertical="top"/>
    </xf>
    <xf numFmtId="3" fontId="2" fillId="0" borderId="21" xfId="0" applyNumberFormat="1" applyFont="1" applyFill="1" applyBorder="1" applyAlignment="1">
      <alignment horizontal="center" vertical="top"/>
    </xf>
    <xf numFmtId="3" fontId="1" fillId="4" borderId="10" xfId="0" applyNumberFormat="1" applyFont="1" applyFill="1" applyBorder="1" applyAlignment="1">
      <alignment horizontal="left" vertical="top" wrapText="1"/>
    </xf>
    <xf numFmtId="3" fontId="2" fillId="0" borderId="43" xfId="0" applyNumberFormat="1" applyFont="1" applyFill="1" applyBorder="1" applyAlignment="1">
      <alignment horizontal="center" vertical="top" textRotation="90" wrapText="1"/>
    </xf>
    <xf numFmtId="49" fontId="4" fillId="4" borderId="17" xfId="0" applyNumberFormat="1" applyFont="1" applyFill="1" applyBorder="1" applyAlignment="1">
      <alignment horizontal="left" vertical="top"/>
    </xf>
    <xf numFmtId="49" fontId="4" fillId="4" borderId="0" xfId="0" applyNumberFormat="1" applyFont="1" applyFill="1" applyBorder="1" applyAlignment="1">
      <alignment horizontal="left" vertical="top"/>
    </xf>
    <xf numFmtId="0" fontId="1" fillId="4" borderId="19" xfId="0" applyFont="1" applyFill="1" applyBorder="1" applyAlignment="1">
      <alignment horizontal="left" vertical="top" wrapText="1"/>
    </xf>
    <xf numFmtId="0" fontId="1" fillId="4" borderId="8" xfId="0" applyFont="1" applyFill="1" applyBorder="1" applyAlignment="1">
      <alignment horizontal="left" vertical="top" wrapText="1"/>
    </xf>
    <xf numFmtId="0" fontId="1" fillId="4" borderId="50" xfId="0" applyFont="1" applyFill="1" applyBorder="1" applyAlignment="1">
      <alignment horizontal="left" vertical="top" wrapText="1"/>
    </xf>
    <xf numFmtId="49" fontId="4" fillId="4" borderId="3" xfId="0" applyNumberFormat="1" applyFont="1" applyFill="1" applyBorder="1" applyAlignment="1">
      <alignment horizontal="left" vertical="top"/>
    </xf>
    <xf numFmtId="3" fontId="1" fillId="0" borderId="13" xfId="0" applyNumberFormat="1" applyFont="1" applyBorder="1" applyAlignment="1">
      <alignment horizontal="center" vertical="center" wrapText="1"/>
    </xf>
    <xf numFmtId="3" fontId="1" fillId="0" borderId="18" xfId="0" applyNumberFormat="1" applyFont="1" applyBorder="1" applyAlignment="1">
      <alignment horizontal="center" vertical="center" wrapText="1"/>
    </xf>
    <xf numFmtId="3" fontId="1" fillId="0" borderId="19" xfId="0" applyNumberFormat="1" applyFont="1" applyBorder="1" applyAlignment="1">
      <alignment horizontal="center" vertical="center" wrapText="1"/>
    </xf>
    <xf numFmtId="3" fontId="1" fillId="0" borderId="22" xfId="0" applyNumberFormat="1" applyFont="1" applyBorder="1" applyAlignment="1">
      <alignment horizontal="center" vertical="center" wrapText="1"/>
    </xf>
    <xf numFmtId="3" fontId="1" fillId="0" borderId="41" xfId="0" applyNumberFormat="1" applyFont="1" applyBorder="1" applyAlignment="1">
      <alignment horizontal="center" vertical="center" wrapText="1"/>
    </xf>
    <xf numFmtId="3" fontId="1" fillId="0" borderId="20" xfId="0" applyNumberFormat="1" applyFont="1" applyBorder="1" applyAlignment="1">
      <alignment horizontal="center" vertical="center" wrapText="1"/>
    </xf>
    <xf numFmtId="3" fontId="1" fillId="0" borderId="39" xfId="0" applyNumberFormat="1" applyFont="1" applyBorder="1" applyAlignment="1">
      <alignment horizontal="center" vertical="center" wrapText="1"/>
    </xf>
    <xf numFmtId="3" fontId="1" fillId="0" borderId="31" xfId="0" applyNumberFormat="1" applyFont="1" applyBorder="1" applyAlignment="1">
      <alignment horizontal="center" vertical="center" wrapText="1"/>
    </xf>
    <xf numFmtId="3" fontId="1" fillId="0" borderId="21" xfId="0" applyNumberFormat="1" applyFont="1" applyBorder="1" applyAlignment="1">
      <alignment horizontal="center" vertical="center" wrapText="1"/>
    </xf>
    <xf numFmtId="3" fontId="1" fillId="0" borderId="6" xfId="0" applyNumberFormat="1" applyFont="1" applyBorder="1" applyAlignment="1">
      <alignment horizontal="center" vertical="center" textRotation="90" wrapText="1"/>
    </xf>
    <xf numFmtId="164" fontId="4" fillId="0" borderId="6" xfId="0" applyNumberFormat="1" applyFont="1" applyBorder="1" applyAlignment="1">
      <alignment horizontal="center" vertical="center" textRotation="90" wrapText="1"/>
    </xf>
    <xf numFmtId="164" fontId="4" fillId="0" borderId="50" xfId="0" applyNumberFormat="1" applyFont="1" applyBorder="1" applyAlignment="1">
      <alignment horizontal="center" vertical="center" textRotation="90" wrapText="1"/>
    </xf>
    <xf numFmtId="3" fontId="1" fillId="0" borderId="6" xfId="0" applyNumberFormat="1" applyFont="1" applyBorder="1" applyAlignment="1">
      <alignment horizontal="center" vertical="center" wrapText="1"/>
    </xf>
    <xf numFmtId="3" fontId="1" fillId="0" borderId="50" xfId="0" applyNumberFormat="1" applyFont="1" applyBorder="1" applyAlignment="1">
      <alignment horizontal="center" vertical="center" wrapText="1"/>
    </xf>
    <xf numFmtId="3" fontId="1" fillId="0" borderId="65" xfId="0" applyNumberFormat="1" applyFont="1" applyBorder="1" applyAlignment="1">
      <alignment horizontal="center" vertical="top" wrapText="1"/>
    </xf>
    <xf numFmtId="3" fontId="2" fillId="6" borderId="12" xfId="0" applyNumberFormat="1" applyFont="1" applyFill="1" applyBorder="1" applyAlignment="1">
      <alignment horizontal="left" vertical="top" wrapText="1"/>
    </xf>
    <xf numFmtId="3" fontId="2" fillId="6" borderId="55" xfId="0" applyNumberFormat="1" applyFont="1" applyFill="1" applyBorder="1" applyAlignment="1">
      <alignment horizontal="left" vertical="top" wrapText="1"/>
    </xf>
    <xf numFmtId="3" fontId="2" fillId="6" borderId="73" xfId="0" applyNumberFormat="1" applyFont="1" applyFill="1" applyBorder="1" applyAlignment="1">
      <alignment horizontal="left" vertical="top" wrapText="1"/>
    </xf>
    <xf numFmtId="3" fontId="6" fillId="8" borderId="12" xfId="0" applyNumberFormat="1" applyFont="1" applyFill="1" applyBorder="1" applyAlignment="1">
      <alignment horizontal="left" vertical="top" wrapText="1"/>
    </xf>
    <xf numFmtId="3" fontId="6" fillId="8" borderId="55" xfId="0" applyNumberFormat="1" applyFont="1" applyFill="1" applyBorder="1" applyAlignment="1">
      <alignment horizontal="left" vertical="top" wrapText="1"/>
    </xf>
    <xf numFmtId="3" fontId="6" fillId="8" borderId="73" xfId="0" applyNumberFormat="1" applyFont="1" applyFill="1" applyBorder="1" applyAlignment="1">
      <alignment horizontal="left" vertical="top" wrapText="1"/>
    </xf>
    <xf numFmtId="49" fontId="5" fillId="7" borderId="22" xfId="0" applyNumberFormat="1" applyFont="1" applyFill="1" applyBorder="1" applyAlignment="1">
      <alignment horizontal="center" vertical="top" wrapText="1"/>
    </xf>
    <xf numFmtId="49" fontId="5" fillId="7" borderId="41" xfId="0" applyNumberFormat="1" applyFont="1" applyFill="1" applyBorder="1" applyAlignment="1">
      <alignment horizontal="center" vertical="top" wrapText="1"/>
    </xf>
    <xf numFmtId="49" fontId="5" fillId="7" borderId="20" xfId="0" applyNumberFormat="1" applyFont="1" applyFill="1" applyBorder="1" applyAlignment="1">
      <alignment horizontal="center" vertical="top" wrapText="1"/>
    </xf>
    <xf numFmtId="3" fontId="5" fillId="7" borderId="64" xfId="0" applyNumberFormat="1" applyFont="1" applyFill="1" applyBorder="1" applyAlignment="1">
      <alignment horizontal="left" vertical="top" wrapText="1"/>
    </xf>
    <xf numFmtId="3" fontId="5" fillId="7" borderId="3" xfId="0" applyNumberFormat="1" applyFont="1" applyFill="1" applyBorder="1" applyAlignment="1">
      <alignment horizontal="left" vertical="top" wrapText="1"/>
    </xf>
    <xf numFmtId="3" fontId="5" fillId="7" borderId="24" xfId="0" applyNumberFormat="1" applyFont="1" applyFill="1" applyBorder="1" applyAlignment="1">
      <alignment horizontal="left" vertical="top" wrapText="1"/>
    </xf>
    <xf numFmtId="3" fontId="5" fillId="7" borderId="32" xfId="0" applyNumberFormat="1" applyFont="1" applyFill="1" applyBorder="1" applyAlignment="1">
      <alignment horizontal="left" vertical="top" wrapText="1"/>
    </xf>
    <xf numFmtId="3" fontId="5" fillId="7" borderId="0" xfId="0" applyNumberFormat="1" applyFont="1" applyFill="1" applyBorder="1" applyAlignment="1">
      <alignment horizontal="left" vertical="top" wrapText="1"/>
    </xf>
    <xf numFmtId="3" fontId="5" fillId="7" borderId="7" xfId="0" applyNumberFormat="1" applyFont="1" applyFill="1" applyBorder="1" applyAlignment="1">
      <alignment horizontal="left" vertical="top" wrapText="1"/>
    </xf>
    <xf numFmtId="3" fontId="5" fillId="7" borderId="68" xfId="0" applyNumberFormat="1" applyFont="1" applyFill="1" applyBorder="1" applyAlignment="1">
      <alignment horizontal="left" vertical="top" wrapText="1"/>
    </xf>
    <xf numFmtId="3" fontId="5" fillId="7" borderId="44" xfId="0" applyNumberFormat="1" applyFont="1" applyFill="1" applyBorder="1" applyAlignment="1">
      <alignment horizontal="left" vertical="top" wrapText="1"/>
    </xf>
    <xf numFmtId="3" fontId="5" fillId="7" borderId="69" xfId="0" applyNumberFormat="1" applyFont="1" applyFill="1" applyBorder="1" applyAlignment="1">
      <alignment horizontal="left" vertical="top" wrapText="1"/>
    </xf>
    <xf numFmtId="3" fontId="5" fillId="2" borderId="12" xfId="0" applyNumberFormat="1" applyFont="1" applyFill="1" applyBorder="1" applyAlignment="1">
      <alignment horizontal="left" vertical="top" wrapText="1"/>
    </xf>
    <xf numFmtId="3" fontId="5" fillId="2" borderId="55" xfId="0" applyNumberFormat="1" applyFont="1" applyFill="1" applyBorder="1" applyAlignment="1">
      <alignment horizontal="left" vertical="top" wrapText="1"/>
    </xf>
    <xf numFmtId="3" fontId="5" fillId="2" borderId="73" xfId="0" applyNumberFormat="1" applyFont="1" applyFill="1" applyBorder="1" applyAlignment="1">
      <alignment horizontal="left" vertical="top" wrapText="1"/>
    </xf>
    <xf numFmtId="3" fontId="6" fillId="0" borderId="18" xfId="0" applyNumberFormat="1" applyFont="1" applyFill="1" applyBorder="1" applyAlignment="1">
      <alignment horizontal="left" vertical="top" wrapText="1"/>
    </xf>
    <xf numFmtId="3" fontId="5" fillId="0" borderId="13" xfId="0" applyNumberFormat="1" applyFont="1" applyFill="1" applyBorder="1" applyAlignment="1">
      <alignment vertical="top" wrapText="1"/>
    </xf>
    <xf numFmtId="3" fontId="5" fillId="0" borderId="18" xfId="0" applyNumberFormat="1" applyFont="1" applyFill="1" applyBorder="1" applyAlignment="1">
      <alignment vertical="top" wrapText="1"/>
    </xf>
    <xf numFmtId="3" fontId="5" fillId="0" borderId="13" xfId="0" applyNumberFormat="1" applyFont="1" applyFill="1" applyBorder="1" applyAlignment="1">
      <alignment horizontal="left" vertical="top" wrapText="1"/>
    </xf>
    <xf numFmtId="3" fontId="18" fillId="5" borderId="51" xfId="0" applyNumberFormat="1" applyFont="1" applyFill="1" applyBorder="1" applyAlignment="1">
      <alignment horizontal="right" vertical="top" wrapText="1"/>
    </xf>
    <xf numFmtId="49" fontId="2" fillId="7" borderId="41" xfId="0" applyNumberFormat="1" applyFont="1" applyFill="1" applyBorder="1" applyAlignment="1">
      <alignment horizontal="center" vertical="top"/>
    </xf>
    <xf numFmtId="3" fontId="2" fillId="10" borderId="18" xfId="0" quotePrefix="1" applyNumberFormat="1" applyFont="1" applyFill="1" applyBorder="1" applyAlignment="1">
      <alignment horizontal="center" vertical="top" wrapText="1"/>
    </xf>
    <xf numFmtId="3" fontId="2" fillId="4" borderId="13" xfId="0" quotePrefix="1" applyNumberFormat="1" applyFont="1" applyFill="1" applyBorder="1" applyAlignment="1">
      <alignment horizontal="center" vertical="top" wrapText="1"/>
    </xf>
    <xf numFmtId="3" fontId="2" fillId="4" borderId="18" xfId="0" quotePrefix="1" applyNumberFormat="1" applyFont="1" applyFill="1" applyBorder="1" applyAlignment="1">
      <alignment horizontal="center" vertical="top" wrapText="1"/>
    </xf>
    <xf numFmtId="3" fontId="2" fillId="4" borderId="19" xfId="0" quotePrefix="1" applyNumberFormat="1" applyFont="1" applyFill="1" applyBorder="1" applyAlignment="1">
      <alignment horizontal="center" vertical="top" wrapText="1"/>
    </xf>
    <xf numFmtId="3" fontId="4" fillId="4" borderId="8" xfId="0" applyNumberFormat="1" applyFont="1" applyFill="1" applyBorder="1" applyAlignment="1">
      <alignment horizontal="left" vertical="top" wrapText="1"/>
    </xf>
    <xf numFmtId="167" fontId="4" fillId="9" borderId="5" xfId="3" applyNumberFormat="1" applyFont="1" applyFill="1" applyBorder="1" applyAlignment="1">
      <alignment horizontal="left" vertical="top" wrapText="1"/>
    </xf>
    <xf numFmtId="167" fontId="4" fillId="9" borderId="6" xfId="3" applyNumberFormat="1" applyFont="1" applyFill="1" applyBorder="1" applyAlignment="1">
      <alignment horizontal="left" vertical="top" wrapText="1"/>
    </xf>
    <xf numFmtId="164" fontId="1" fillId="4" borderId="41" xfId="0" applyNumberFormat="1" applyFont="1" applyFill="1" applyBorder="1" applyAlignment="1">
      <alignment horizontal="center" vertical="top"/>
    </xf>
    <xf numFmtId="164" fontId="1" fillId="4" borderId="18" xfId="0" applyNumberFormat="1" applyFont="1" applyFill="1" applyBorder="1" applyAlignment="1">
      <alignment horizontal="center" vertical="top"/>
    </xf>
    <xf numFmtId="164" fontId="1" fillId="4" borderId="31" xfId="0" applyNumberFormat="1" applyFont="1" applyFill="1" applyBorder="1" applyAlignment="1">
      <alignment horizontal="center" vertical="top"/>
    </xf>
    <xf numFmtId="167" fontId="4" fillId="9" borderId="96" xfId="3" applyNumberFormat="1" applyFont="1" applyFill="1" applyBorder="1" applyAlignment="1">
      <alignment horizontal="left" vertical="top" wrapText="1"/>
    </xf>
    <xf numFmtId="3" fontId="1" fillId="4" borderId="17" xfId="0" applyNumberFormat="1" applyFont="1" applyFill="1" applyBorder="1" applyAlignment="1">
      <alignment horizontal="center" vertical="top" wrapText="1"/>
    </xf>
    <xf numFmtId="3" fontId="1" fillId="4" borderId="0" xfId="0" applyNumberFormat="1" applyFont="1" applyFill="1" applyBorder="1" applyAlignment="1">
      <alignment horizontal="center" vertical="top" wrapText="1"/>
    </xf>
    <xf numFmtId="3" fontId="2" fillId="3" borderId="13" xfId="0" applyNumberFormat="1" applyFont="1" applyFill="1" applyBorder="1" applyAlignment="1">
      <alignment horizontal="left" vertical="top" wrapText="1"/>
    </xf>
    <xf numFmtId="3" fontId="2" fillId="3" borderId="18" xfId="0" applyNumberFormat="1" applyFont="1" applyFill="1" applyBorder="1" applyAlignment="1">
      <alignment horizontal="left" vertical="top" wrapText="1"/>
    </xf>
    <xf numFmtId="3" fontId="2" fillId="3" borderId="43" xfId="0" applyNumberFormat="1" applyFont="1" applyFill="1" applyBorder="1" applyAlignment="1">
      <alignment horizontal="left" vertical="top" wrapText="1"/>
    </xf>
    <xf numFmtId="3" fontId="1" fillId="4" borderId="5" xfId="0" applyNumberFormat="1" applyFont="1" applyFill="1" applyBorder="1" applyAlignment="1">
      <alignment horizontal="left" vertical="top" wrapText="1"/>
    </xf>
    <xf numFmtId="3" fontId="4" fillId="0" borderId="59" xfId="0" applyNumberFormat="1" applyFont="1" applyBorder="1" applyAlignment="1">
      <alignment horizontal="left" vertical="top" wrapText="1"/>
    </xf>
    <xf numFmtId="3" fontId="4" fillId="0" borderId="48" xfId="0" applyNumberFormat="1" applyFont="1" applyBorder="1" applyAlignment="1">
      <alignment horizontal="left" vertical="top" wrapText="1"/>
    </xf>
    <xf numFmtId="3" fontId="4" fillId="0" borderId="46" xfId="0" applyNumberFormat="1" applyFont="1" applyBorder="1" applyAlignment="1">
      <alignment horizontal="left" vertical="top" wrapText="1"/>
    </xf>
    <xf numFmtId="3" fontId="4" fillId="0" borderId="51" xfId="0" applyNumberFormat="1" applyFont="1" applyBorder="1" applyAlignment="1">
      <alignment horizontal="left" vertical="top" wrapText="1"/>
    </xf>
    <xf numFmtId="3" fontId="1" fillId="0" borderId="65" xfId="0" applyNumberFormat="1" applyFont="1" applyBorder="1" applyAlignment="1">
      <alignment vertical="top" wrapText="1"/>
    </xf>
    <xf numFmtId="3" fontId="1" fillId="0" borderId="35" xfId="0" applyNumberFormat="1" applyFont="1" applyBorder="1" applyAlignment="1">
      <alignment vertical="top" wrapText="1"/>
    </xf>
    <xf numFmtId="3" fontId="1" fillId="0" borderId="26" xfId="0" applyNumberFormat="1" applyFont="1" applyBorder="1" applyAlignment="1">
      <alignment vertical="top" wrapText="1"/>
    </xf>
    <xf numFmtId="3" fontId="1" fillId="5" borderId="52" xfId="0" applyNumberFormat="1" applyFont="1" applyFill="1" applyBorder="1" applyAlignment="1">
      <alignment horizontal="left" vertical="top" wrapText="1"/>
    </xf>
    <xf numFmtId="3" fontId="2" fillId="8" borderId="48" xfId="0" applyNumberFormat="1" applyFont="1" applyFill="1" applyBorder="1" applyAlignment="1">
      <alignment horizontal="right" vertical="top" wrapText="1"/>
    </xf>
    <xf numFmtId="3" fontId="2" fillId="8" borderId="46" xfId="0" applyNumberFormat="1" applyFont="1" applyFill="1" applyBorder="1" applyAlignment="1">
      <alignment horizontal="right" vertical="top" wrapText="1"/>
    </xf>
    <xf numFmtId="3" fontId="2" fillId="8" borderId="51" xfId="0" applyNumberFormat="1" applyFont="1" applyFill="1" applyBorder="1" applyAlignment="1">
      <alignment horizontal="right" vertical="top" wrapText="1"/>
    </xf>
  </cellXfs>
  <cellStyles count="4">
    <cellStyle name="Excel Built-in Normal" xfId="3"/>
    <cellStyle name="Įprastas" xfId="0" builtinId="0"/>
    <cellStyle name="Įprastas 2" xfId="1"/>
    <cellStyle name="Normal" xfId="2"/>
  </cellStyles>
  <dxfs count="0"/>
  <tableStyles count="0" defaultTableStyle="TableStyleMedium2" defaultPivotStyle="PivotStyleLight16"/>
  <colors>
    <mruColors>
      <color rgb="FFFFCCFF"/>
      <color rgb="FFCCFF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t-LT" b="1">
                <a:latin typeface="Times New Roman" panose="02020603050405020304" pitchFamily="18" charset="0"/>
                <a:cs typeface="Times New Roman" panose="02020603050405020304" pitchFamily="18" charset="0"/>
              </a:rPr>
              <a:t>2019 m. SVP programos Nr. 10 įvykdymas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t-L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1067704727956712E-2"/>
          <c:y val="0.31993605033898448"/>
          <c:w val="0.91744871696863139"/>
          <c:h val="0.64960231456216488"/>
        </c:manualLayout>
      </c:layout>
      <c:pie3DChart>
        <c:varyColors val="1"/>
        <c:ser>
          <c:idx val="0"/>
          <c:order val="0"/>
          <c:dPt>
            <c:idx val="0"/>
            <c:bubble3D val="0"/>
            <c:spPr>
              <a:solidFill>
                <a:sysClr val="window" lastClr="FFFFFF"/>
              </a:solidFill>
              <a:ln w="25400">
                <a:solidFill>
                  <a:sysClr val="windowText" lastClr="000000"/>
                </a:solidFill>
              </a:ln>
              <a:effectLst/>
              <a:sp3d contourW="25400">
                <a:contourClr>
                  <a:sysClr val="windowText" lastClr="000000"/>
                </a:contourClr>
              </a:sp3d>
            </c:spPr>
            <c:extLst>
              <c:ext xmlns:c16="http://schemas.microsoft.com/office/drawing/2014/chart" uri="{C3380CC4-5D6E-409C-BE32-E72D297353CC}">
                <c16:uniqueId val="{00000003-F7F4-4976-B6F1-D8E353AAF46B}"/>
              </c:ext>
            </c:extLst>
          </c:dPt>
          <c:dPt>
            <c:idx val="1"/>
            <c:bubble3D val="0"/>
            <c:spPr>
              <a:solidFill>
                <a:schemeClr val="tx2">
                  <a:lumMod val="20000"/>
                  <a:lumOff val="80000"/>
                </a:schemeClr>
              </a:solidFill>
              <a:ln w="25400">
                <a:solidFill>
                  <a:sysClr val="windowText" lastClr="000000"/>
                </a:solidFill>
              </a:ln>
              <a:effectLst/>
              <a:sp3d contourW="25400">
                <a:contourClr>
                  <a:sysClr val="windowText" lastClr="000000"/>
                </a:contourClr>
              </a:sp3d>
            </c:spPr>
            <c:extLst>
              <c:ext xmlns:c16="http://schemas.microsoft.com/office/drawing/2014/chart" uri="{C3380CC4-5D6E-409C-BE32-E72D297353CC}">
                <c16:uniqueId val="{0000000F-F7F4-4976-B6F1-D8E353AAF46B}"/>
              </c:ext>
            </c:extLst>
          </c:dPt>
          <c:dPt>
            <c:idx val="2"/>
            <c:bubble3D val="0"/>
            <c:spPr>
              <a:solidFill>
                <a:srgbClr val="FFCCFF"/>
              </a:solidFill>
              <a:ln w="25400">
                <a:solidFill>
                  <a:sysClr val="windowText" lastClr="000000"/>
                </a:solidFill>
              </a:ln>
              <a:effectLst/>
              <a:sp3d contourW="25400">
                <a:contourClr>
                  <a:sysClr val="windowText" lastClr="000000"/>
                </a:contourClr>
              </a:sp3d>
            </c:spPr>
            <c:extLst>
              <c:ext xmlns:c16="http://schemas.microsoft.com/office/drawing/2014/chart" uri="{C3380CC4-5D6E-409C-BE32-E72D297353CC}">
                <c16:uniqueId val="{0000000D-F7F4-4976-B6F1-D8E353AAF46B}"/>
              </c:ext>
            </c:extLst>
          </c:dPt>
          <c:dPt>
            <c:idx val="3"/>
            <c:bubble3D val="0"/>
            <c:spPr>
              <a:solidFill>
                <a:schemeClr val="bg1">
                  <a:lumMod val="85000"/>
                </a:schemeClr>
              </a:solidFill>
              <a:ln w="25400">
                <a:solidFill>
                  <a:sysClr val="windowText" lastClr="000000"/>
                </a:solidFill>
              </a:ln>
              <a:effectLst/>
              <a:sp3d contourW="25400">
                <a:contourClr>
                  <a:sysClr val="windowText" lastClr="000000"/>
                </a:contourClr>
              </a:sp3d>
            </c:spPr>
            <c:extLst>
              <c:ext xmlns:c16="http://schemas.microsoft.com/office/drawing/2014/chart" uri="{C3380CC4-5D6E-409C-BE32-E72D297353CC}">
                <c16:uniqueId val="{00000006-642A-4482-916C-B92AC18CA243}"/>
              </c:ext>
            </c:extLst>
          </c:dPt>
          <c:dLbls>
            <c:dLbl>
              <c:idx val="0"/>
              <c:layout>
                <c:manualLayout>
                  <c:x val="0.17844663167104111"/>
                  <c:y val="-3.5761154855643044E-3"/>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F7F4-4976-B6F1-D8E353AAF46B}"/>
                </c:ext>
              </c:extLst>
            </c:dLbl>
            <c:dLbl>
              <c:idx val="1"/>
              <c:layout>
                <c:manualLayout>
                  <c:x val="-0.16509930433453099"/>
                  <c:y val="2.4976481900158519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F-F7F4-4976-B6F1-D8E353AAF46B}"/>
                </c:ext>
              </c:extLst>
            </c:dLbl>
            <c:dLbl>
              <c:idx val="2"/>
              <c:layout>
                <c:manualLayout>
                  <c:x val="-4.6074657334499877E-2"/>
                  <c:y val="-6.3817573262057864E-2"/>
                </c:manualLayout>
              </c:layou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F7F4-4976-B6F1-D8E353AAF46B}"/>
                </c:ext>
              </c:extLst>
            </c:dLbl>
            <c:dLbl>
              <c:idx val="3"/>
              <c:layout>
                <c:manualLayout>
                  <c:x val="0.17564741907261591"/>
                  <c:y val="-2.175154711165691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42A-4482-916C-B92AC18CA243}"/>
                </c:ext>
              </c:extLst>
            </c:dLbl>
            <c:numFmt formatCode="0\ %"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t-LT"/>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Ataskaita!$A$9:$A$11</c:f>
              <c:strCache>
                <c:ptCount val="3"/>
                <c:pt idx="0">
                  <c:v>faktiškai įvykdyta –</c:v>
                </c:pt>
                <c:pt idx="1">
                  <c:v>iš dalies įvykdyta –</c:v>
                </c:pt>
                <c:pt idx="2">
                  <c:v>neįvykdyta –</c:v>
                </c:pt>
              </c:strCache>
            </c:strRef>
          </c:cat>
          <c:val>
            <c:numRef>
              <c:f>Ataskaita!$B$9:$B$11</c:f>
              <c:numCache>
                <c:formatCode>0</c:formatCode>
                <c:ptCount val="3"/>
                <c:pt idx="0">
                  <c:v>54</c:v>
                </c:pt>
                <c:pt idx="1">
                  <c:v>11</c:v>
                </c:pt>
                <c:pt idx="2">
                  <c:v>4</c:v>
                </c:pt>
              </c:numCache>
            </c:numRef>
          </c:val>
          <c:extLst>
            <c:ext xmlns:c16="http://schemas.microsoft.com/office/drawing/2014/chart" uri="{C3380CC4-5D6E-409C-BE32-E72D297353CC}">
              <c16:uniqueId val="{00000000-F7F4-4976-B6F1-D8E353AAF46B}"/>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123825</xdr:colOff>
      <xdr:row>11</xdr:row>
      <xdr:rowOff>85725</xdr:rowOff>
    </xdr:from>
    <xdr:to>
      <xdr:col>4</xdr:col>
      <xdr:colOff>304800</xdr:colOff>
      <xdr:row>26</xdr:row>
      <xdr:rowOff>771525</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1"/>
  <sheetViews>
    <sheetView workbookViewId="0">
      <selection activeCell="H20" sqref="H20"/>
    </sheetView>
  </sheetViews>
  <sheetFormatPr defaultRowHeight="12.75" x14ac:dyDescent="0.2"/>
  <cols>
    <col min="2" max="2" width="22.42578125" customWidth="1"/>
    <col min="3" max="3" width="55.85546875" customWidth="1"/>
  </cols>
  <sheetData>
    <row r="1" spans="2:3" ht="15.75" x14ac:dyDescent="0.2">
      <c r="B1" s="1618" t="s">
        <v>47</v>
      </c>
      <c r="C1" s="1618"/>
    </row>
    <row r="2" spans="2:3" ht="31.5" x14ac:dyDescent="0.2">
      <c r="B2" s="2" t="s">
        <v>12</v>
      </c>
      <c r="C2" s="3" t="s">
        <v>48</v>
      </c>
    </row>
    <row r="3" spans="2:3" ht="15.75" x14ac:dyDescent="0.2">
      <c r="B3" s="2">
        <v>1</v>
      </c>
      <c r="C3" s="4" t="s">
        <v>46</v>
      </c>
    </row>
    <row r="4" spans="2:3" ht="15.75" x14ac:dyDescent="0.2">
      <c r="B4" s="2">
        <v>2</v>
      </c>
      <c r="C4" s="5" t="s">
        <v>49</v>
      </c>
    </row>
    <row r="5" spans="2:3" ht="15.75" x14ac:dyDescent="0.2">
      <c r="B5" s="2">
        <v>3</v>
      </c>
      <c r="C5" s="4" t="s">
        <v>50</v>
      </c>
    </row>
    <row r="6" spans="2:3" ht="15.75" x14ac:dyDescent="0.2">
      <c r="B6" s="2">
        <v>4</v>
      </c>
      <c r="C6" s="4" t="s">
        <v>51</v>
      </c>
    </row>
    <row r="7" spans="2:3" ht="15.75" x14ac:dyDescent="0.2">
      <c r="B7" s="2">
        <v>5</v>
      </c>
      <c r="C7" s="4" t="s">
        <v>52</v>
      </c>
    </row>
    <row r="8" spans="2:3" ht="15.75" x14ac:dyDescent="0.2">
      <c r="B8" s="2">
        <v>6</v>
      </c>
      <c r="C8" s="4" t="s">
        <v>53</v>
      </c>
    </row>
    <row r="10" spans="2:3" ht="12.75" customHeight="1" x14ac:dyDescent="0.2">
      <c r="B10" s="1619" t="s">
        <v>54</v>
      </c>
      <c r="C10" s="1619"/>
    </row>
    <row r="11" spans="2:3" x14ac:dyDescent="0.2">
      <c r="B11" s="1619"/>
      <c r="C11" s="1619"/>
    </row>
  </sheetData>
  <mergeCells count="2">
    <mergeCell ref="B1:C1"/>
    <mergeCell ref="B10:C11"/>
  </mergeCells>
  <phoneticPr fontId="1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1"/>
  <sheetViews>
    <sheetView topLeftCell="A235" zoomScaleNormal="100" workbookViewId="0">
      <selection activeCell="I241" sqref="I241"/>
    </sheetView>
  </sheetViews>
  <sheetFormatPr defaultColWidth="9.140625" defaultRowHeight="15.75" x14ac:dyDescent="0.25"/>
  <cols>
    <col min="1" max="1" width="5.5703125" style="918" customWidth="1"/>
    <col min="2" max="2" width="30.42578125" style="1075" customWidth="1"/>
    <col min="3" max="3" width="3.85546875" style="924" customWidth="1"/>
    <col min="4" max="4" width="7.85546875" style="983" customWidth="1"/>
    <col min="5" max="5" width="9.7109375" style="1029" customWidth="1"/>
    <col min="6" max="6" width="9.28515625" style="1029" customWidth="1"/>
    <col min="7" max="7" width="8.140625" style="1029" customWidth="1"/>
    <col min="8" max="8" width="10.7109375" style="833" hidden="1" customWidth="1"/>
    <col min="9" max="9" width="32.5703125" style="833" customWidth="1"/>
    <col min="10" max="10" width="7.140625" style="918" customWidth="1"/>
    <col min="11" max="12" width="6" style="919" customWidth="1"/>
    <col min="13" max="14" width="31.5703125" style="1075" customWidth="1"/>
    <col min="15" max="16384" width="9.140625" style="833"/>
  </cols>
  <sheetData>
    <row r="1" spans="1:14" x14ac:dyDescent="0.25">
      <c r="A1" s="1693" t="s">
        <v>313</v>
      </c>
      <c r="B1" s="1696" t="s">
        <v>314</v>
      </c>
      <c r="C1" s="1681" t="s">
        <v>315</v>
      </c>
      <c r="D1" s="1697" t="s">
        <v>316</v>
      </c>
      <c r="E1" s="1678" t="s">
        <v>317</v>
      </c>
      <c r="F1" s="1678" t="s">
        <v>318</v>
      </c>
      <c r="G1" s="1678" t="s">
        <v>319</v>
      </c>
      <c r="H1" s="1681" t="s">
        <v>320</v>
      </c>
      <c r="I1" s="1681" t="s">
        <v>321</v>
      </c>
      <c r="J1" s="1681"/>
      <c r="K1" s="1681"/>
      <c r="L1" s="1681"/>
      <c r="M1" s="1681"/>
      <c r="N1" s="1684"/>
    </row>
    <row r="2" spans="1:14" x14ac:dyDescent="0.25">
      <c r="A2" s="1694"/>
      <c r="B2" s="1689"/>
      <c r="C2" s="1682"/>
      <c r="D2" s="1687"/>
      <c r="E2" s="1679"/>
      <c r="F2" s="1679"/>
      <c r="G2" s="1679"/>
      <c r="H2" s="1682"/>
      <c r="I2" s="1685" t="s">
        <v>322</v>
      </c>
      <c r="J2" s="1687" t="s">
        <v>323</v>
      </c>
      <c r="K2" s="1682" t="s">
        <v>324</v>
      </c>
      <c r="L2" s="1682"/>
      <c r="M2" s="1689" t="s">
        <v>325</v>
      </c>
      <c r="N2" s="1691" t="s">
        <v>326</v>
      </c>
    </row>
    <row r="3" spans="1:14" ht="32.25" thickBot="1" x14ac:dyDescent="0.3">
      <c r="A3" s="1695"/>
      <c r="B3" s="1690"/>
      <c r="C3" s="1683"/>
      <c r="D3" s="1688"/>
      <c r="E3" s="1680"/>
      <c r="F3" s="1680"/>
      <c r="G3" s="1680"/>
      <c r="H3" s="1683"/>
      <c r="I3" s="1686"/>
      <c r="J3" s="1688"/>
      <c r="K3" s="834" t="s">
        <v>68</v>
      </c>
      <c r="L3" s="834" t="s">
        <v>327</v>
      </c>
      <c r="M3" s="1690"/>
      <c r="N3" s="1692"/>
    </row>
    <row r="4" spans="1:14" ht="32.25" thickBot="1" x14ac:dyDescent="0.3">
      <c r="A4" s="835" t="s">
        <v>5</v>
      </c>
      <c r="B4" s="838" t="s">
        <v>328</v>
      </c>
      <c r="C4" s="837"/>
      <c r="D4" s="840"/>
      <c r="E4" s="1011">
        <f>E5+E144</f>
        <v>90658.89999999998</v>
      </c>
      <c r="F4" s="1011">
        <f>F5+F144+0.1</f>
        <v>91310.099999999948</v>
      </c>
      <c r="G4" s="1011">
        <f>G5+G144</f>
        <v>87631.89999999998</v>
      </c>
      <c r="H4" s="839">
        <f>H5+H144</f>
        <v>2881.6</v>
      </c>
      <c r="I4" s="836"/>
      <c r="J4" s="840"/>
      <c r="K4" s="837"/>
      <c r="L4" s="837"/>
      <c r="M4" s="838"/>
      <c r="N4" s="841"/>
    </row>
    <row r="5" spans="1:14" ht="81.75" customHeight="1" x14ac:dyDescent="0.25">
      <c r="A5" s="927" t="s">
        <v>329</v>
      </c>
      <c r="B5" s="1125" t="s">
        <v>330</v>
      </c>
      <c r="C5" s="928"/>
      <c r="D5" s="976"/>
      <c r="E5" s="1012">
        <f>SUM(E6:E10)</f>
        <v>78579.39999999998</v>
      </c>
      <c r="F5" s="1012">
        <f>SUM(F6:F10)</f>
        <v>82254.899999999951</v>
      </c>
      <c r="G5" s="1012">
        <f>SUM(G6:G10)</f>
        <v>80727.39999999998</v>
      </c>
      <c r="H5" s="844">
        <f>SUM(H6:H10)</f>
        <v>947.9</v>
      </c>
      <c r="I5" s="1002" t="s">
        <v>331</v>
      </c>
      <c r="J5" s="845" t="s">
        <v>332</v>
      </c>
      <c r="K5" s="842">
        <v>99.4</v>
      </c>
      <c r="L5" s="842">
        <v>99.4</v>
      </c>
      <c r="M5" s="843"/>
      <c r="N5" s="846"/>
    </row>
    <row r="6" spans="1:14" ht="51.75" customHeight="1" x14ac:dyDescent="0.25">
      <c r="A6" s="929"/>
      <c r="B6" s="1126"/>
      <c r="C6" s="930"/>
      <c r="D6" s="977"/>
      <c r="E6" s="1013"/>
      <c r="F6" s="1013"/>
      <c r="G6" s="1013"/>
      <c r="H6" s="848">
        <v>0</v>
      </c>
      <c r="I6" s="1003" t="s">
        <v>333</v>
      </c>
      <c r="J6" s="849" t="s">
        <v>332</v>
      </c>
      <c r="K6" s="850">
        <v>60</v>
      </c>
      <c r="L6" s="850">
        <v>60</v>
      </c>
      <c r="M6" s="847"/>
      <c r="N6" s="851"/>
    </row>
    <row r="7" spans="1:14" ht="63" x14ac:dyDescent="0.25">
      <c r="A7" s="929"/>
      <c r="B7" s="1126"/>
      <c r="C7" s="930"/>
      <c r="D7" s="977"/>
      <c r="E7" s="1013"/>
      <c r="F7" s="1013"/>
      <c r="G7" s="1013"/>
      <c r="H7" s="848">
        <v>0</v>
      </c>
      <c r="I7" s="1003" t="s">
        <v>334</v>
      </c>
      <c r="J7" s="849" t="s">
        <v>332</v>
      </c>
      <c r="K7" s="850">
        <v>85</v>
      </c>
      <c r="L7" s="850">
        <v>85.5</v>
      </c>
      <c r="M7" s="847"/>
      <c r="N7" s="851"/>
    </row>
    <row r="8" spans="1:14" ht="37.5" customHeight="1" x14ac:dyDescent="0.25">
      <c r="A8" s="929"/>
      <c r="B8" s="1126"/>
      <c r="C8" s="930"/>
      <c r="D8" s="977"/>
      <c r="E8" s="1013"/>
      <c r="F8" s="1013"/>
      <c r="G8" s="1013"/>
      <c r="H8" s="848">
        <v>0</v>
      </c>
      <c r="I8" s="1003" t="s">
        <v>335</v>
      </c>
      <c r="J8" s="849" t="s">
        <v>336</v>
      </c>
      <c r="K8" s="850">
        <v>250</v>
      </c>
      <c r="L8" s="850">
        <v>250</v>
      </c>
      <c r="M8" s="847"/>
      <c r="N8" s="851"/>
    </row>
    <row r="9" spans="1:14" ht="52.5" customHeight="1" thickBot="1" x14ac:dyDescent="0.3">
      <c r="A9" s="925"/>
      <c r="B9" s="1127"/>
      <c r="C9" s="926"/>
      <c r="D9" s="978"/>
      <c r="E9" s="1014"/>
      <c r="F9" s="1014"/>
      <c r="G9" s="1014"/>
      <c r="H9" s="848">
        <v>0</v>
      </c>
      <c r="I9" s="1003" t="s">
        <v>337</v>
      </c>
      <c r="J9" s="849" t="s">
        <v>332</v>
      </c>
      <c r="K9" s="850">
        <v>46</v>
      </c>
      <c r="L9" s="850">
        <v>50</v>
      </c>
      <c r="M9" s="847"/>
      <c r="N9" s="851" t="s">
        <v>338</v>
      </c>
    </row>
    <row r="10" spans="1:14" ht="48" thickBot="1" x14ac:dyDescent="0.3">
      <c r="A10" s="852" t="s">
        <v>339</v>
      </c>
      <c r="B10" s="855" t="s">
        <v>87</v>
      </c>
      <c r="C10" s="854"/>
      <c r="D10" s="857"/>
      <c r="E10" s="1015">
        <f>E11+E119+E132+E135+E137+E140+E142</f>
        <v>78579.39999999998</v>
      </c>
      <c r="F10" s="1015">
        <f>F11+F119+F132+F135+F137+F140+F142</f>
        <v>82254.899999999951</v>
      </c>
      <c r="G10" s="1015">
        <f>G11+G119+G132+G135+G137+G140+G142+0.1</f>
        <v>80727.39999999998</v>
      </c>
      <c r="H10" s="856">
        <f>H11+H119+H132+H135+H137+H140+H142</f>
        <v>947.9</v>
      </c>
      <c r="I10" s="853"/>
      <c r="J10" s="857"/>
      <c r="K10" s="854"/>
      <c r="L10" s="854"/>
      <c r="M10" s="855"/>
      <c r="N10" s="858"/>
    </row>
    <row r="11" spans="1:14" ht="32.25" thickBot="1" x14ac:dyDescent="0.3">
      <c r="A11" s="859" t="s">
        <v>340</v>
      </c>
      <c r="B11" s="862" t="s">
        <v>55</v>
      </c>
      <c r="C11" s="861"/>
      <c r="D11" s="864"/>
      <c r="E11" s="1016">
        <f>E12+E21+E23+E25+E27+E29+E31+E33+E35+E36+E43+E53+E55+E57+E59+E61+E63+E64+E65+E72+E77+E83+E88+E90+E92+E93+E95+E96+E99+E102+E104+E105+E109+E112+E113+E114+E116+E118</f>
        <v>77969.099999999991</v>
      </c>
      <c r="F11" s="1016">
        <f>F12+F21+F23+F25+F27+F29+F31+F33+F35+F36+F43+F53+F55+F57+F59+F61+F63+F64+F65+F72+F77+F83+F88+F90+F92+F93+F95+F96+F99+F102+F104+F105+F109+F112+F113+F114+F116+F118-0.2</f>
        <v>80454.599999999962</v>
      </c>
      <c r="G11" s="1016">
        <f>G12+G21+G23+G25+G27+G29+G31+G33+G35+G36+G43+G53+G55+G57+G59+G61+G63+G64+G65+G72+G77+G83+G88+G90+G92+G93+G95+G96+G99+G102+G104+G105+G109+G112+G113+G114+G116+G118-0.2</f>
        <v>79464.499999999971</v>
      </c>
      <c r="H11" s="863">
        <f>H12+H21+H23+H25+H27+H29+H31+H33+H35+H36+H43+H53+H55+H57+H59+H61+H63+H64+H65+H72+H77+H83+H88+H90+H92+H93+H95+H96+H99+H102+H104+H105+H109+H112+H113+H114+H116+H118</f>
        <v>829.9</v>
      </c>
      <c r="I11" s="1352">
        <f>+G14+G41+G44+G66+G79+G84</f>
        <v>482</v>
      </c>
      <c r="J11" s="864"/>
      <c r="K11" s="865"/>
      <c r="L11" s="865"/>
      <c r="M11" s="862"/>
      <c r="N11" s="866"/>
    </row>
    <row r="12" spans="1:14" ht="20.25" customHeight="1" x14ac:dyDescent="0.25">
      <c r="A12" s="1631" t="s">
        <v>341</v>
      </c>
      <c r="B12" s="1620" t="s">
        <v>342</v>
      </c>
      <c r="C12" s="867">
        <v>2</v>
      </c>
      <c r="D12" s="864"/>
      <c r="E12" s="1017">
        <f>SUM(E13:E20)</f>
        <v>27427.9</v>
      </c>
      <c r="F12" s="1017">
        <f>SUM(F13:F20)+0.1</f>
        <v>27900.099999999995</v>
      </c>
      <c r="G12" s="1017">
        <f>SUM(G13:G20)</f>
        <v>27595.499999999996</v>
      </c>
      <c r="H12" s="863">
        <f>SUM(H13:H20)</f>
        <v>299.60000000000002</v>
      </c>
      <c r="I12" s="860" t="s">
        <v>343</v>
      </c>
      <c r="J12" s="864" t="s">
        <v>344</v>
      </c>
      <c r="K12" s="865">
        <v>47</v>
      </c>
      <c r="L12" s="865">
        <v>47</v>
      </c>
      <c r="M12" s="862"/>
      <c r="N12" s="866"/>
    </row>
    <row r="13" spans="1:14" ht="19.5" customHeight="1" x14ac:dyDescent="0.25">
      <c r="A13" s="1635"/>
      <c r="B13" s="1636"/>
      <c r="C13" s="868"/>
      <c r="D13" s="887" t="s">
        <v>15</v>
      </c>
      <c r="E13" s="1018">
        <v>15105.7</v>
      </c>
      <c r="F13" s="1018">
        <v>15353.9</v>
      </c>
      <c r="G13" s="1018">
        <v>15349</v>
      </c>
      <c r="H13" s="870">
        <v>0</v>
      </c>
      <c r="I13" s="1006" t="s">
        <v>345</v>
      </c>
      <c r="J13" s="872" t="s">
        <v>344</v>
      </c>
      <c r="K13" s="873" t="s">
        <v>346</v>
      </c>
      <c r="L13" s="873" t="s">
        <v>347</v>
      </c>
      <c r="M13" s="871"/>
      <c r="N13" s="1675" t="s">
        <v>348</v>
      </c>
    </row>
    <row r="14" spans="1:14" x14ac:dyDescent="0.25">
      <c r="A14" s="874"/>
      <c r="B14" s="1636"/>
      <c r="C14" s="868"/>
      <c r="D14" s="887" t="s">
        <v>79</v>
      </c>
      <c r="E14" s="1018">
        <v>284.89999999999998</v>
      </c>
      <c r="F14" s="1018">
        <v>284.89999999999998</v>
      </c>
      <c r="G14" s="1018">
        <v>284.8</v>
      </c>
      <c r="H14" s="870">
        <v>0.1</v>
      </c>
      <c r="I14" s="1005"/>
      <c r="J14" s="875"/>
      <c r="K14" s="876"/>
      <c r="L14" s="876"/>
      <c r="M14" s="1032"/>
      <c r="N14" s="1673"/>
    </row>
    <row r="15" spans="1:14" x14ac:dyDescent="0.25">
      <c r="A15" s="874"/>
      <c r="B15" s="1032"/>
      <c r="C15" s="868"/>
      <c r="D15" s="887" t="s">
        <v>18</v>
      </c>
      <c r="E15" s="1018">
        <v>8365.7999999999993</v>
      </c>
      <c r="F15" s="1018">
        <v>8352.2999999999993</v>
      </c>
      <c r="G15" s="1018">
        <v>8350.7999999999993</v>
      </c>
      <c r="H15" s="870">
        <v>1.5</v>
      </c>
      <c r="I15" s="1005"/>
      <c r="J15" s="875"/>
      <c r="K15" s="876"/>
      <c r="L15" s="876"/>
      <c r="M15" s="1032"/>
      <c r="N15" s="972"/>
    </row>
    <row r="16" spans="1:14" x14ac:dyDescent="0.25">
      <c r="A16" s="874"/>
      <c r="B16" s="1032"/>
      <c r="C16" s="868"/>
      <c r="D16" s="887" t="s">
        <v>45</v>
      </c>
      <c r="E16" s="1018">
        <v>3671.5</v>
      </c>
      <c r="F16" s="1018">
        <v>3671.5</v>
      </c>
      <c r="G16" s="1018">
        <v>3464.7</v>
      </c>
      <c r="H16" s="870">
        <v>206.8</v>
      </c>
      <c r="I16" s="1005"/>
      <c r="J16" s="875"/>
      <c r="K16" s="876"/>
      <c r="L16" s="876"/>
      <c r="M16" s="1032"/>
      <c r="N16" s="972"/>
    </row>
    <row r="17" spans="1:16" x14ac:dyDescent="0.25">
      <c r="A17" s="874"/>
      <c r="B17" s="1032"/>
      <c r="C17" s="868"/>
      <c r="D17" s="887" t="s">
        <v>63</v>
      </c>
      <c r="E17" s="1018">
        <v>0</v>
      </c>
      <c r="F17" s="1018">
        <v>234.3</v>
      </c>
      <c r="G17" s="1018">
        <v>144.1</v>
      </c>
      <c r="H17" s="870">
        <v>90.2</v>
      </c>
      <c r="I17" s="1005"/>
      <c r="J17" s="875"/>
      <c r="K17" s="876"/>
      <c r="L17" s="876"/>
      <c r="M17" s="1032"/>
      <c r="N17" s="972"/>
    </row>
    <row r="18" spans="1:16" x14ac:dyDescent="0.25">
      <c r="A18" s="874"/>
      <c r="B18" s="1032"/>
      <c r="C18" s="868"/>
      <c r="D18" s="887" t="s">
        <v>18</v>
      </c>
      <c r="E18" s="1018">
        <v>0</v>
      </c>
      <c r="F18" s="1018">
        <v>0.3</v>
      </c>
      <c r="G18" s="1018">
        <v>0.3</v>
      </c>
      <c r="H18" s="870">
        <v>0</v>
      </c>
      <c r="I18" s="1005"/>
      <c r="J18" s="875"/>
      <c r="K18" s="876"/>
      <c r="L18" s="876"/>
      <c r="M18" s="1032"/>
      <c r="N18" s="972"/>
    </row>
    <row r="19" spans="1:16" x14ac:dyDescent="0.25">
      <c r="A19" s="874"/>
      <c r="B19" s="1032"/>
      <c r="C19" s="868"/>
      <c r="D19" s="887" t="s">
        <v>4</v>
      </c>
      <c r="E19" s="1018">
        <v>0</v>
      </c>
      <c r="F19" s="1018">
        <v>2.2999999999999998</v>
      </c>
      <c r="G19" s="1018">
        <v>1.8</v>
      </c>
      <c r="H19" s="870">
        <v>0.5</v>
      </c>
      <c r="I19" s="1005"/>
      <c r="J19" s="875"/>
      <c r="K19" s="876"/>
      <c r="L19" s="876"/>
      <c r="M19" s="1032"/>
      <c r="N19" s="972"/>
    </row>
    <row r="20" spans="1:16" ht="16.5" thickBot="1" x14ac:dyDescent="0.3">
      <c r="A20" s="877"/>
      <c r="B20" s="880"/>
      <c r="C20" s="879"/>
      <c r="D20" s="887" t="s">
        <v>3</v>
      </c>
      <c r="E20" s="1018">
        <v>0</v>
      </c>
      <c r="F20" s="1018">
        <v>0.5</v>
      </c>
      <c r="G20" s="1018">
        <v>0</v>
      </c>
      <c r="H20" s="870">
        <v>0.5</v>
      </c>
      <c r="I20" s="878"/>
      <c r="J20" s="881"/>
      <c r="K20" s="882"/>
      <c r="L20" s="882"/>
      <c r="M20" s="880"/>
      <c r="N20" s="883"/>
    </row>
    <row r="21" spans="1:16" ht="51.75" hidden="1" customHeight="1" x14ac:dyDescent="0.25">
      <c r="A21" s="884" t="s">
        <v>349</v>
      </c>
      <c r="B21" s="1620" t="s">
        <v>350</v>
      </c>
      <c r="C21" s="867">
        <v>2</v>
      </c>
      <c r="D21" s="900" t="s">
        <v>18</v>
      </c>
      <c r="E21" s="1019">
        <f>SUM(E22:E22)+35.3</f>
        <v>35.299999999999997</v>
      </c>
      <c r="F21" s="1019">
        <f>SUM(F22:F22)+40.6</f>
        <v>40.6</v>
      </c>
      <c r="G21" s="1019">
        <f>SUM(G22:G22)+40.6</f>
        <v>40.6</v>
      </c>
      <c r="H21" s="863">
        <f>SUM(H22:H22)</f>
        <v>0</v>
      </c>
      <c r="I21" s="860" t="s">
        <v>345</v>
      </c>
      <c r="J21" s="864" t="s">
        <v>344</v>
      </c>
      <c r="K21" s="865">
        <v>32</v>
      </c>
      <c r="L21" s="865">
        <v>36</v>
      </c>
      <c r="M21" s="862"/>
      <c r="N21" s="885" t="s">
        <v>348</v>
      </c>
    </row>
    <row r="22" spans="1:16" ht="16.5" hidden="1" thickBot="1" x14ac:dyDescent="0.3">
      <c r="A22" s="877"/>
      <c r="B22" s="1621"/>
      <c r="C22" s="879"/>
      <c r="D22" s="881"/>
      <c r="E22" s="1020">
        <v>0</v>
      </c>
      <c r="F22" s="1020">
        <v>0</v>
      </c>
      <c r="G22" s="1020">
        <v>0</v>
      </c>
      <c r="H22" s="870">
        <v>0</v>
      </c>
      <c r="I22" s="892" t="s">
        <v>351</v>
      </c>
      <c r="J22" s="887" t="s">
        <v>344</v>
      </c>
      <c r="K22" s="888">
        <v>1</v>
      </c>
      <c r="L22" s="888">
        <v>1</v>
      </c>
      <c r="M22" s="869"/>
      <c r="N22" s="889"/>
    </row>
    <row r="23" spans="1:16" ht="54" hidden="1" customHeight="1" x14ac:dyDescent="0.25">
      <c r="A23" s="884" t="s">
        <v>352</v>
      </c>
      <c r="B23" s="1620" t="s">
        <v>353</v>
      </c>
      <c r="C23" s="867">
        <v>2</v>
      </c>
      <c r="D23" s="900" t="s">
        <v>18</v>
      </c>
      <c r="E23" s="1019">
        <f>SUM(E24:E24)+64.6</f>
        <v>64.599999999999994</v>
      </c>
      <c r="F23" s="1019">
        <f>SUM(F24:F24)+73.8</f>
        <v>73.8</v>
      </c>
      <c r="G23" s="1019">
        <f>SUM(G24:G24)+73.8</f>
        <v>73.8</v>
      </c>
      <c r="H23" s="863">
        <f>SUM(H24:H24)</f>
        <v>0</v>
      </c>
      <c r="I23" s="860" t="s">
        <v>345</v>
      </c>
      <c r="J23" s="864" t="s">
        <v>344</v>
      </c>
      <c r="K23" s="865">
        <v>47</v>
      </c>
      <c r="L23" s="865">
        <v>58</v>
      </c>
      <c r="M23" s="862"/>
      <c r="N23" s="885" t="s">
        <v>348</v>
      </c>
      <c r="P23" s="890"/>
    </row>
    <row r="24" spans="1:16" ht="16.5" hidden="1" thickBot="1" x14ac:dyDescent="0.3">
      <c r="A24" s="877"/>
      <c r="B24" s="1621"/>
      <c r="C24" s="879"/>
      <c r="D24" s="881"/>
      <c r="E24" s="1020">
        <v>0</v>
      </c>
      <c r="F24" s="1020">
        <v>0</v>
      </c>
      <c r="G24" s="1020">
        <v>0</v>
      </c>
      <c r="H24" s="870">
        <v>0</v>
      </c>
      <c r="I24" s="892" t="s">
        <v>351</v>
      </c>
      <c r="J24" s="887" t="s">
        <v>344</v>
      </c>
      <c r="K24" s="888">
        <v>1</v>
      </c>
      <c r="L24" s="888">
        <v>1</v>
      </c>
      <c r="M24" s="869"/>
      <c r="N24" s="889"/>
    </row>
    <row r="25" spans="1:16" ht="52.5" hidden="1" customHeight="1" x14ac:dyDescent="0.25">
      <c r="A25" s="884" t="s">
        <v>354</v>
      </c>
      <c r="B25" s="1620" t="s">
        <v>355</v>
      </c>
      <c r="C25" s="867">
        <v>2</v>
      </c>
      <c r="D25" s="900" t="s">
        <v>18</v>
      </c>
      <c r="E25" s="1019">
        <f>SUM(E26:E26)+129.7</f>
        <v>129.69999999999999</v>
      </c>
      <c r="F25" s="1019">
        <f>SUM(F26:F26)+136.6</f>
        <v>136.6</v>
      </c>
      <c r="G25" s="1019">
        <f>SUM(G26:G26)+136.6</f>
        <v>136.6</v>
      </c>
      <c r="H25" s="863">
        <f>SUM(H26:H26)</f>
        <v>0</v>
      </c>
      <c r="I25" s="860" t="s">
        <v>345</v>
      </c>
      <c r="J25" s="864" t="s">
        <v>344</v>
      </c>
      <c r="K25" s="865">
        <v>111</v>
      </c>
      <c r="L25" s="865">
        <v>117</v>
      </c>
      <c r="M25" s="862"/>
      <c r="N25" s="885" t="s">
        <v>348</v>
      </c>
    </row>
    <row r="26" spans="1:16" ht="16.5" hidden="1" thickBot="1" x14ac:dyDescent="0.3">
      <c r="A26" s="877"/>
      <c r="B26" s="1621"/>
      <c r="C26" s="879"/>
      <c r="D26" s="881"/>
      <c r="E26" s="1020">
        <v>0</v>
      </c>
      <c r="F26" s="1020">
        <v>0</v>
      </c>
      <c r="G26" s="1020">
        <v>0</v>
      </c>
      <c r="H26" s="870">
        <v>0</v>
      </c>
      <c r="I26" s="892" t="s">
        <v>351</v>
      </c>
      <c r="J26" s="887" t="s">
        <v>344</v>
      </c>
      <c r="K26" s="888">
        <v>1</v>
      </c>
      <c r="L26" s="888">
        <v>1</v>
      </c>
      <c r="M26" s="869"/>
      <c r="N26" s="883"/>
    </row>
    <row r="27" spans="1:16" ht="52.5" hidden="1" customHeight="1" x14ac:dyDescent="0.25">
      <c r="A27" s="1631" t="s">
        <v>356</v>
      </c>
      <c r="B27" s="1620" t="s">
        <v>357</v>
      </c>
      <c r="C27" s="867">
        <v>2</v>
      </c>
      <c r="D27" s="900" t="s">
        <v>18</v>
      </c>
      <c r="E27" s="1019">
        <f>SUM(E28:E28)+37</f>
        <v>37</v>
      </c>
      <c r="F27" s="1019">
        <f>SUM(F28:F28)+39.2</f>
        <v>39.200000000000003</v>
      </c>
      <c r="G27" s="1019">
        <f>SUM(G28:G28)+39.1</f>
        <v>39.1</v>
      </c>
      <c r="H27" s="863">
        <f>SUM(H28:H28)+0.1</f>
        <v>0.1</v>
      </c>
      <c r="I27" s="860" t="s">
        <v>345</v>
      </c>
      <c r="J27" s="864" t="s">
        <v>344</v>
      </c>
      <c r="K27" s="865">
        <v>27</v>
      </c>
      <c r="L27" s="865">
        <v>28</v>
      </c>
      <c r="M27" s="862"/>
      <c r="N27" s="885" t="s">
        <v>348</v>
      </c>
    </row>
    <row r="28" spans="1:16" ht="16.5" hidden="1" thickBot="1" x14ac:dyDescent="0.3">
      <c r="A28" s="1632"/>
      <c r="B28" s="1621"/>
      <c r="C28" s="879"/>
      <c r="D28" s="881"/>
      <c r="E28" s="1020">
        <v>0</v>
      </c>
      <c r="F28" s="1020">
        <v>0</v>
      </c>
      <c r="G28" s="1020">
        <v>0</v>
      </c>
      <c r="H28" s="870">
        <v>0</v>
      </c>
      <c r="I28" s="892" t="s">
        <v>351</v>
      </c>
      <c r="J28" s="887" t="s">
        <v>344</v>
      </c>
      <c r="K28" s="888">
        <v>1</v>
      </c>
      <c r="L28" s="888">
        <v>1</v>
      </c>
      <c r="M28" s="869"/>
      <c r="N28" s="889"/>
    </row>
    <row r="29" spans="1:16" ht="63.75" hidden="1" thickBot="1" x14ac:dyDescent="0.3">
      <c r="A29" s="859" t="s">
        <v>358</v>
      </c>
      <c r="B29" s="862" t="s">
        <v>359</v>
      </c>
      <c r="C29" s="861">
        <v>2</v>
      </c>
      <c r="D29" s="864" t="s">
        <v>18</v>
      </c>
      <c r="E29" s="1016">
        <f>SUM(E30:E30)+50.6</f>
        <v>50.6</v>
      </c>
      <c r="F29" s="1016">
        <f>SUM(F30:F30)+48.7</f>
        <v>48.7</v>
      </c>
      <c r="G29" s="1016">
        <f>SUM(G30:G30)+46.5</f>
        <v>46.5</v>
      </c>
      <c r="H29" s="863">
        <f>SUM(H30:H30)+2.2</f>
        <v>2.2000000000000002</v>
      </c>
      <c r="I29" s="860" t="s">
        <v>345</v>
      </c>
      <c r="J29" s="864" t="s">
        <v>344</v>
      </c>
      <c r="K29" s="865">
        <v>31</v>
      </c>
      <c r="L29" s="865">
        <v>35</v>
      </c>
      <c r="M29" s="862"/>
      <c r="N29" s="866" t="s">
        <v>348</v>
      </c>
    </row>
    <row r="30" spans="1:16" ht="16.5" hidden="1" thickBot="1" x14ac:dyDescent="0.3">
      <c r="A30" s="891"/>
      <c r="B30" s="869"/>
      <c r="C30" s="893"/>
      <c r="D30" s="887"/>
      <c r="E30" s="1018">
        <v>0</v>
      </c>
      <c r="F30" s="1018">
        <v>0</v>
      </c>
      <c r="G30" s="1018">
        <v>0</v>
      </c>
      <c r="H30" s="870">
        <v>0</v>
      </c>
      <c r="I30" s="892" t="s">
        <v>351</v>
      </c>
      <c r="J30" s="887" t="s">
        <v>344</v>
      </c>
      <c r="K30" s="888">
        <v>1</v>
      </c>
      <c r="L30" s="888">
        <v>1</v>
      </c>
      <c r="M30" s="869"/>
      <c r="N30" s="894"/>
    </row>
    <row r="31" spans="1:16" ht="63.75" hidden="1" thickBot="1" x14ac:dyDescent="0.3">
      <c r="A31" s="859" t="s">
        <v>360</v>
      </c>
      <c r="B31" s="862" t="s">
        <v>361</v>
      </c>
      <c r="C31" s="861">
        <v>2</v>
      </c>
      <c r="D31" s="864" t="s">
        <v>18</v>
      </c>
      <c r="E31" s="1016">
        <f>SUM(E32:E32)+64.9</f>
        <v>64.900000000000006</v>
      </c>
      <c r="F31" s="1016">
        <f>SUM(F32:F32)+71.1</f>
        <v>71.099999999999994</v>
      </c>
      <c r="G31" s="1016">
        <f>SUM(G32:G32)+71.1</f>
        <v>71.099999999999994</v>
      </c>
      <c r="H31" s="863">
        <f>SUM(H32:H32)</f>
        <v>0</v>
      </c>
      <c r="I31" s="860" t="s">
        <v>351</v>
      </c>
      <c r="J31" s="864" t="s">
        <v>344</v>
      </c>
      <c r="K31" s="865">
        <v>1</v>
      </c>
      <c r="L31" s="865">
        <v>1</v>
      </c>
      <c r="M31" s="862"/>
      <c r="N31" s="866"/>
    </row>
    <row r="32" spans="1:16" ht="48" hidden="1" thickBot="1" x14ac:dyDescent="0.3">
      <c r="A32" s="891"/>
      <c r="B32" s="869"/>
      <c r="C32" s="893"/>
      <c r="D32" s="887"/>
      <c r="E32" s="1018">
        <v>0</v>
      </c>
      <c r="F32" s="1018">
        <v>0</v>
      </c>
      <c r="G32" s="1018">
        <v>0</v>
      </c>
      <c r="H32" s="870">
        <v>0</v>
      </c>
      <c r="I32" s="892" t="s">
        <v>345</v>
      </c>
      <c r="J32" s="887" t="s">
        <v>344</v>
      </c>
      <c r="K32" s="888">
        <v>49</v>
      </c>
      <c r="L32" s="888">
        <v>47</v>
      </c>
      <c r="M32" s="869"/>
      <c r="N32" s="894" t="s">
        <v>348</v>
      </c>
    </row>
    <row r="33" spans="1:14" ht="63.75" hidden="1" thickBot="1" x14ac:dyDescent="0.3">
      <c r="A33" s="859" t="s">
        <v>362</v>
      </c>
      <c r="B33" s="862" t="s">
        <v>363</v>
      </c>
      <c r="C33" s="861">
        <v>2</v>
      </c>
      <c r="D33" s="864" t="s">
        <v>18</v>
      </c>
      <c r="E33" s="1016">
        <f>SUM(E34:E34)+53.1</f>
        <v>53.1</v>
      </c>
      <c r="F33" s="1016">
        <f>SUM(F34:F34)+57.6</f>
        <v>57.6</v>
      </c>
      <c r="G33" s="1016">
        <f>SUM(G34:G34)+57.6</f>
        <v>57.6</v>
      </c>
      <c r="H33" s="863">
        <f>SUM(H34:H34)</f>
        <v>0</v>
      </c>
      <c r="I33" s="860" t="s">
        <v>345</v>
      </c>
      <c r="J33" s="864" t="s">
        <v>344</v>
      </c>
      <c r="K33" s="865">
        <v>46</v>
      </c>
      <c r="L33" s="865">
        <v>44</v>
      </c>
      <c r="M33" s="862"/>
      <c r="N33" s="866" t="s">
        <v>348</v>
      </c>
    </row>
    <row r="34" spans="1:14" ht="16.5" hidden="1" thickBot="1" x14ac:dyDescent="0.3">
      <c r="A34" s="891"/>
      <c r="B34" s="869"/>
      <c r="C34" s="893"/>
      <c r="D34" s="887"/>
      <c r="E34" s="1018">
        <v>0</v>
      </c>
      <c r="F34" s="1018">
        <v>0</v>
      </c>
      <c r="G34" s="1018">
        <v>0</v>
      </c>
      <c r="H34" s="870">
        <v>0</v>
      </c>
      <c r="I34" s="892" t="s">
        <v>351</v>
      </c>
      <c r="J34" s="887" t="s">
        <v>344</v>
      </c>
      <c r="K34" s="888">
        <v>1</v>
      </c>
      <c r="L34" s="888">
        <v>1</v>
      </c>
      <c r="M34" s="869"/>
      <c r="N34" s="894"/>
    </row>
    <row r="35" spans="1:14" ht="63.75" hidden="1" thickBot="1" x14ac:dyDescent="0.3">
      <c r="A35" s="859" t="s">
        <v>364</v>
      </c>
      <c r="B35" s="862" t="s">
        <v>365</v>
      </c>
      <c r="C35" s="861">
        <v>2</v>
      </c>
      <c r="D35" s="864" t="s">
        <v>18</v>
      </c>
      <c r="E35" s="1021">
        <v>0</v>
      </c>
      <c r="F35" s="1021">
        <v>7</v>
      </c>
      <c r="G35" s="1021">
        <v>7</v>
      </c>
      <c r="H35" s="895">
        <v>0</v>
      </c>
      <c r="I35" s="860"/>
      <c r="J35" s="864"/>
      <c r="K35" s="865"/>
      <c r="L35" s="865"/>
      <c r="M35" s="862"/>
      <c r="N35" s="866"/>
    </row>
    <row r="36" spans="1:14" ht="21" customHeight="1" x14ac:dyDescent="0.25">
      <c r="A36" s="1631" t="s">
        <v>366</v>
      </c>
      <c r="B36" s="1620" t="s">
        <v>367</v>
      </c>
      <c r="C36" s="1638">
        <v>2</v>
      </c>
      <c r="D36" s="864"/>
      <c r="E36" s="1017">
        <f>SUM(E37:E42)</f>
        <v>2941.8</v>
      </c>
      <c r="F36" s="1017">
        <f>SUM(F37:F42)</f>
        <v>3003.8999999999996</v>
      </c>
      <c r="G36" s="1017">
        <f>SUM(G37:G42)+0.1</f>
        <v>2910.4999999999995</v>
      </c>
      <c r="H36" s="863">
        <f>SUM(H37:H42)</f>
        <v>16.899999999999999</v>
      </c>
      <c r="I36" s="860" t="s">
        <v>343</v>
      </c>
      <c r="J36" s="864" t="s">
        <v>344</v>
      </c>
      <c r="K36" s="865">
        <v>4</v>
      </c>
      <c r="L36" s="865">
        <v>4</v>
      </c>
      <c r="M36" s="1620"/>
      <c r="N36" s="1672" t="s">
        <v>368</v>
      </c>
    </row>
    <row r="37" spans="1:14" x14ac:dyDescent="0.25">
      <c r="A37" s="1635"/>
      <c r="B37" s="1636"/>
      <c r="C37" s="1639"/>
      <c r="D37" s="887" t="s">
        <v>45</v>
      </c>
      <c r="E37" s="1018">
        <v>416.4</v>
      </c>
      <c r="F37" s="1018">
        <v>416.4</v>
      </c>
      <c r="G37" s="1018">
        <v>340.6</v>
      </c>
      <c r="H37" s="870">
        <v>0</v>
      </c>
      <c r="I37" s="892" t="s">
        <v>369</v>
      </c>
      <c r="J37" s="887" t="s">
        <v>336</v>
      </c>
      <c r="K37" s="888">
        <v>904</v>
      </c>
      <c r="L37" s="888">
        <v>904</v>
      </c>
      <c r="M37" s="1636"/>
      <c r="N37" s="1673"/>
    </row>
    <row r="38" spans="1:14" ht="17.25" customHeight="1" x14ac:dyDescent="0.25">
      <c r="A38" s="1635"/>
      <c r="B38" s="1636"/>
      <c r="C38" s="1639"/>
      <c r="D38" s="887" t="s">
        <v>18</v>
      </c>
      <c r="E38" s="1018">
        <v>1527</v>
      </c>
      <c r="F38" s="1018">
        <v>1506.2</v>
      </c>
      <c r="G38" s="1018">
        <v>1505.6</v>
      </c>
      <c r="H38" s="870">
        <v>0</v>
      </c>
      <c r="I38" s="1654" t="s">
        <v>345</v>
      </c>
      <c r="J38" s="1656" t="s">
        <v>344</v>
      </c>
      <c r="K38" s="1658" t="s">
        <v>370</v>
      </c>
      <c r="L38" s="1658" t="s">
        <v>371</v>
      </c>
      <c r="M38" s="1636"/>
      <c r="N38" s="1673"/>
    </row>
    <row r="39" spans="1:14" x14ac:dyDescent="0.25">
      <c r="A39" s="1635"/>
      <c r="B39" s="1636"/>
      <c r="C39" s="1639"/>
      <c r="D39" s="887" t="s">
        <v>63</v>
      </c>
      <c r="E39" s="1018">
        <v>0</v>
      </c>
      <c r="F39" s="1018">
        <v>23.5</v>
      </c>
      <c r="G39" s="1018">
        <v>8.1</v>
      </c>
      <c r="H39" s="870">
        <v>15.3</v>
      </c>
      <c r="I39" s="1663"/>
      <c r="J39" s="1665"/>
      <c r="K39" s="1667"/>
      <c r="L39" s="1667"/>
      <c r="M39" s="1636"/>
      <c r="N39" s="1673"/>
    </row>
    <row r="40" spans="1:14" x14ac:dyDescent="0.25">
      <c r="A40" s="1635"/>
      <c r="B40" s="1636"/>
      <c r="C40" s="1639"/>
      <c r="D40" s="887" t="s">
        <v>4</v>
      </c>
      <c r="E40" s="1018">
        <v>0</v>
      </c>
      <c r="F40" s="1018">
        <v>11.3</v>
      </c>
      <c r="G40" s="1018">
        <v>11</v>
      </c>
      <c r="H40" s="870">
        <v>0.2</v>
      </c>
      <c r="I40" s="1663"/>
      <c r="J40" s="1665"/>
      <c r="K40" s="1667"/>
      <c r="L40" s="1667"/>
      <c r="M40" s="1636"/>
      <c r="N40" s="1673"/>
    </row>
    <row r="41" spans="1:14" x14ac:dyDescent="0.25">
      <c r="A41" s="1635"/>
      <c r="B41" s="1636"/>
      <c r="C41" s="1639"/>
      <c r="D41" s="887" t="s">
        <v>79</v>
      </c>
      <c r="E41" s="1018">
        <v>37.700000000000003</v>
      </c>
      <c r="F41" s="1018">
        <v>37.700000000000003</v>
      </c>
      <c r="G41" s="1018">
        <v>37.700000000000003</v>
      </c>
      <c r="H41" s="870">
        <v>0</v>
      </c>
      <c r="I41" s="1663"/>
      <c r="J41" s="1665"/>
      <c r="K41" s="1667"/>
      <c r="L41" s="1667"/>
      <c r="M41" s="1636"/>
      <c r="N41" s="1673"/>
    </row>
    <row r="42" spans="1:14" ht="16.5" thickBot="1" x14ac:dyDescent="0.3">
      <c r="A42" s="1632"/>
      <c r="B42" s="1621"/>
      <c r="C42" s="1640"/>
      <c r="D42" s="887" t="s">
        <v>15</v>
      </c>
      <c r="E42" s="1018">
        <v>960.7</v>
      </c>
      <c r="F42" s="1018">
        <v>1008.8</v>
      </c>
      <c r="G42" s="1018">
        <v>1007.4</v>
      </c>
      <c r="H42" s="870">
        <v>1.4</v>
      </c>
      <c r="I42" s="1655"/>
      <c r="J42" s="1657"/>
      <c r="K42" s="1659"/>
      <c r="L42" s="1659"/>
      <c r="M42" s="1621"/>
      <c r="N42" s="1674"/>
    </row>
    <row r="43" spans="1:14" ht="18.75" customHeight="1" x14ac:dyDescent="0.25">
      <c r="A43" s="1631" t="s">
        <v>372</v>
      </c>
      <c r="B43" s="1620" t="s">
        <v>373</v>
      </c>
      <c r="C43" s="1638">
        <v>2</v>
      </c>
      <c r="D43" s="864"/>
      <c r="E43" s="1017">
        <f>SUM(E44:E52)</f>
        <v>35593.599999999999</v>
      </c>
      <c r="F43" s="1017">
        <f>SUM(F44:F52)+0.1</f>
        <v>37424.100000000006</v>
      </c>
      <c r="G43" s="1017">
        <f>SUM(G44:G52)-0.1</f>
        <v>36968.6</v>
      </c>
      <c r="H43" s="863">
        <f>SUM(H44:H52)</f>
        <v>449.5</v>
      </c>
      <c r="I43" s="860" t="s">
        <v>343</v>
      </c>
      <c r="J43" s="864" t="s">
        <v>344</v>
      </c>
      <c r="K43" s="865">
        <v>32</v>
      </c>
      <c r="L43" s="865">
        <v>32</v>
      </c>
      <c r="M43" s="1620"/>
      <c r="N43" s="1672" t="s">
        <v>374</v>
      </c>
    </row>
    <row r="44" spans="1:14" ht="31.5" x14ac:dyDescent="0.25">
      <c r="A44" s="1635"/>
      <c r="B44" s="1636"/>
      <c r="C44" s="1639"/>
      <c r="D44" s="887" t="s">
        <v>79</v>
      </c>
      <c r="E44" s="1018">
        <v>115.4</v>
      </c>
      <c r="F44" s="1018">
        <v>115.4</v>
      </c>
      <c r="G44" s="1018">
        <v>115.2</v>
      </c>
      <c r="H44" s="870">
        <v>0</v>
      </c>
      <c r="I44" s="892" t="s">
        <v>375</v>
      </c>
      <c r="J44" s="887" t="s">
        <v>344</v>
      </c>
      <c r="K44" s="888" t="s">
        <v>376</v>
      </c>
      <c r="L44" s="888" t="s">
        <v>376</v>
      </c>
      <c r="M44" s="1636"/>
      <c r="N44" s="1673"/>
    </row>
    <row r="45" spans="1:14" ht="17.25" customHeight="1" x14ac:dyDescent="0.25">
      <c r="A45" s="1635"/>
      <c r="B45" s="1636"/>
      <c r="C45" s="1639"/>
      <c r="D45" s="887" t="s">
        <v>15</v>
      </c>
      <c r="E45" s="1018">
        <v>7204.1</v>
      </c>
      <c r="F45" s="1018">
        <v>7656.5</v>
      </c>
      <c r="G45" s="1018">
        <v>7650.8</v>
      </c>
      <c r="H45" s="870">
        <v>0</v>
      </c>
      <c r="I45" s="1654" t="s">
        <v>377</v>
      </c>
      <c r="J45" s="1656" t="s">
        <v>344</v>
      </c>
      <c r="K45" s="1658">
        <v>2</v>
      </c>
      <c r="L45" s="1658">
        <v>2</v>
      </c>
      <c r="M45" s="1636"/>
      <c r="N45" s="1673"/>
    </row>
    <row r="46" spans="1:14" x14ac:dyDescent="0.25">
      <c r="A46" s="1635"/>
      <c r="B46" s="1636"/>
      <c r="C46" s="1639"/>
      <c r="D46" s="887" t="s">
        <v>18</v>
      </c>
      <c r="E46" s="1018">
        <v>27238.7</v>
      </c>
      <c r="F46" s="1018">
        <v>28154.5</v>
      </c>
      <c r="G46" s="1018">
        <v>28148.7</v>
      </c>
      <c r="H46" s="870">
        <v>5.8</v>
      </c>
      <c r="I46" s="1663"/>
      <c r="J46" s="1665"/>
      <c r="K46" s="1667"/>
      <c r="L46" s="1667"/>
      <c r="M46" s="1636"/>
      <c r="N46" s="1673"/>
    </row>
    <row r="47" spans="1:14" x14ac:dyDescent="0.25">
      <c r="A47" s="1635"/>
      <c r="B47" s="1636"/>
      <c r="C47" s="1639"/>
      <c r="D47" s="887" t="s">
        <v>45</v>
      </c>
      <c r="E47" s="1018">
        <v>1035.4000000000001</v>
      </c>
      <c r="F47" s="1018">
        <v>1035.4000000000001</v>
      </c>
      <c r="G47" s="1018">
        <v>867.9</v>
      </c>
      <c r="H47" s="870">
        <v>167.5</v>
      </c>
      <c r="I47" s="1663"/>
      <c r="J47" s="1665"/>
      <c r="K47" s="1667"/>
      <c r="L47" s="1667"/>
      <c r="M47" s="1636"/>
      <c r="N47" s="1673"/>
    </row>
    <row r="48" spans="1:14" x14ac:dyDescent="0.25">
      <c r="A48" s="1635"/>
      <c r="B48" s="1636"/>
      <c r="C48" s="1677"/>
      <c r="D48" s="887" t="s">
        <v>63</v>
      </c>
      <c r="E48" s="1018">
        <v>0</v>
      </c>
      <c r="F48" s="1018">
        <v>458.3</v>
      </c>
      <c r="G48" s="1018">
        <v>183.6</v>
      </c>
      <c r="H48" s="870">
        <v>274.7</v>
      </c>
      <c r="I48" s="1663"/>
      <c r="J48" s="1665"/>
      <c r="K48" s="1667"/>
      <c r="L48" s="1667"/>
      <c r="M48" s="1636"/>
      <c r="N48" s="1673"/>
    </row>
    <row r="49" spans="1:14" x14ac:dyDescent="0.25">
      <c r="A49" s="1635"/>
      <c r="B49" s="1636"/>
      <c r="C49" s="893">
        <v>5</v>
      </c>
      <c r="D49" s="887" t="s">
        <v>18</v>
      </c>
      <c r="E49" s="1018">
        <v>0</v>
      </c>
      <c r="F49" s="1018">
        <v>1</v>
      </c>
      <c r="G49" s="1018">
        <v>0.7</v>
      </c>
      <c r="H49" s="870">
        <v>0.4</v>
      </c>
      <c r="I49" s="1663"/>
      <c r="J49" s="1665"/>
      <c r="K49" s="1667"/>
      <c r="L49" s="1667"/>
      <c r="M49" s="1636"/>
      <c r="N49" s="1673"/>
    </row>
    <row r="50" spans="1:14" x14ac:dyDescent="0.25">
      <c r="A50" s="1635"/>
      <c r="B50" s="1636"/>
      <c r="C50" s="1676">
        <v>2</v>
      </c>
      <c r="D50" s="887" t="s">
        <v>3</v>
      </c>
      <c r="E50" s="1018">
        <v>0</v>
      </c>
      <c r="F50" s="1018">
        <v>2.4</v>
      </c>
      <c r="G50" s="1018">
        <v>1.3</v>
      </c>
      <c r="H50" s="870">
        <v>1.1000000000000001</v>
      </c>
      <c r="I50" s="1663"/>
      <c r="J50" s="1665"/>
      <c r="K50" s="1667"/>
      <c r="L50" s="1667"/>
      <c r="M50" s="1636"/>
      <c r="N50" s="1673"/>
    </row>
    <row r="51" spans="1:14" x14ac:dyDescent="0.25">
      <c r="A51" s="1635"/>
      <c r="B51" s="1636"/>
      <c r="C51" s="1677"/>
      <c r="D51" s="887" t="s">
        <v>4</v>
      </c>
      <c r="E51" s="1018">
        <v>0</v>
      </c>
      <c r="F51" s="1018">
        <v>0.2</v>
      </c>
      <c r="G51" s="1018">
        <v>0.2</v>
      </c>
      <c r="H51" s="870">
        <v>0</v>
      </c>
      <c r="I51" s="1663"/>
      <c r="J51" s="1665"/>
      <c r="K51" s="1667"/>
      <c r="L51" s="1667"/>
      <c r="M51" s="1636"/>
      <c r="N51" s="1673"/>
    </row>
    <row r="52" spans="1:14" ht="16.5" thickBot="1" x14ac:dyDescent="0.3">
      <c r="A52" s="1632"/>
      <c r="B52" s="1621"/>
      <c r="C52" s="893">
        <v>5</v>
      </c>
      <c r="D52" s="887" t="s">
        <v>4</v>
      </c>
      <c r="E52" s="1018">
        <v>0</v>
      </c>
      <c r="F52" s="1018">
        <v>0.3</v>
      </c>
      <c r="G52" s="1018">
        <v>0.3</v>
      </c>
      <c r="H52" s="870">
        <v>0</v>
      </c>
      <c r="I52" s="1655"/>
      <c r="J52" s="1657"/>
      <c r="K52" s="1659"/>
      <c r="L52" s="1659"/>
      <c r="M52" s="1621"/>
      <c r="N52" s="1674"/>
    </row>
    <row r="53" spans="1:14" ht="79.5" hidden="1" thickBot="1" x14ac:dyDescent="0.3">
      <c r="A53" s="1631" t="s">
        <v>378</v>
      </c>
      <c r="B53" s="862" t="s">
        <v>379</v>
      </c>
      <c r="C53" s="861">
        <v>2</v>
      </c>
      <c r="D53" s="864" t="s">
        <v>18</v>
      </c>
      <c r="E53" s="1016">
        <f>SUM(E54:E54)+312.7</f>
        <v>312.7</v>
      </c>
      <c r="F53" s="1016">
        <f>SUM(F54:F54)+316.9</f>
        <v>316.89999999999998</v>
      </c>
      <c r="G53" s="1016">
        <f>SUM(G54:G54)+316.9</f>
        <v>316.89999999999998</v>
      </c>
      <c r="H53" s="863">
        <f>SUM(H54:H54)</f>
        <v>0</v>
      </c>
      <c r="I53" s="860" t="s">
        <v>351</v>
      </c>
      <c r="J53" s="864" t="s">
        <v>344</v>
      </c>
      <c r="K53" s="865">
        <v>1</v>
      </c>
      <c r="L53" s="865">
        <v>1</v>
      </c>
      <c r="M53" s="862"/>
      <c r="N53" s="866"/>
    </row>
    <row r="54" spans="1:14" ht="16.5" hidden="1" thickBot="1" x14ac:dyDescent="0.3">
      <c r="A54" s="1632"/>
      <c r="B54" s="869"/>
      <c r="C54" s="893"/>
      <c r="D54" s="887"/>
      <c r="E54" s="1018">
        <v>0</v>
      </c>
      <c r="F54" s="1018">
        <v>0</v>
      </c>
      <c r="G54" s="1018">
        <v>0</v>
      </c>
      <c r="H54" s="870">
        <v>0</v>
      </c>
      <c r="I54" s="892" t="s">
        <v>375</v>
      </c>
      <c r="J54" s="887" t="s">
        <v>344</v>
      </c>
      <c r="K54" s="888">
        <v>169</v>
      </c>
      <c r="L54" s="888">
        <v>169</v>
      </c>
      <c r="M54" s="869"/>
      <c r="N54" s="894"/>
    </row>
    <row r="55" spans="1:14" ht="79.5" hidden="1" thickBot="1" x14ac:dyDescent="0.3">
      <c r="A55" s="859" t="s">
        <v>380</v>
      </c>
      <c r="B55" s="862" t="s">
        <v>381</v>
      </c>
      <c r="C55" s="861">
        <v>2</v>
      </c>
      <c r="D55" s="864" t="s">
        <v>18</v>
      </c>
      <c r="E55" s="1016">
        <f>SUM(E56:E56)+317.4</f>
        <v>317.39999999999998</v>
      </c>
      <c r="F55" s="1016">
        <f>SUM(F56:F56)+315.2</f>
        <v>315.2</v>
      </c>
      <c r="G55" s="1016">
        <f>SUM(G56:G56)+315.2</f>
        <v>315.2</v>
      </c>
      <c r="H55" s="863">
        <f>SUM(H56:H56)</f>
        <v>0</v>
      </c>
      <c r="I55" s="860" t="s">
        <v>351</v>
      </c>
      <c r="J55" s="864" t="s">
        <v>344</v>
      </c>
      <c r="K55" s="865">
        <v>1</v>
      </c>
      <c r="L55" s="865">
        <v>1</v>
      </c>
      <c r="M55" s="862"/>
      <c r="N55" s="866"/>
    </row>
    <row r="56" spans="1:14" ht="16.5" hidden="1" thickBot="1" x14ac:dyDescent="0.3">
      <c r="A56" s="891"/>
      <c r="B56" s="869"/>
      <c r="C56" s="893"/>
      <c r="D56" s="887"/>
      <c r="E56" s="1018">
        <v>0</v>
      </c>
      <c r="F56" s="1018">
        <v>0</v>
      </c>
      <c r="G56" s="1018">
        <v>0</v>
      </c>
      <c r="H56" s="870">
        <v>0</v>
      </c>
      <c r="I56" s="892" t="s">
        <v>375</v>
      </c>
      <c r="J56" s="887" t="s">
        <v>344</v>
      </c>
      <c r="K56" s="888">
        <v>52</v>
      </c>
      <c r="L56" s="888">
        <v>52</v>
      </c>
      <c r="M56" s="869"/>
      <c r="N56" s="894"/>
    </row>
    <row r="57" spans="1:14" ht="79.5" hidden="1" thickBot="1" x14ac:dyDescent="0.3">
      <c r="A57" s="859" t="s">
        <v>382</v>
      </c>
      <c r="B57" s="862" t="s">
        <v>383</v>
      </c>
      <c r="C57" s="861">
        <v>2</v>
      </c>
      <c r="D57" s="864" t="s">
        <v>18</v>
      </c>
      <c r="E57" s="1016">
        <f>SUM(E58:E58)+256.1</f>
        <v>256.10000000000002</v>
      </c>
      <c r="F57" s="1016">
        <f>SUM(F58:F58)+267.7</f>
        <v>267.7</v>
      </c>
      <c r="G57" s="1016">
        <f>SUM(G58:G58)+267.7</f>
        <v>267.7</v>
      </c>
      <c r="H57" s="863">
        <f>SUM(H58:H58)</f>
        <v>0</v>
      </c>
      <c r="I57" s="860" t="s">
        <v>351</v>
      </c>
      <c r="J57" s="864" t="s">
        <v>344</v>
      </c>
      <c r="K57" s="865">
        <v>1</v>
      </c>
      <c r="L57" s="865">
        <v>1</v>
      </c>
      <c r="M57" s="862"/>
      <c r="N57" s="866"/>
    </row>
    <row r="58" spans="1:14" ht="16.5" hidden="1" thickBot="1" x14ac:dyDescent="0.3">
      <c r="A58" s="891"/>
      <c r="B58" s="869"/>
      <c r="C58" s="893"/>
      <c r="D58" s="887"/>
      <c r="E58" s="1018">
        <v>0</v>
      </c>
      <c r="F58" s="1018">
        <v>0</v>
      </c>
      <c r="G58" s="1018">
        <v>0</v>
      </c>
      <c r="H58" s="870">
        <v>0</v>
      </c>
      <c r="I58" s="892" t="s">
        <v>375</v>
      </c>
      <c r="J58" s="887" t="s">
        <v>344</v>
      </c>
      <c r="K58" s="888">
        <v>153</v>
      </c>
      <c r="L58" s="888">
        <v>153</v>
      </c>
      <c r="M58" s="869"/>
      <c r="N58" s="894"/>
    </row>
    <row r="59" spans="1:14" ht="63.75" hidden="1" thickBot="1" x14ac:dyDescent="0.3">
      <c r="A59" s="859" t="s">
        <v>384</v>
      </c>
      <c r="B59" s="862" t="s">
        <v>385</v>
      </c>
      <c r="C59" s="861">
        <v>2</v>
      </c>
      <c r="D59" s="864" t="s">
        <v>18</v>
      </c>
      <c r="E59" s="1016">
        <f>SUM(E60:E60)+911.6</f>
        <v>911.6</v>
      </c>
      <c r="F59" s="1016">
        <f>SUM(F60:F60)+957.6</f>
        <v>957.6</v>
      </c>
      <c r="G59" s="1016">
        <f>SUM(G60:G60)+957.6</f>
        <v>957.6</v>
      </c>
      <c r="H59" s="863">
        <f>SUM(H60:H60)</f>
        <v>0</v>
      </c>
      <c r="I59" s="860" t="s">
        <v>351</v>
      </c>
      <c r="J59" s="864" t="s">
        <v>344</v>
      </c>
      <c r="K59" s="865">
        <v>1</v>
      </c>
      <c r="L59" s="865">
        <v>1</v>
      </c>
      <c r="M59" s="862"/>
      <c r="N59" s="866"/>
    </row>
    <row r="60" spans="1:14" ht="16.5" hidden="1" thickBot="1" x14ac:dyDescent="0.3">
      <c r="A60" s="891"/>
      <c r="B60" s="869"/>
      <c r="C60" s="893"/>
      <c r="D60" s="887"/>
      <c r="E60" s="1018">
        <v>0</v>
      </c>
      <c r="F60" s="1018">
        <v>0</v>
      </c>
      <c r="G60" s="1018">
        <v>0</v>
      </c>
      <c r="H60" s="870">
        <v>0</v>
      </c>
      <c r="I60" s="892" t="s">
        <v>375</v>
      </c>
      <c r="J60" s="887" t="s">
        <v>344</v>
      </c>
      <c r="K60" s="888">
        <v>647</v>
      </c>
      <c r="L60" s="888">
        <v>647</v>
      </c>
      <c r="M60" s="869"/>
      <c r="N60" s="894"/>
    </row>
    <row r="61" spans="1:14" ht="79.5" hidden="1" thickBot="1" x14ac:dyDescent="0.3">
      <c r="A61" s="859" t="s">
        <v>386</v>
      </c>
      <c r="B61" s="862" t="s">
        <v>387</v>
      </c>
      <c r="C61" s="861">
        <v>2</v>
      </c>
      <c r="D61" s="864" t="s">
        <v>18</v>
      </c>
      <c r="E61" s="1016">
        <f>SUM(E62:E62)+56.6</f>
        <v>56.6</v>
      </c>
      <c r="F61" s="1016">
        <f>SUM(F62:F62)+66.9</f>
        <v>66.900000000000006</v>
      </c>
      <c r="G61" s="1016">
        <f>SUM(G62:G62)+66.9</f>
        <v>66.900000000000006</v>
      </c>
      <c r="H61" s="863">
        <f>SUM(H62:H62)</f>
        <v>0</v>
      </c>
      <c r="I61" s="860" t="s">
        <v>351</v>
      </c>
      <c r="J61" s="864" t="s">
        <v>344</v>
      </c>
      <c r="K61" s="865">
        <v>1</v>
      </c>
      <c r="L61" s="865">
        <v>1</v>
      </c>
      <c r="M61" s="862"/>
      <c r="N61" s="866"/>
    </row>
    <row r="62" spans="1:14" ht="16.5" hidden="1" thickBot="1" x14ac:dyDescent="0.3">
      <c r="A62" s="891"/>
      <c r="B62" s="869"/>
      <c r="C62" s="893"/>
      <c r="D62" s="887"/>
      <c r="E62" s="1018">
        <v>0</v>
      </c>
      <c r="F62" s="1018">
        <v>0</v>
      </c>
      <c r="G62" s="1018">
        <v>0</v>
      </c>
      <c r="H62" s="870">
        <v>0</v>
      </c>
      <c r="I62" s="892" t="s">
        <v>375</v>
      </c>
      <c r="J62" s="887" t="s">
        <v>344</v>
      </c>
      <c r="K62" s="888">
        <v>39</v>
      </c>
      <c r="L62" s="888">
        <v>39</v>
      </c>
      <c r="M62" s="869"/>
      <c r="N62" s="894"/>
    </row>
    <row r="63" spans="1:14" ht="64.5" customHeight="1" thickBot="1" x14ac:dyDescent="0.3">
      <c r="A63" s="859" t="s">
        <v>388</v>
      </c>
      <c r="B63" s="862" t="s">
        <v>227</v>
      </c>
      <c r="C63" s="861">
        <v>2</v>
      </c>
      <c r="D63" s="864" t="s">
        <v>15</v>
      </c>
      <c r="E63" s="1021">
        <v>66.8</v>
      </c>
      <c r="F63" s="1021">
        <v>0</v>
      </c>
      <c r="G63" s="1021">
        <v>0</v>
      </c>
      <c r="H63" s="895">
        <v>0</v>
      </c>
      <c r="I63" s="860" t="s">
        <v>389</v>
      </c>
      <c r="J63" s="864" t="s">
        <v>336</v>
      </c>
      <c r="K63" s="865">
        <v>6</v>
      </c>
      <c r="L63" s="865">
        <v>5</v>
      </c>
      <c r="M63" s="862"/>
      <c r="N63" s="866" t="s">
        <v>390</v>
      </c>
    </row>
    <row r="64" spans="1:14" ht="66" hidden="1" customHeight="1" thickBot="1" x14ac:dyDescent="0.3">
      <c r="A64" s="859" t="s">
        <v>391</v>
      </c>
      <c r="B64" s="862" t="s">
        <v>392</v>
      </c>
      <c r="C64" s="861">
        <v>2</v>
      </c>
      <c r="D64" s="864" t="s">
        <v>18</v>
      </c>
      <c r="E64" s="1021">
        <v>0</v>
      </c>
      <c r="F64" s="1021">
        <v>25.4</v>
      </c>
      <c r="G64" s="1021">
        <v>25.4</v>
      </c>
      <c r="H64" s="895">
        <v>0</v>
      </c>
      <c r="I64" s="860"/>
      <c r="J64" s="864"/>
      <c r="K64" s="865"/>
      <c r="L64" s="865"/>
      <c r="M64" s="862"/>
      <c r="N64" s="866"/>
    </row>
    <row r="65" spans="1:14" ht="17.25" customHeight="1" x14ac:dyDescent="0.25">
      <c r="A65" s="1631" t="s">
        <v>393</v>
      </c>
      <c r="B65" s="1620" t="s">
        <v>394</v>
      </c>
      <c r="C65" s="1638">
        <v>2</v>
      </c>
      <c r="D65" s="864"/>
      <c r="E65" s="1017">
        <f>SUM(E66:E71)</f>
        <v>6602.7</v>
      </c>
      <c r="F65" s="1017">
        <f>SUM(F66:F71)-0.1</f>
        <v>6723.7</v>
      </c>
      <c r="G65" s="1017">
        <f>SUM(G66:G71)+0.2</f>
        <v>6623.2</v>
      </c>
      <c r="H65" s="863">
        <f>SUM(H66:H71)</f>
        <v>28.8</v>
      </c>
      <c r="I65" s="860" t="s">
        <v>395</v>
      </c>
      <c r="J65" s="864" t="s">
        <v>336</v>
      </c>
      <c r="K65" s="865">
        <v>90</v>
      </c>
      <c r="L65" s="865">
        <v>90</v>
      </c>
      <c r="M65" s="862"/>
      <c r="N65" s="866"/>
    </row>
    <row r="66" spans="1:14" x14ac:dyDescent="0.25">
      <c r="A66" s="1635"/>
      <c r="B66" s="1636"/>
      <c r="C66" s="1639"/>
      <c r="D66" s="887" t="s">
        <v>79</v>
      </c>
      <c r="E66" s="1018">
        <v>39.1</v>
      </c>
      <c r="F66" s="1018">
        <v>39.1</v>
      </c>
      <c r="G66" s="1018">
        <v>39.1</v>
      </c>
      <c r="H66" s="870">
        <v>0</v>
      </c>
      <c r="I66" s="892" t="s">
        <v>343</v>
      </c>
      <c r="J66" s="887" t="s">
        <v>344</v>
      </c>
      <c r="K66" s="888">
        <v>6</v>
      </c>
      <c r="L66" s="888">
        <v>6</v>
      </c>
      <c r="M66" s="869"/>
      <c r="N66" s="894"/>
    </row>
    <row r="67" spans="1:14" ht="17.25" customHeight="1" x14ac:dyDescent="0.25">
      <c r="A67" s="1635"/>
      <c r="B67" s="1636"/>
      <c r="C67" s="1639"/>
      <c r="D67" s="887" t="s">
        <v>45</v>
      </c>
      <c r="E67" s="1018">
        <v>330</v>
      </c>
      <c r="F67" s="1018">
        <v>325</v>
      </c>
      <c r="G67" s="1018">
        <v>254.6</v>
      </c>
      <c r="H67" s="870">
        <v>0</v>
      </c>
      <c r="I67" s="892" t="s">
        <v>345</v>
      </c>
      <c r="J67" s="887" t="s">
        <v>344</v>
      </c>
      <c r="K67" s="888" t="s">
        <v>396</v>
      </c>
      <c r="L67" s="888" t="s">
        <v>397</v>
      </c>
      <c r="M67" s="869"/>
      <c r="N67" s="894" t="s">
        <v>398</v>
      </c>
    </row>
    <row r="68" spans="1:14" ht="20.25" customHeight="1" x14ac:dyDescent="0.25">
      <c r="A68" s="1635"/>
      <c r="B68" s="1636"/>
      <c r="C68" s="1639"/>
      <c r="D68" s="887" t="s">
        <v>15</v>
      </c>
      <c r="E68" s="1018">
        <v>5858.7</v>
      </c>
      <c r="F68" s="1018">
        <v>5824.9</v>
      </c>
      <c r="G68" s="1018">
        <v>5823.4</v>
      </c>
      <c r="H68" s="870">
        <v>0</v>
      </c>
      <c r="I68" s="1654" t="s">
        <v>399</v>
      </c>
      <c r="J68" s="1656" t="s">
        <v>344</v>
      </c>
      <c r="K68" s="1658">
        <v>230</v>
      </c>
      <c r="L68" s="1658">
        <v>230</v>
      </c>
      <c r="M68" s="1630"/>
      <c r="N68" s="1675" t="s">
        <v>400</v>
      </c>
    </row>
    <row r="69" spans="1:14" x14ac:dyDescent="0.25">
      <c r="A69" s="1635"/>
      <c r="B69" s="1636"/>
      <c r="C69" s="1639"/>
      <c r="D69" s="887" t="s">
        <v>18</v>
      </c>
      <c r="E69" s="1018">
        <v>374.9</v>
      </c>
      <c r="F69" s="1018">
        <v>417.5</v>
      </c>
      <c r="G69" s="1018">
        <v>417.3</v>
      </c>
      <c r="H69" s="870">
        <v>0.2</v>
      </c>
      <c r="I69" s="1663"/>
      <c r="J69" s="1665"/>
      <c r="K69" s="1667"/>
      <c r="L69" s="1667"/>
      <c r="M69" s="1636"/>
      <c r="N69" s="1673"/>
    </row>
    <row r="70" spans="1:14" x14ac:dyDescent="0.25">
      <c r="A70" s="1635"/>
      <c r="B70" s="1636"/>
      <c r="C70" s="1639"/>
      <c r="D70" s="887" t="s">
        <v>63</v>
      </c>
      <c r="E70" s="1018">
        <v>0</v>
      </c>
      <c r="F70" s="1018">
        <v>117.2</v>
      </c>
      <c r="G70" s="1018">
        <v>88.6</v>
      </c>
      <c r="H70" s="870">
        <v>28.5</v>
      </c>
      <c r="I70" s="1663"/>
      <c r="J70" s="1665"/>
      <c r="K70" s="1667"/>
      <c r="L70" s="1667"/>
      <c r="M70" s="1636"/>
      <c r="N70" s="1673"/>
    </row>
    <row r="71" spans="1:14" ht="16.5" thickBot="1" x14ac:dyDescent="0.3">
      <c r="A71" s="1632"/>
      <c r="B71" s="1621"/>
      <c r="C71" s="1640"/>
      <c r="D71" s="887" t="s">
        <v>3</v>
      </c>
      <c r="E71" s="1018">
        <v>0</v>
      </c>
      <c r="F71" s="1018">
        <v>0.1</v>
      </c>
      <c r="G71" s="1018">
        <v>0</v>
      </c>
      <c r="H71" s="870">
        <v>0.1</v>
      </c>
      <c r="I71" s="1655"/>
      <c r="J71" s="1657"/>
      <c r="K71" s="1659"/>
      <c r="L71" s="1659"/>
      <c r="M71" s="1621"/>
      <c r="N71" s="1674"/>
    </row>
    <row r="72" spans="1:14" ht="16.5" customHeight="1" x14ac:dyDescent="0.25">
      <c r="A72" s="1631" t="s">
        <v>401</v>
      </c>
      <c r="B72" s="1620" t="s">
        <v>402</v>
      </c>
      <c r="C72" s="1638">
        <v>2</v>
      </c>
      <c r="D72" s="864"/>
      <c r="E72" s="1017">
        <f>SUM(E73:E76)</f>
        <v>692.7</v>
      </c>
      <c r="F72" s="1017">
        <f>SUM(F73:F76)</f>
        <v>708.2</v>
      </c>
      <c r="G72" s="1017">
        <f>SUM(G73:G76)+0.1</f>
        <v>704.7</v>
      </c>
      <c r="H72" s="863">
        <f>SUM(H73:H76)</f>
        <v>3.6</v>
      </c>
      <c r="I72" s="1662" t="s">
        <v>81</v>
      </c>
      <c r="J72" s="1664" t="s">
        <v>344</v>
      </c>
      <c r="K72" s="1666" t="s">
        <v>403</v>
      </c>
      <c r="L72" s="1666" t="s">
        <v>404</v>
      </c>
      <c r="M72" s="1620"/>
      <c r="N72" s="1672" t="s">
        <v>405</v>
      </c>
    </row>
    <row r="73" spans="1:14" ht="16.5" customHeight="1" x14ac:dyDescent="0.25">
      <c r="A73" s="1635"/>
      <c r="B73" s="1636"/>
      <c r="C73" s="1639"/>
      <c r="D73" s="887" t="s">
        <v>18</v>
      </c>
      <c r="E73" s="1018">
        <v>339.1</v>
      </c>
      <c r="F73" s="1018">
        <v>339.1</v>
      </c>
      <c r="G73" s="1018">
        <v>339.1</v>
      </c>
      <c r="H73" s="870">
        <v>0</v>
      </c>
      <c r="I73" s="1663"/>
      <c r="J73" s="1665"/>
      <c r="K73" s="1667"/>
      <c r="L73" s="1667"/>
      <c r="M73" s="1636"/>
      <c r="N73" s="1673"/>
    </row>
    <row r="74" spans="1:14" ht="16.5" customHeight="1" x14ac:dyDescent="0.25">
      <c r="A74" s="1635"/>
      <c r="B74" s="1636"/>
      <c r="C74" s="1639"/>
      <c r="D74" s="887" t="s">
        <v>45</v>
      </c>
      <c r="E74" s="1018">
        <v>20</v>
      </c>
      <c r="F74" s="1018">
        <v>30</v>
      </c>
      <c r="G74" s="1018">
        <v>29.9</v>
      </c>
      <c r="H74" s="870">
        <v>0.1</v>
      </c>
      <c r="I74" s="1663"/>
      <c r="J74" s="1665"/>
      <c r="K74" s="1667"/>
      <c r="L74" s="1667"/>
      <c r="M74" s="1636"/>
      <c r="N74" s="1673"/>
    </row>
    <row r="75" spans="1:14" ht="16.5" customHeight="1" x14ac:dyDescent="0.25">
      <c r="A75" s="1635"/>
      <c r="B75" s="1636"/>
      <c r="C75" s="1639"/>
      <c r="D75" s="887" t="s">
        <v>15</v>
      </c>
      <c r="E75" s="1018">
        <v>333.6</v>
      </c>
      <c r="F75" s="1018">
        <v>333.6</v>
      </c>
      <c r="G75" s="1018">
        <v>333.5</v>
      </c>
      <c r="H75" s="870">
        <v>0.1</v>
      </c>
      <c r="I75" s="1663"/>
      <c r="J75" s="1665"/>
      <c r="K75" s="1667"/>
      <c r="L75" s="1667"/>
      <c r="M75" s="1636"/>
      <c r="N75" s="1673"/>
    </row>
    <row r="76" spans="1:14" ht="16.5" customHeight="1" thickBot="1" x14ac:dyDescent="0.3">
      <c r="A76" s="1632"/>
      <c r="B76" s="1621"/>
      <c r="C76" s="1640"/>
      <c r="D76" s="887" t="s">
        <v>63</v>
      </c>
      <c r="E76" s="1018">
        <v>0</v>
      </c>
      <c r="F76" s="1018">
        <v>5.5</v>
      </c>
      <c r="G76" s="1018">
        <v>2.1</v>
      </c>
      <c r="H76" s="870">
        <v>3.4</v>
      </c>
      <c r="I76" s="1655"/>
      <c r="J76" s="1657"/>
      <c r="K76" s="1659"/>
      <c r="L76" s="1659"/>
      <c r="M76" s="1621"/>
      <c r="N76" s="1674"/>
    </row>
    <row r="77" spans="1:14" ht="18.75" customHeight="1" x14ac:dyDescent="0.25">
      <c r="A77" s="1631" t="s">
        <v>406</v>
      </c>
      <c r="B77" s="1620" t="s">
        <v>407</v>
      </c>
      <c r="C77" s="1638">
        <v>2</v>
      </c>
      <c r="D77" s="864"/>
      <c r="E77" s="1017">
        <f>SUM(E78:E82)</f>
        <v>626</v>
      </c>
      <c r="F77" s="1017">
        <f>SUM(F78:F82)+0.1</f>
        <v>636.60000000000014</v>
      </c>
      <c r="G77" s="1017">
        <f>SUM(G78:G82)+0.1</f>
        <v>628.80000000000007</v>
      </c>
      <c r="H77" s="863">
        <f>SUM(H78:H82)</f>
        <v>7.8000000000000007</v>
      </c>
      <c r="I77" s="1662" t="s">
        <v>81</v>
      </c>
      <c r="J77" s="1664" t="s">
        <v>344</v>
      </c>
      <c r="K77" s="1666">
        <v>150</v>
      </c>
      <c r="L77" s="1666">
        <v>152</v>
      </c>
      <c r="M77" s="1620"/>
      <c r="N77" s="1672"/>
    </row>
    <row r="78" spans="1:14" x14ac:dyDescent="0.25">
      <c r="A78" s="1635"/>
      <c r="B78" s="1636"/>
      <c r="C78" s="1639"/>
      <c r="D78" s="887" t="s">
        <v>15</v>
      </c>
      <c r="E78" s="1018">
        <v>430.5</v>
      </c>
      <c r="F78" s="1018">
        <v>434.8</v>
      </c>
      <c r="G78" s="1018">
        <v>434.6</v>
      </c>
      <c r="H78" s="870">
        <v>0.2</v>
      </c>
      <c r="I78" s="1663"/>
      <c r="J78" s="1665"/>
      <c r="K78" s="1667"/>
      <c r="L78" s="1667"/>
      <c r="M78" s="1636"/>
      <c r="N78" s="1673"/>
    </row>
    <row r="79" spans="1:14" x14ac:dyDescent="0.25">
      <c r="A79" s="1635"/>
      <c r="B79" s="1636"/>
      <c r="C79" s="1639"/>
      <c r="D79" s="887" t="s">
        <v>79</v>
      </c>
      <c r="E79" s="1018">
        <v>4.8</v>
      </c>
      <c r="F79" s="1018">
        <v>4.8</v>
      </c>
      <c r="G79" s="1018">
        <v>4.8</v>
      </c>
      <c r="H79" s="870">
        <v>0</v>
      </c>
      <c r="I79" s="1663"/>
      <c r="J79" s="1665"/>
      <c r="K79" s="1667"/>
      <c r="L79" s="1667"/>
      <c r="M79" s="1636"/>
      <c r="N79" s="1673"/>
    </row>
    <row r="80" spans="1:14" x14ac:dyDescent="0.25">
      <c r="A80" s="1635"/>
      <c r="B80" s="1636"/>
      <c r="C80" s="1639"/>
      <c r="D80" s="887" t="s">
        <v>45</v>
      </c>
      <c r="E80" s="1018">
        <v>39.6</v>
      </c>
      <c r="F80" s="1018">
        <v>39.6</v>
      </c>
      <c r="G80" s="1018">
        <v>36</v>
      </c>
      <c r="H80" s="870">
        <v>3.6</v>
      </c>
      <c r="I80" s="1663"/>
      <c r="J80" s="1665"/>
      <c r="K80" s="1667"/>
      <c r="L80" s="1667"/>
      <c r="M80" s="1636"/>
      <c r="N80" s="1673"/>
    </row>
    <row r="81" spans="1:14" x14ac:dyDescent="0.25">
      <c r="A81" s="1635"/>
      <c r="B81" s="1636"/>
      <c r="C81" s="1639"/>
      <c r="D81" s="887" t="s">
        <v>18</v>
      </c>
      <c r="E81" s="1018">
        <v>151.1</v>
      </c>
      <c r="F81" s="1018">
        <v>151.1</v>
      </c>
      <c r="G81" s="1018">
        <v>151</v>
      </c>
      <c r="H81" s="870">
        <v>0.1</v>
      </c>
      <c r="I81" s="1663"/>
      <c r="J81" s="1665"/>
      <c r="K81" s="1667"/>
      <c r="L81" s="1667"/>
      <c r="M81" s="1636"/>
      <c r="N81" s="1673"/>
    </row>
    <row r="82" spans="1:14" ht="16.5" thickBot="1" x14ac:dyDescent="0.3">
      <c r="A82" s="1632"/>
      <c r="B82" s="1621"/>
      <c r="C82" s="1640"/>
      <c r="D82" s="887" t="s">
        <v>63</v>
      </c>
      <c r="E82" s="1018">
        <v>0</v>
      </c>
      <c r="F82" s="1018">
        <v>6.2</v>
      </c>
      <c r="G82" s="1018">
        <v>2.2999999999999998</v>
      </c>
      <c r="H82" s="870">
        <v>3.9</v>
      </c>
      <c r="I82" s="1655"/>
      <c r="J82" s="1657"/>
      <c r="K82" s="1659"/>
      <c r="L82" s="1659"/>
      <c r="M82" s="1621"/>
      <c r="N82" s="1674"/>
    </row>
    <row r="83" spans="1:14" ht="18.75" customHeight="1" x14ac:dyDescent="0.25">
      <c r="A83" s="1631" t="s">
        <v>408</v>
      </c>
      <c r="B83" s="1620" t="s">
        <v>409</v>
      </c>
      <c r="C83" s="1638">
        <v>2</v>
      </c>
      <c r="D83" s="979"/>
      <c r="E83" s="1017">
        <f>SUM(E84:E87)</f>
        <v>250.9</v>
      </c>
      <c r="F83" s="1017">
        <f>SUM(F84:F87)</f>
        <v>247.20000000000002</v>
      </c>
      <c r="G83" s="1017">
        <f>SUM(G84:G87)</f>
        <v>246.29999999999998</v>
      </c>
      <c r="H83" s="863">
        <f>SUM(H84:H87)</f>
        <v>0.2</v>
      </c>
      <c r="I83" s="860" t="s">
        <v>410</v>
      </c>
      <c r="J83" s="864" t="s">
        <v>336</v>
      </c>
      <c r="K83" s="865">
        <v>695</v>
      </c>
      <c r="L83" s="865">
        <v>781</v>
      </c>
      <c r="M83" s="1620"/>
      <c r="N83" s="1672"/>
    </row>
    <row r="84" spans="1:14" x14ac:dyDescent="0.25">
      <c r="A84" s="1635"/>
      <c r="B84" s="1636"/>
      <c r="C84" s="1639"/>
      <c r="D84" s="887" t="s">
        <v>79</v>
      </c>
      <c r="E84" s="1018">
        <v>0.4</v>
      </c>
      <c r="F84" s="1018">
        <v>0.4</v>
      </c>
      <c r="G84" s="1018">
        <v>0.4</v>
      </c>
      <c r="H84" s="870">
        <v>0</v>
      </c>
      <c r="I84" s="892" t="s">
        <v>411</v>
      </c>
      <c r="J84" s="887" t="s">
        <v>336</v>
      </c>
      <c r="K84" s="888">
        <v>20</v>
      </c>
      <c r="L84" s="888">
        <v>20</v>
      </c>
      <c r="M84" s="1636"/>
      <c r="N84" s="1673"/>
    </row>
    <row r="85" spans="1:14" x14ac:dyDescent="0.25">
      <c r="A85" s="1635"/>
      <c r="B85" s="1636"/>
      <c r="C85" s="1639"/>
      <c r="D85" s="887" t="s">
        <v>45</v>
      </c>
      <c r="E85" s="1018">
        <v>32</v>
      </c>
      <c r="F85" s="1018">
        <v>27</v>
      </c>
      <c r="G85" s="1018">
        <v>26.3</v>
      </c>
      <c r="H85" s="870">
        <v>0</v>
      </c>
      <c r="I85" s="1654" t="s">
        <v>412</v>
      </c>
      <c r="J85" s="1656" t="s">
        <v>336</v>
      </c>
      <c r="K85" s="1658" t="s">
        <v>413</v>
      </c>
      <c r="L85" s="1658" t="s">
        <v>414</v>
      </c>
      <c r="M85" s="1636"/>
      <c r="N85" s="1673"/>
    </row>
    <row r="86" spans="1:14" x14ac:dyDescent="0.25">
      <c r="A86" s="1635"/>
      <c r="B86" s="1636"/>
      <c r="C86" s="1639"/>
      <c r="D86" s="887" t="s">
        <v>15</v>
      </c>
      <c r="E86" s="1018">
        <v>218.5</v>
      </c>
      <c r="F86" s="1018">
        <v>219.4</v>
      </c>
      <c r="G86" s="1018">
        <v>219.2</v>
      </c>
      <c r="H86" s="870">
        <v>0.2</v>
      </c>
      <c r="I86" s="1663"/>
      <c r="J86" s="1665"/>
      <c r="K86" s="1667"/>
      <c r="L86" s="1667"/>
      <c r="M86" s="1636"/>
      <c r="N86" s="1673"/>
    </row>
    <row r="87" spans="1:14" ht="16.5" thickBot="1" x14ac:dyDescent="0.3">
      <c r="A87" s="1632"/>
      <c r="B87" s="1621"/>
      <c r="C87" s="1640"/>
      <c r="D87" s="887" t="s">
        <v>63</v>
      </c>
      <c r="E87" s="1018">
        <v>0</v>
      </c>
      <c r="F87" s="1018">
        <v>0.4</v>
      </c>
      <c r="G87" s="1018">
        <v>0.4</v>
      </c>
      <c r="H87" s="870">
        <v>0</v>
      </c>
      <c r="I87" s="1655"/>
      <c r="J87" s="1657"/>
      <c r="K87" s="1659"/>
      <c r="L87" s="1659"/>
      <c r="M87" s="1621"/>
      <c r="N87" s="1674"/>
    </row>
    <row r="88" spans="1:14" ht="33.75" customHeight="1" x14ac:dyDescent="0.25">
      <c r="A88" s="1631" t="s">
        <v>415</v>
      </c>
      <c r="B88" s="1620" t="s">
        <v>416</v>
      </c>
      <c r="C88" s="867">
        <v>2</v>
      </c>
      <c r="D88" s="900" t="s">
        <v>15</v>
      </c>
      <c r="E88" s="1019">
        <f>SUM(E89:E89)+10.1</f>
        <v>10.1</v>
      </c>
      <c r="F88" s="1019">
        <f>SUM(F89:F89)+10.1</f>
        <v>10.1</v>
      </c>
      <c r="G88" s="1019">
        <f>SUM(G89:G89)+10.1</f>
        <v>10.1</v>
      </c>
      <c r="H88" s="863">
        <f>SUM(H89:H89)</f>
        <v>0</v>
      </c>
      <c r="I88" s="860" t="s">
        <v>417</v>
      </c>
      <c r="J88" s="864" t="s">
        <v>344</v>
      </c>
      <c r="K88" s="865">
        <v>158</v>
      </c>
      <c r="L88" s="865">
        <v>158</v>
      </c>
      <c r="M88" s="862"/>
      <c r="N88" s="866" t="s">
        <v>418</v>
      </c>
    </row>
    <row r="89" spans="1:14" ht="32.25" thickBot="1" x14ac:dyDescent="0.3">
      <c r="A89" s="1635"/>
      <c r="B89" s="1636"/>
      <c r="C89" s="868"/>
      <c r="D89" s="898"/>
      <c r="E89" s="1022">
        <v>0</v>
      </c>
      <c r="F89" s="1022">
        <v>0</v>
      </c>
      <c r="G89" s="1022">
        <v>0</v>
      </c>
      <c r="H89" s="931">
        <v>0</v>
      </c>
      <c r="I89" s="1006" t="s">
        <v>419</v>
      </c>
      <c r="J89" s="872" t="s">
        <v>344</v>
      </c>
      <c r="K89" s="873">
        <v>9</v>
      </c>
      <c r="L89" s="873">
        <v>9</v>
      </c>
      <c r="M89" s="871"/>
      <c r="N89" s="971" t="s">
        <v>420</v>
      </c>
    </row>
    <row r="90" spans="1:14" ht="56.25" customHeight="1" x14ac:dyDescent="0.25">
      <c r="A90" s="1668" t="s">
        <v>421</v>
      </c>
      <c r="B90" s="1670" t="s">
        <v>422</v>
      </c>
      <c r="C90" s="932">
        <v>2</v>
      </c>
      <c r="D90" s="935" t="s">
        <v>4</v>
      </c>
      <c r="E90" s="1023">
        <f>SUM(E91:E91)</f>
        <v>0</v>
      </c>
      <c r="F90" s="1023">
        <f>SUM(F91:F91)</f>
        <v>3.4</v>
      </c>
      <c r="G90" s="1023">
        <f>SUM(G91:G91)</f>
        <v>1.4</v>
      </c>
      <c r="H90" s="934">
        <f>SUM(H91:H91)</f>
        <v>2</v>
      </c>
      <c r="I90" s="1007" t="s">
        <v>375</v>
      </c>
      <c r="J90" s="935" t="s">
        <v>344</v>
      </c>
      <c r="K90" s="936">
        <v>0</v>
      </c>
      <c r="L90" s="936">
        <v>140</v>
      </c>
      <c r="M90" s="933"/>
      <c r="N90" s="937" t="s">
        <v>423</v>
      </c>
    </row>
    <row r="91" spans="1:14" ht="16.5" hidden="1" thickBot="1" x14ac:dyDescent="0.3">
      <c r="A91" s="1669"/>
      <c r="B91" s="1671"/>
      <c r="C91" s="938"/>
      <c r="D91" s="980"/>
      <c r="E91" s="1024">
        <v>0</v>
      </c>
      <c r="F91" s="1024">
        <v>3.4</v>
      </c>
      <c r="G91" s="1024">
        <v>1.4</v>
      </c>
      <c r="H91" s="939">
        <v>2</v>
      </c>
      <c r="I91" s="1008"/>
      <c r="J91" s="941"/>
      <c r="K91" s="942"/>
      <c r="L91" s="942"/>
      <c r="M91" s="940"/>
      <c r="N91" s="943"/>
    </row>
    <row r="92" spans="1:14" ht="63.75" thickBot="1" x14ac:dyDescent="0.3">
      <c r="A92" s="877" t="s">
        <v>424</v>
      </c>
      <c r="B92" s="880" t="s">
        <v>122</v>
      </c>
      <c r="C92" s="879">
        <v>2</v>
      </c>
      <c r="D92" s="881" t="s">
        <v>15</v>
      </c>
      <c r="E92" s="1020">
        <v>314.39999999999998</v>
      </c>
      <c r="F92" s="1020">
        <v>314.39999999999998</v>
      </c>
      <c r="G92" s="1020">
        <v>312.60000000000002</v>
      </c>
      <c r="H92" s="886">
        <v>1.8</v>
      </c>
      <c r="I92" s="878" t="s">
        <v>93</v>
      </c>
      <c r="J92" s="881" t="s">
        <v>344</v>
      </c>
      <c r="K92" s="882" t="s">
        <v>425</v>
      </c>
      <c r="L92" s="882" t="s">
        <v>426</v>
      </c>
      <c r="M92" s="880"/>
      <c r="N92" s="883"/>
    </row>
    <row r="93" spans="1:14" ht="34.5" customHeight="1" x14ac:dyDescent="0.25">
      <c r="A93" s="1631" t="s">
        <v>427</v>
      </c>
      <c r="B93" s="1620" t="s">
        <v>428</v>
      </c>
      <c r="C93" s="1638">
        <v>2</v>
      </c>
      <c r="D93" s="1664" t="s">
        <v>18</v>
      </c>
      <c r="E93" s="1019">
        <f>SUM(E94:E94)+11.5</f>
        <v>11.5</v>
      </c>
      <c r="F93" s="1019">
        <f>SUM(F94:F94)+12</f>
        <v>12</v>
      </c>
      <c r="G93" s="1019">
        <f>SUM(G94:G94)+12</f>
        <v>12</v>
      </c>
      <c r="H93" s="863">
        <f>SUM(H94:H94)</f>
        <v>0</v>
      </c>
      <c r="I93" s="860" t="s">
        <v>345</v>
      </c>
      <c r="J93" s="864" t="s">
        <v>344</v>
      </c>
      <c r="K93" s="865">
        <v>9</v>
      </c>
      <c r="L93" s="865">
        <v>4</v>
      </c>
      <c r="M93" s="862"/>
      <c r="N93" s="866" t="s">
        <v>348</v>
      </c>
    </row>
    <row r="94" spans="1:14" ht="16.5" thickBot="1" x14ac:dyDescent="0.3">
      <c r="A94" s="1632"/>
      <c r="B94" s="1621"/>
      <c r="C94" s="1640"/>
      <c r="D94" s="1657"/>
      <c r="E94" s="1020">
        <v>0</v>
      </c>
      <c r="F94" s="1020">
        <v>0</v>
      </c>
      <c r="G94" s="1020">
        <v>0</v>
      </c>
      <c r="H94" s="870">
        <v>0</v>
      </c>
      <c r="I94" s="892" t="s">
        <v>343</v>
      </c>
      <c r="J94" s="887" t="s">
        <v>344</v>
      </c>
      <c r="K94" s="888">
        <v>1</v>
      </c>
      <c r="L94" s="888">
        <v>1</v>
      </c>
      <c r="M94" s="869"/>
      <c r="N94" s="894"/>
    </row>
    <row r="95" spans="1:14" ht="63.75" thickBot="1" x14ac:dyDescent="0.3">
      <c r="A95" s="859" t="s">
        <v>429</v>
      </c>
      <c r="B95" s="862" t="s">
        <v>430</v>
      </c>
      <c r="C95" s="861">
        <v>2</v>
      </c>
      <c r="D95" s="864" t="s">
        <v>15</v>
      </c>
      <c r="E95" s="1021">
        <v>55.8</v>
      </c>
      <c r="F95" s="1021">
        <v>32.4</v>
      </c>
      <c r="G95" s="1021">
        <v>32.4</v>
      </c>
      <c r="H95" s="895">
        <v>0</v>
      </c>
      <c r="I95" s="860" t="s">
        <v>375</v>
      </c>
      <c r="J95" s="864" t="s">
        <v>344</v>
      </c>
      <c r="K95" s="865" t="s">
        <v>431</v>
      </c>
      <c r="L95" s="865" t="s">
        <v>431</v>
      </c>
      <c r="M95" s="862"/>
      <c r="N95" s="866"/>
    </row>
    <row r="96" spans="1:14" ht="63" x14ac:dyDescent="0.25">
      <c r="A96" s="884" t="s">
        <v>432</v>
      </c>
      <c r="B96" s="1031" t="s">
        <v>433</v>
      </c>
      <c r="C96" s="1638">
        <v>2</v>
      </c>
      <c r="D96" s="900"/>
      <c r="E96" s="1019">
        <f>SUM(E97:E98)</f>
        <v>695.2</v>
      </c>
      <c r="F96" s="1019">
        <f>SUM(F97:F98)</f>
        <v>649.1</v>
      </c>
      <c r="G96" s="1019">
        <f>SUM(G97:G98)</f>
        <v>648.9</v>
      </c>
      <c r="H96" s="863">
        <f>SUM(H97:H98)</f>
        <v>0</v>
      </c>
      <c r="I96" s="860" t="s">
        <v>434</v>
      </c>
      <c r="J96" s="864" t="s">
        <v>336</v>
      </c>
      <c r="K96" s="865">
        <v>517</v>
      </c>
      <c r="L96" s="865">
        <v>473</v>
      </c>
      <c r="M96" s="862"/>
      <c r="N96" s="866" t="s">
        <v>435</v>
      </c>
    </row>
    <row r="97" spans="1:14" ht="68.25" customHeight="1" x14ac:dyDescent="0.25">
      <c r="A97" s="874"/>
      <c r="B97" s="1032"/>
      <c r="C97" s="1639"/>
      <c r="D97" s="887" t="s">
        <v>18</v>
      </c>
      <c r="E97" s="1018">
        <v>81.7</v>
      </c>
      <c r="F97" s="1018">
        <v>0</v>
      </c>
      <c r="G97" s="1018">
        <v>0</v>
      </c>
      <c r="H97" s="870">
        <v>0</v>
      </c>
      <c r="I97" s="892" t="s">
        <v>436</v>
      </c>
      <c r="J97" s="887" t="s">
        <v>336</v>
      </c>
      <c r="K97" s="888">
        <v>72</v>
      </c>
      <c r="L97" s="1010">
        <v>44</v>
      </c>
      <c r="M97" s="1068" t="s">
        <v>680</v>
      </c>
      <c r="N97" s="1068" t="s">
        <v>679</v>
      </c>
    </row>
    <row r="98" spans="1:14" ht="69" customHeight="1" thickBot="1" x14ac:dyDescent="0.3">
      <c r="A98" s="877"/>
      <c r="B98" s="880"/>
      <c r="C98" s="1640"/>
      <c r="D98" s="887" t="s">
        <v>15</v>
      </c>
      <c r="E98" s="1018">
        <v>613.5</v>
      </c>
      <c r="F98" s="1018">
        <v>649.1</v>
      </c>
      <c r="G98" s="1018">
        <v>648.9</v>
      </c>
      <c r="H98" s="870">
        <v>0</v>
      </c>
      <c r="I98" s="892" t="s">
        <v>437</v>
      </c>
      <c r="J98" s="887" t="s">
        <v>344</v>
      </c>
      <c r="K98" s="888">
        <v>11</v>
      </c>
      <c r="L98" s="888">
        <v>10.5</v>
      </c>
      <c r="M98" s="1069" t="s">
        <v>681</v>
      </c>
      <c r="N98" s="894" t="s">
        <v>682</v>
      </c>
    </row>
    <row r="99" spans="1:14" ht="25.5" customHeight="1" x14ac:dyDescent="0.25">
      <c r="A99" s="1631" t="s">
        <v>438</v>
      </c>
      <c r="B99" s="1620" t="s">
        <v>439</v>
      </c>
      <c r="C99" s="1638">
        <v>2</v>
      </c>
      <c r="D99" s="864"/>
      <c r="E99" s="1017">
        <f>SUM(E100:E101)</f>
        <v>33.4</v>
      </c>
      <c r="F99" s="1017">
        <f>SUM(F100:F101)-0.1</f>
        <v>121</v>
      </c>
      <c r="G99" s="1017">
        <f>SUM(G100:G101)-0.1</f>
        <v>120.8</v>
      </c>
      <c r="H99" s="863">
        <f>SUM(H100:H101)</f>
        <v>0.2</v>
      </c>
      <c r="I99" s="1662" t="s">
        <v>440</v>
      </c>
      <c r="J99" s="1664" t="s">
        <v>336</v>
      </c>
      <c r="K99" s="1666">
        <v>17</v>
      </c>
      <c r="L99" s="1666">
        <v>17</v>
      </c>
      <c r="M99" s="1620"/>
      <c r="N99" s="1672"/>
    </row>
    <row r="100" spans="1:14" x14ac:dyDescent="0.25">
      <c r="A100" s="1635"/>
      <c r="B100" s="1636"/>
      <c r="C100" s="1639"/>
      <c r="D100" s="887" t="s">
        <v>18</v>
      </c>
      <c r="E100" s="1018">
        <v>33.4</v>
      </c>
      <c r="F100" s="1018">
        <v>108</v>
      </c>
      <c r="G100" s="1018">
        <v>107.8</v>
      </c>
      <c r="H100" s="870">
        <v>0.2</v>
      </c>
      <c r="I100" s="1663"/>
      <c r="J100" s="1665"/>
      <c r="K100" s="1667"/>
      <c r="L100" s="1667"/>
      <c r="M100" s="1636"/>
      <c r="N100" s="1673"/>
    </row>
    <row r="101" spans="1:14" ht="16.5" thickBot="1" x14ac:dyDescent="0.3">
      <c r="A101" s="1632"/>
      <c r="B101" s="1621"/>
      <c r="C101" s="1640"/>
      <c r="D101" s="887" t="s">
        <v>3</v>
      </c>
      <c r="E101" s="1018">
        <v>0</v>
      </c>
      <c r="F101" s="1018">
        <v>13.1</v>
      </c>
      <c r="G101" s="1018">
        <v>13.1</v>
      </c>
      <c r="H101" s="870">
        <v>0</v>
      </c>
      <c r="I101" s="1655"/>
      <c r="J101" s="1657"/>
      <c r="K101" s="1659"/>
      <c r="L101" s="1659"/>
      <c r="M101" s="1621"/>
      <c r="N101" s="1674"/>
    </row>
    <row r="102" spans="1:14" ht="47.25" customHeight="1" thickBot="1" x14ac:dyDescent="0.3">
      <c r="A102" s="1631" t="s">
        <v>441</v>
      </c>
      <c r="B102" s="1620" t="s">
        <v>84</v>
      </c>
      <c r="C102" s="893">
        <v>2</v>
      </c>
      <c r="D102" s="887" t="s">
        <v>15</v>
      </c>
      <c r="E102" s="1016">
        <f>SUM(E103:E103)</f>
        <v>41</v>
      </c>
      <c r="F102" s="1016">
        <f>SUM(F103:F103)</f>
        <v>33.9</v>
      </c>
      <c r="G102" s="1016">
        <f>SUM(G103:G103)</f>
        <v>33.700000000000003</v>
      </c>
      <c r="H102" s="863">
        <f>SUM(H103:H103)</f>
        <v>0</v>
      </c>
      <c r="I102" s="860" t="s">
        <v>343</v>
      </c>
      <c r="J102" s="864" t="s">
        <v>344</v>
      </c>
      <c r="K102" s="865">
        <v>4</v>
      </c>
      <c r="L102" s="865">
        <v>4</v>
      </c>
      <c r="M102" s="862"/>
      <c r="N102" s="866"/>
    </row>
    <row r="103" spans="1:14" ht="33.75" hidden="1" customHeight="1" thickBot="1" x14ac:dyDescent="0.3">
      <c r="A103" s="1635"/>
      <c r="B103" s="1636"/>
      <c r="E103" s="1018">
        <v>41</v>
      </c>
      <c r="F103" s="1018">
        <v>33.9</v>
      </c>
      <c r="G103" s="1018">
        <v>33.700000000000003</v>
      </c>
      <c r="H103" s="870">
        <v>0</v>
      </c>
      <c r="I103" s="892" t="s">
        <v>375</v>
      </c>
      <c r="J103" s="887" t="s">
        <v>344</v>
      </c>
      <c r="K103" s="888">
        <v>44</v>
      </c>
      <c r="L103" s="888">
        <v>35</v>
      </c>
      <c r="M103" s="869"/>
      <c r="N103" s="894" t="s">
        <v>442</v>
      </c>
    </row>
    <row r="104" spans="1:14" ht="48" thickBot="1" x14ac:dyDescent="0.3">
      <c r="A104" s="859" t="s">
        <v>443</v>
      </c>
      <c r="B104" s="862" t="s">
        <v>444</v>
      </c>
      <c r="C104" s="861">
        <v>2</v>
      </c>
      <c r="D104" s="864" t="s">
        <v>15</v>
      </c>
      <c r="E104" s="1021">
        <v>70</v>
      </c>
      <c r="F104" s="1021">
        <v>56.5</v>
      </c>
      <c r="G104" s="1021">
        <v>56.5</v>
      </c>
      <c r="H104" s="895">
        <v>0</v>
      </c>
      <c r="I104" s="860" t="s">
        <v>343</v>
      </c>
      <c r="J104" s="864" t="s">
        <v>344</v>
      </c>
      <c r="K104" s="865">
        <v>92</v>
      </c>
      <c r="L104" s="865">
        <v>92</v>
      </c>
      <c r="M104" s="862"/>
      <c r="N104" s="866" t="s">
        <v>445</v>
      </c>
    </row>
    <row r="105" spans="1:14" ht="15.75" customHeight="1" x14ac:dyDescent="0.25">
      <c r="A105" s="1631" t="s">
        <v>446</v>
      </c>
      <c r="B105" s="1633" t="s">
        <v>157</v>
      </c>
      <c r="C105" s="1638">
        <v>2</v>
      </c>
      <c r="D105" s="864"/>
      <c r="E105" s="1017">
        <f>SUM(E106:E108)</f>
        <v>47.1</v>
      </c>
      <c r="F105" s="1017">
        <f>SUM(F106:F108)</f>
        <v>11.799999999999999</v>
      </c>
      <c r="G105" s="1017">
        <f>SUM(G106:G108)</f>
        <v>8.6</v>
      </c>
      <c r="H105" s="863">
        <f>SUM(H106:H108)</f>
        <v>3.2</v>
      </c>
      <c r="I105" s="1660" t="s">
        <v>447</v>
      </c>
      <c r="J105" s="1661" t="s">
        <v>332</v>
      </c>
      <c r="K105" s="1650">
        <v>85</v>
      </c>
      <c r="L105" s="1650">
        <v>8.3000000000000007</v>
      </c>
      <c r="M105" s="1633"/>
      <c r="N105" s="1651" t="s">
        <v>448</v>
      </c>
    </row>
    <row r="106" spans="1:14" ht="15.75" customHeight="1" x14ac:dyDescent="0.25">
      <c r="A106" s="1635"/>
      <c r="B106" s="1637"/>
      <c r="C106" s="1639"/>
      <c r="D106" s="887" t="s">
        <v>3</v>
      </c>
      <c r="E106" s="1018">
        <v>0</v>
      </c>
      <c r="F106" s="1018">
        <v>3.6</v>
      </c>
      <c r="G106" s="1018">
        <v>3.6</v>
      </c>
      <c r="H106" s="870">
        <v>0</v>
      </c>
      <c r="I106" s="1642"/>
      <c r="J106" s="1645"/>
      <c r="K106" s="1648"/>
      <c r="L106" s="1648"/>
      <c r="M106" s="1637"/>
      <c r="N106" s="1652"/>
    </row>
    <row r="107" spans="1:14" ht="15.75" customHeight="1" x14ac:dyDescent="0.25">
      <c r="A107" s="1635"/>
      <c r="B107" s="1637"/>
      <c r="C107" s="1639"/>
      <c r="D107" s="887" t="s">
        <v>15</v>
      </c>
      <c r="E107" s="1018">
        <v>47.1</v>
      </c>
      <c r="F107" s="1018">
        <v>4.5999999999999996</v>
      </c>
      <c r="G107" s="1018">
        <v>4.4000000000000004</v>
      </c>
      <c r="H107" s="870">
        <v>0.2</v>
      </c>
      <c r="I107" s="1642"/>
      <c r="J107" s="1645"/>
      <c r="K107" s="1648"/>
      <c r="L107" s="1648"/>
      <c r="M107" s="1637"/>
      <c r="N107" s="1652"/>
    </row>
    <row r="108" spans="1:14" ht="15.75" customHeight="1" thickBot="1" x14ac:dyDescent="0.3">
      <c r="A108" s="1632"/>
      <c r="B108" s="1634"/>
      <c r="C108" s="1640"/>
      <c r="D108" s="887" t="s">
        <v>4</v>
      </c>
      <c r="E108" s="1018">
        <v>0</v>
      </c>
      <c r="F108" s="1018">
        <v>3.6</v>
      </c>
      <c r="G108" s="1018">
        <v>0.6</v>
      </c>
      <c r="H108" s="870">
        <v>3</v>
      </c>
      <c r="I108" s="1643"/>
      <c r="J108" s="1646"/>
      <c r="K108" s="1649"/>
      <c r="L108" s="1649"/>
      <c r="M108" s="1634"/>
      <c r="N108" s="1653"/>
    </row>
    <row r="109" spans="1:14" ht="23.25" customHeight="1" x14ac:dyDescent="0.25">
      <c r="A109" s="1631" t="s">
        <v>449</v>
      </c>
      <c r="B109" s="1620" t="s">
        <v>450</v>
      </c>
      <c r="C109" s="1638">
        <v>2</v>
      </c>
      <c r="D109" s="864"/>
      <c r="E109" s="1016">
        <f>SUM(E110:E111)</f>
        <v>71</v>
      </c>
      <c r="F109" s="1016">
        <f>SUM(F110:F111)</f>
        <v>0</v>
      </c>
      <c r="G109" s="1016">
        <f>SUM(G110:G111)</f>
        <v>0</v>
      </c>
      <c r="H109" s="863">
        <f>SUM(H110:H111)</f>
        <v>0</v>
      </c>
      <c r="I109" s="860" t="s">
        <v>451</v>
      </c>
      <c r="J109" s="864" t="s">
        <v>344</v>
      </c>
      <c r="K109" s="865">
        <v>8</v>
      </c>
      <c r="L109" s="865">
        <v>5</v>
      </c>
      <c r="M109" s="862"/>
      <c r="N109" s="1672" t="s">
        <v>452</v>
      </c>
    </row>
    <row r="110" spans="1:14" ht="23.25" customHeight="1" x14ac:dyDescent="0.25">
      <c r="A110" s="1635"/>
      <c r="B110" s="1636"/>
      <c r="C110" s="1639"/>
      <c r="D110" s="887" t="s">
        <v>18</v>
      </c>
      <c r="E110" s="1018">
        <v>50</v>
      </c>
      <c r="F110" s="1018">
        <v>0</v>
      </c>
      <c r="G110" s="1018">
        <v>0</v>
      </c>
      <c r="H110" s="870">
        <v>0</v>
      </c>
      <c r="I110" s="1654" t="s">
        <v>375</v>
      </c>
      <c r="J110" s="1656" t="s">
        <v>344</v>
      </c>
      <c r="K110" s="1658">
        <v>72</v>
      </c>
      <c r="L110" s="1658">
        <v>88</v>
      </c>
      <c r="M110" s="1630" t="s">
        <v>453</v>
      </c>
      <c r="N110" s="1673"/>
    </row>
    <row r="111" spans="1:14" ht="23.25" customHeight="1" thickBot="1" x14ac:dyDescent="0.3">
      <c r="A111" s="1632"/>
      <c r="B111" s="1621"/>
      <c r="C111" s="1640"/>
      <c r="D111" s="887" t="s">
        <v>15</v>
      </c>
      <c r="E111" s="1018">
        <v>21</v>
      </c>
      <c r="F111" s="1018">
        <v>0</v>
      </c>
      <c r="G111" s="1018">
        <v>0</v>
      </c>
      <c r="H111" s="870">
        <v>0</v>
      </c>
      <c r="I111" s="1655"/>
      <c r="J111" s="1657"/>
      <c r="K111" s="1659"/>
      <c r="L111" s="1659"/>
      <c r="M111" s="1621"/>
      <c r="N111" s="1674"/>
    </row>
    <row r="112" spans="1:14" ht="63.75" thickBot="1" x14ac:dyDescent="0.3">
      <c r="A112" s="859" t="s">
        <v>454</v>
      </c>
      <c r="B112" s="862" t="s">
        <v>164</v>
      </c>
      <c r="C112" s="861">
        <v>2</v>
      </c>
      <c r="D112" s="864" t="s">
        <v>15</v>
      </c>
      <c r="E112" s="1021">
        <v>10.7</v>
      </c>
      <c r="F112" s="1021">
        <v>32.200000000000003</v>
      </c>
      <c r="G112" s="1021">
        <v>23.3</v>
      </c>
      <c r="H112" s="895">
        <v>8.9</v>
      </c>
      <c r="I112" s="860" t="s">
        <v>375</v>
      </c>
      <c r="J112" s="864" t="s">
        <v>344</v>
      </c>
      <c r="K112" s="865">
        <v>93</v>
      </c>
      <c r="L112" s="865">
        <v>81</v>
      </c>
      <c r="M112" s="862" t="s">
        <v>683</v>
      </c>
      <c r="N112" s="866" t="s">
        <v>686</v>
      </c>
    </row>
    <row r="113" spans="1:14" ht="63.75" thickBot="1" x14ac:dyDescent="0.3">
      <c r="A113" s="859" t="s">
        <v>455</v>
      </c>
      <c r="B113" s="862" t="s">
        <v>165</v>
      </c>
      <c r="C113" s="861">
        <v>2</v>
      </c>
      <c r="D113" s="864" t="s">
        <v>15</v>
      </c>
      <c r="E113" s="1021">
        <v>31.5</v>
      </c>
      <c r="F113" s="1021">
        <v>31.5</v>
      </c>
      <c r="G113" s="1021">
        <v>26.4</v>
      </c>
      <c r="H113" s="895">
        <v>5.0999999999999996</v>
      </c>
      <c r="I113" s="860" t="s">
        <v>41</v>
      </c>
      <c r="J113" s="864" t="s">
        <v>344</v>
      </c>
      <c r="K113" s="865">
        <v>2</v>
      </c>
      <c r="L113" s="865">
        <v>2</v>
      </c>
      <c r="M113" s="862"/>
      <c r="N113" s="866" t="s">
        <v>684</v>
      </c>
    </row>
    <row r="114" spans="1:14" ht="69" customHeight="1" x14ac:dyDescent="0.25">
      <c r="A114" s="1631" t="s">
        <v>456</v>
      </c>
      <c r="B114" s="1633" t="s">
        <v>243</v>
      </c>
      <c r="C114" s="867">
        <v>2</v>
      </c>
      <c r="D114" s="900" t="s">
        <v>15</v>
      </c>
      <c r="E114" s="1019">
        <f>SUM(E115:E115)+7</f>
        <v>7</v>
      </c>
      <c r="F114" s="1019">
        <f>SUM(F115:F115)</f>
        <v>0</v>
      </c>
      <c r="G114" s="1019">
        <f>SUM(G115:G115)</f>
        <v>0</v>
      </c>
      <c r="H114" s="863">
        <f>SUM(H115:H115)</f>
        <v>0</v>
      </c>
      <c r="I114" s="973" t="s">
        <v>457</v>
      </c>
      <c r="J114" s="949" t="s">
        <v>344</v>
      </c>
      <c r="K114" s="950">
        <v>1</v>
      </c>
      <c r="L114" s="950">
        <v>0</v>
      </c>
      <c r="M114" s="948"/>
      <c r="N114" s="951" t="s">
        <v>458</v>
      </c>
    </row>
    <row r="115" spans="1:14" ht="32.25" thickBot="1" x14ac:dyDescent="0.3">
      <c r="A115" s="1632"/>
      <c r="B115" s="1634"/>
      <c r="C115" s="879"/>
      <c r="D115" s="881"/>
      <c r="E115" s="1020">
        <v>0</v>
      </c>
      <c r="F115" s="1020">
        <v>0</v>
      </c>
      <c r="G115" s="1020">
        <v>0</v>
      </c>
      <c r="H115" s="870">
        <v>0</v>
      </c>
      <c r="I115" s="984" t="s">
        <v>459</v>
      </c>
      <c r="J115" s="953" t="s">
        <v>336</v>
      </c>
      <c r="K115" s="954">
        <v>5</v>
      </c>
      <c r="L115" s="954">
        <v>0</v>
      </c>
      <c r="M115" s="952"/>
      <c r="N115" s="955" t="s">
        <v>460</v>
      </c>
    </row>
    <row r="116" spans="1:14" ht="20.25" customHeight="1" x14ac:dyDescent="0.25">
      <c r="A116" s="1631" t="s">
        <v>461</v>
      </c>
      <c r="B116" s="1624" t="s">
        <v>462</v>
      </c>
      <c r="C116" s="867">
        <v>2</v>
      </c>
      <c r="D116" s="900" t="s">
        <v>15</v>
      </c>
      <c r="E116" s="1019">
        <f>SUM(E117:E117)+28.4</f>
        <v>28.4</v>
      </c>
      <c r="F116" s="1019">
        <f>SUM(F117:F117)+28.4</f>
        <v>28.4</v>
      </c>
      <c r="G116" s="1019">
        <f>SUM(G117:G117)+28.4</f>
        <v>28.4</v>
      </c>
      <c r="H116" s="863">
        <f>SUM(H117:H117)</f>
        <v>0</v>
      </c>
      <c r="I116" s="974" t="s">
        <v>463</v>
      </c>
      <c r="J116" s="958" t="s">
        <v>336</v>
      </c>
      <c r="K116" s="959">
        <v>1.26</v>
      </c>
      <c r="L116" s="959">
        <v>1.26</v>
      </c>
      <c r="M116" s="1070"/>
      <c r="N116" s="960"/>
    </row>
    <row r="117" spans="1:14" ht="32.25" thickBot="1" x14ac:dyDescent="0.3">
      <c r="A117" s="1632"/>
      <c r="B117" s="1625"/>
      <c r="C117" s="879"/>
      <c r="D117" s="881"/>
      <c r="E117" s="1020">
        <v>0</v>
      </c>
      <c r="F117" s="1020">
        <v>0</v>
      </c>
      <c r="G117" s="1020">
        <v>0</v>
      </c>
      <c r="H117" s="870">
        <v>0</v>
      </c>
      <c r="I117" s="1009" t="s">
        <v>464</v>
      </c>
      <c r="J117" s="962" t="s">
        <v>344</v>
      </c>
      <c r="K117" s="963">
        <v>1</v>
      </c>
      <c r="L117" s="963">
        <v>1</v>
      </c>
      <c r="M117" s="961"/>
      <c r="N117" s="964"/>
    </row>
    <row r="118" spans="1:14" ht="48" thickBot="1" x14ac:dyDescent="0.3">
      <c r="A118" s="859" t="s">
        <v>465</v>
      </c>
      <c r="B118" s="957" t="s">
        <v>466</v>
      </c>
      <c r="C118" s="861">
        <v>2</v>
      </c>
      <c r="D118" s="864" t="s">
        <v>15</v>
      </c>
      <c r="E118" s="1021">
        <v>50</v>
      </c>
      <c r="F118" s="1021">
        <v>50</v>
      </c>
      <c r="G118" s="1021">
        <v>50</v>
      </c>
      <c r="H118" s="895">
        <v>0</v>
      </c>
      <c r="I118" s="974" t="s">
        <v>467</v>
      </c>
      <c r="J118" s="958" t="s">
        <v>336</v>
      </c>
      <c r="K118" s="959">
        <v>2</v>
      </c>
      <c r="L118" s="959">
        <v>2</v>
      </c>
      <c r="M118" s="957" t="s">
        <v>468</v>
      </c>
      <c r="N118" s="975"/>
    </row>
    <row r="119" spans="1:14" ht="32.25" thickBot="1" x14ac:dyDescent="0.3">
      <c r="A119" s="859" t="s">
        <v>469</v>
      </c>
      <c r="B119" s="862" t="s">
        <v>470</v>
      </c>
      <c r="C119" s="861"/>
      <c r="D119" s="864"/>
      <c r="E119" s="1016">
        <f>E120+E123+E124+E128+E129</f>
        <v>520.20000000000005</v>
      </c>
      <c r="F119" s="1016">
        <f>F120+F123+F124+F128+F129</f>
        <v>1715.0000000000002</v>
      </c>
      <c r="G119" s="1016">
        <f>G120+G123+G124+G128+G129</f>
        <v>1178.2</v>
      </c>
      <c r="H119" s="863">
        <f>H120+H123+H124+H128+H129</f>
        <v>117.49999999999999</v>
      </c>
      <c r="I119" s="860"/>
      <c r="J119" s="864"/>
      <c r="K119" s="865"/>
      <c r="L119" s="865"/>
      <c r="M119" s="862"/>
      <c r="N119" s="866"/>
    </row>
    <row r="120" spans="1:14" ht="17.25" customHeight="1" x14ac:dyDescent="0.25">
      <c r="A120" s="1631" t="s">
        <v>471</v>
      </c>
      <c r="B120" s="1620" t="s">
        <v>472</v>
      </c>
      <c r="C120" s="861"/>
      <c r="D120" s="864"/>
      <c r="E120" s="1017">
        <f>SUM(E121:E122)</f>
        <v>55.9</v>
      </c>
      <c r="F120" s="1017">
        <f>SUM(F121:F122)</f>
        <v>58.199999999999996</v>
      </c>
      <c r="G120" s="1017">
        <f>SUM(G121:G122)</f>
        <v>58.199999999999996</v>
      </c>
      <c r="H120" s="863">
        <f>SUM(H121:H122)</f>
        <v>0</v>
      </c>
      <c r="I120" s="1662" t="s">
        <v>395</v>
      </c>
      <c r="J120" s="1664" t="s">
        <v>336</v>
      </c>
      <c r="K120" s="1666">
        <v>25</v>
      </c>
      <c r="L120" s="1666">
        <v>34</v>
      </c>
      <c r="M120" s="1620"/>
      <c r="N120" s="1672"/>
    </row>
    <row r="121" spans="1:14" x14ac:dyDescent="0.25">
      <c r="A121" s="1635"/>
      <c r="B121" s="1636"/>
      <c r="C121" s="893">
        <v>2</v>
      </c>
      <c r="D121" s="887" t="s">
        <v>15</v>
      </c>
      <c r="E121" s="1018">
        <v>55.9</v>
      </c>
      <c r="F121" s="1018">
        <v>56.8</v>
      </c>
      <c r="G121" s="1018">
        <v>56.8</v>
      </c>
      <c r="H121" s="870">
        <v>0</v>
      </c>
      <c r="I121" s="1663"/>
      <c r="J121" s="1665"/>
      <c r="K121" s="1667"/>
      <c r="L121" s="1667"/>
      <c r="M121" s="1636"/>
      <c r="N121" s="1673"/>
    </row>
    <row r="122" spans="1:14" ht="16.5" thickBot="1" x14ac:dyDescent="0.3">
      <c r="A122" s="1632"/>
      <c r="B122" s="1621"/>
      <c r="C122" s="893">
        <v>1</v>
      </c>
      <c r="D122" s="887" t="s">
        <v>15</v>
      </c>
      <c r="E122" s="1018">
        <v>0</v>
      </c>
      <c r="F122" s="1018">
        <v>1.4</v>
      </c>
      <c r="G122" s="1018">
        <v>1.4</v>
      </c>
      <c r="H122" s="870">
        <v>0</v>
      </c>
      <c r="I122" s="1655"/>
      <c r="J122" s="1657"/>
      <c r="K122" s="1659"/>
      <c r="L122" s="1659"/>
      <c r="M122" s="1621"/>
      <c r="N122" s="1674"/>
    </row>
    <row r="123" spans="1:14" ht="48" thickBot="1" x14ac:dyDescent="0.3">
      <c r="A123" s="859" t="s">
        <v>473</v>
      </c>
      <c r="B123" s="862" t="s">
        <v>474</v>
      </c>
      <c r="C123" s="861">
        <v>2</v>
      </c>
      <c r="D123" s="864" t="s">
        <v>18</v>
      </c>
      <c r="E123" s="1021">
        <v>205.4</v>
      </c>
      <c r="F123" s="1021">
        <v>205.4</v>
      </c>
      <c r="G123" s="1021">
        <v>204.3</v>
      </c>
      <c r="H123" s="895">
        <v>1.1000000000000001</v>
      </c>
      <c r="I123" s="860" t="s">
        <v>94</v>
      </c>
      <c r="J123" s="864" t="s">
        <v>344</v>
      </c>
      <c r="K123" s="865" t="s">
        <v>475</v>
      </c>
      <c r="L123" s="865" t="s">
        <v>476</v>
      </c>
      <c r="M123" s="862"/>
      <c r="N123" s="866"/>
    </row>
    <row r="124" spans="1:14" ht="31.5" customHeight="1" x14ac:dyDescent="0.25">
      <c r="A124" s="1631" t="s">
        <v>477</v>
      </c>
      <c r="B124" s="1633" t="s">
        <v>98</v>
      </c>
      <c r="C124" s="1638">
        <v>2</v>
      </c>
      <c r="D124" s="864"/>
      <c r="E124" s="1017">
        <f>SUM(E125:E127)</f>
        <v>158.9</v>
      </c>
      <c r="F124" s="1017">
        <f>SUM(F125:F127)</f>
        <v>1323.3</v>
      </c>
      <c r="G124" s="1017">
        <f>SUM(G125:G127)</f>
        <v>787.7</v>
      </c>
      <c r="H124" s="863">
        <f>SUM(H125:H127)</f>
        <v>116.3</v>
      </c>
      <c r="I124" s="973" t="s">
        <v>266</v>
      </c>
      <c r="J124" s="949" t="s">
        <v>344</v>
      </c>
      <c r="K124" s="950" t="s">
        <v>478</v>
      </c>
      <c r="L124" s="950" t="s">
        <v>479</v>
      </c>
      <c r="M124" s="948"/>
      <c r="N124" s="951" t="s">
        <v>671</v>
      </c>
    </row>
    <row r="125" spans="1:14" ht="15.75" customHeight="1" x14ac:dyDescent="0.25">
      <c r="A125" s="1635"/>
      <c r="B125" s="1637"/>
      <c r="C125" s="1639"/>
      <c r="D125" s="887" t="s">
        <v>127</v>
      </c>
      <c r="E125" s="1018">
        <v>0</v>
      </c>
      <c r="F125" s="1018">
        <v>419.3</v>
      </c>
      <c r="G125" s="1018">
        <v>0</v>
      </c>
      <c r="H125" s="870">
        <v>0</v>
      </c>
      <c r="I125" s="1641" t="s">
        <v>395</v>
      </c>
      <c r="J125" s="1644" t="s">
        <v>336</v>
      </c>
      <c r="K125" s="1647">
        <v>100</v>
      </c>
      <c r="L125" s="1647">
        <v>94</v>
      </c>
      <c r="M125" s="1699"/>
      <c r="N125" s="1700" t="s">
        <v>480</v>
      </c>
    </row>
    <row r="126" spans="1:14" ht="15.75" customHeight="1" x14ac:dyDescent="0.25">
      <c r="A126" s="1635"/>
      <c r="B126" s="1637"/>
      <c r="C126" s="1639"/>
      <c r="D126" s="887" t="s">
        <v>97</v>
      </c>
      <c r="E126" s="1018">
        <v>158.80000000000001</v>
      </c>
      <c r="F126" s="1018">
        <v>903.9</v>
      </c>
      <c r="G126" s="1018">
        <v>787.7</v>
      </c>
      <c r="H126" s="870">
        <v>116.2</v>
      </c>
      <c r="I126" s="1642"/>
      <c r="J126" s="1645"/>
      <c r="K126" s="1648"/>
      <c r="L126" s="1648"/>
      <c r="M126" s="1637"/>
      <c r="N126" s="1652"/>
    </row>
    <row r="127" spans="1:14" ht="15.75" customHeight="1" thickBot="1" x14ac:dyDescent="0.3">
      <c r="A127" s="1632"/>
      <c r="B127" s="1634"/>
      <c r="C127" s="1640"/>
      <c r="D127" s="887" t="s">
        <v>265</v>
      </c>
      <c r="E127" s="1018">
        <v>0.1</v>
      </c>
      <c r="F127" s="1018">
        <v>0.1</v>
      </c>
      <c r="G127" s="1018">
        <v>0</v>
      </c>
      <c r="H127" s="870">
        <v>0.1</v>
      </c>
      <c r="I127" s="1643"/>
      <c r="J127" s="1646"/>
      <c r="K127" s="1649"/>
      <c r="L127" s="1649"/>
      <c r="M127" s="1634"/>
      <c r="N127" s="1653"/>
    </row>
    <row r="128" spans="1:14" ht="48" thickBot="1" x14ac:dyDescent="0.3">
      <c r="A128" s="859" t="s">
        <v>481</v>
      </c>
      <c r="B128" s="862" t="s">
        <v>482</v>
      </c>
      <c r="C128" s="861">
        <v>2</v>
      </c>
      <c r="D128" s="864" t="s">
        <v>15</v>
      </c>
      <c r="E128" s="1021">
        <v>0</v>
      </c>
      <c r="F128" s="1021">
        <v>5.7</v>
      </c>
      <c r="G128" s="1021">
        <v>5.7</v>
      </c>
      <c r="H128" s="895">
        <v>0</v>
      </c>
      <c r="I128" s="860" t="s">
        <v>399</v>
      </c>
      <c r="J128" s="864" t="s">
        <v>344</v>
      </c>
      <c r="K128" s="865">
        <v>190</v>
      </c>
      <c r="L128" s="865">
        <v>190</v>
      </c>
      <c r="M128" s="862"/>
      <c r="N128" s="866"/>
    </row>
    <row r="129" spans="1:14" ht="33" customHeight="1" x14ac:dyDescent="0.25">
      <c r="A129" s="1631" t="s">
        <v>483</v>
      </c>
      <c r="B129" s="1620" t="s">
        <v>65</v>
      </c>
      <c r="C129" s="861"/>
      <c r="D129" s="864"/>
      <c r="E129" s="1017">
        <f>SUM(E130:E131)</f>
        <v>100</v>
      </c>
      <c r="F129" s="1017">
        <f>SUM(F130:F131)</f>
        <v>122.4</v>
      </c>
      <c r="G129" s="1017">
        <f>SUM(G130:G131)</f>
        <v>122.3</v>
      </c>
      <c r="H129" s="863">
        <f>SUM(H130:H131)</f>
        <v>0.1</v>
      </c>
      <c r="I129" s="1662" t="s">
        <v>266</v>
      </c>
      <c r="J129" s="1664" t="s">
        <v>344</v>
      </c>
      <c r="K129" s="1666" t="s">
        <v>484</v>
      </c>
      <c r="L129" s="1666" t="s">
        <v>485</v>
      </c>
      <c r="M129" s="1620"/>
      <c r="N129" s="1701" t="s">
        <v>672</v>
      </c>
    </row>
    <row r="130" spans="1:14" x14ac:dyDescent="0.25">
      <c r="A130" s="1635"/>
      <c r="B130" s="1636"/>
      <c r="C130" s="893">
        <v>2</v>
      </c>
      <c r="D130" s="887" t="s">
        <v>15</v>
      </c>
      <c r="E130" s="1018">
        <v>100</v>
      </c>
      <c r="F130" s="1018">
        <v>120.4</v>
      </c>
      <c r="G130" s="1018">
        <v>120.3</v>
      </c>
      <c r="H130" s="870">
        <v>0.1</v>
      </c>
      <c r="I130" s="1663"/>
      <c r="J130" s="1665"/>
      <c r="K130" s="1667"/>
      <c r="L130" s="1667"/>
      <c r="M130" s="1636"/>
      <c r="N130" s="1702"/>
    </row>
    <row r="131" spans="1:14" ht="16.5" thickBot="1" x14ac:dyDescent="0.3">
      <c r="A131" s="1632"/>
      <c r="B131" s="1621"/>
      <c r="C131" s="893">
        <v>3</v>
      </c>
      <c r="D131" s="887" t="s">
        <v>15</v>
      </c>
      <c r="E131" s="1018">
        <v>0</v>
      </c>
      <c r="F131" s="1018">
        <v>2</v>
      </c>
      <c r="G131" s="1018">
        <v>2</v>
      </c>
      <c r="H131" s="870">
        <v>0</v>
      </c>
      <c r="I131" s="1655"/>
      <c r="J131" s="1657"/>
      <c r="K131" s="1659"/>
      <c r="L131" s="1659"/>
      <c r="M131" s="1621"/>
      <c r="N131" s="1703"/>
    </row>
    <row r="132" spans="1:14" ht="35.25" hidden="1" customHeight="1" thickBot="1" x14ac:dyDescent="0.3">
      <c r="A132" s="859" t="s">
        <v>486</v>
      </c>
      <c r="B132" s="862" t="s">
        <v>82</v>
      </c>
      <c r="C132" s="861"/>
      <c r="D132" s="864"/>
      <c r="E132" s="1016">
        <f>SUM(E133:E133)</f>
        <v>3.9</v>
      </c>
      <c r="F132" s="1016">
        <f>SUM(F133:F133)</f>
        <v>3.9</v>
      </c>
      <c r="G132" s="1016">
        <f>SUM(G133:G133)</f>
        <v>3.9</v>
      </c>
      <c r="H132" s="863">
        <f>SUM(H133:H133)</f>
        <v>0</v>
      </c>
      <c r="I132" s="860"/>
      <c r="J132" s="864"/>
      <c r="K132" s="865"/>
      <c r="L132" s="865"/>
      <c r="M132" s="862"/>
      <c r="N132" s="866"/>
    </row>
    <row r="133" spans="1:14" ht="22.5" customHeight="1" x14ac:dyDescent="0.25">
      <c r="A133" s="1631" t="s">
        <v>486</v>
      </c>
      <c r="B133" s="1620" t="s">
        <v>82</v>
      </c>
      <c r="C133" s="1638">
        <v>1</v>
      </c>
      <c r="D133" s="900" t="s">
        <v>15</v>
      </c>
      <c r="E133" s="1019">
        <f>SUM(E134:E134)+3.9</f>
        <v>3.9</v>
      </c>
      <c r="F133" s="1019">
        <f>SUM(F134:F134)+3.9</f>
        <v>3.9</v>
      </c>
      <c r="G133" s="1019">
        <f>SUM(G134:G134)+3.9</f>
        <v>3.9</v>
      </c>
      <c r="H133" s="863">
        <f>SUM(H134:H134)</f>
        <v>0</v>
      </c>
      <c r="I133" s="860" t="s">
        <v>487</v>
      </c>
      <c r="J133" s="864" t="s">
        <v>336</v>
      </c>
      <c r="K133" s="865">
        <v>10</v>
      </c>
      <c r="L133" s="865">
        <v>10</v>
      </c>
      <c r="M133" s="862"/>
      <c r="N133" s="866"/>
    </row>
    <row r="134" spans="1:14" ht="32.25" thickBot="1" x14ac:dyDescent="0.3">
      <c r="A134" s="1632"/>
      <c r="B134" s="1621"/>
      <c r="C134" s="1640"/>
      <c r="D134" s="881"/>
      <c r="E134" s="1020"/>
      <c r="F134" s="1020"/>
      <c r="G134" s="1020"/>
      <c r="H134" s="870">
        <v>0</v>
      </c>
      <c r="I134" s="892" t="s">
        <v>488</v>
      </c>
      <c r="J134" s="887" t="s">
        <v>344</v>
      </c>
      <c r="K134" s="888">
        <v>860</v>
      </c>
      <c r="L134" s="888">
        <v>860</v>
      </c>
      <c r="M134" s="869"/>
      <c r="N134" s="894"/>
    </row>
    <row r="135" spans="1:14" ht="32.25" hidden="1" thickBot="1" x14ac:dyDescent="0.3">
      <c r="A135" s="859" t="s">
        <v>489</v>
      </c>
      <c r="B135" s="862" t="s">
        <v>490</v>
      </c>
      <c r="C135" s="861"/>
      <c r="D135" s="864"/>
      <c r="E135" s="1016">
        <f>SUM(E136:E136)</f>
        <v>17.8</v>
      </c>
      <c r="F135" s="1016">
        <f>SUM(F136:F136)</f>
        <v>13.7</v>
      </c>
      <c r="G135" s="1016">
        <f>SUM(G136:G136)</f>
        <v>13.6</v>
      </c>
      <c r="H135" s="863">
        <f>SUM(H136:H136)</f>
        <v>0</v>
      </c>
      <c r="I135" s="860"/>
      <c r="J135" s="864"/>
      <c r="K135" s="865"/>
      <c r="L135" s="865"/>
      <c r="M135" s="862"/>
      <c r="N135" s="866"/>
    </row>
    <row r="136" spans="1:14" ht="39" thickBot="1" x14ac:dyDescent="0.3">
      <c r="A136" s="859" t="s">
        <v>491</v>
      </c>
      <c r="B136" s="862" t="s">
        <v>490</v>
      </c>
      <c r="C136" s="861">
        <v>2</v>
      </c>
      <c r="D136" s="864" t="s">
        <v>15</v>
      </c>
      <c r="E136" s="1021">
        <v>17.8</v>
      </c>
      <c r="F136" s="1021">
        <v>13.7</v>
      </c>
      <c r="G136" s="1021">
        <v>13.6</v>
      </c>
      <c r="H136" s="895">
        <v>0</v>
      </c>
      <c r="I136" s="860" t="s">
        <v>56</v>
      </c>
      <c r="J136" s="864" t="s">
        <v>344</v>
      </c>
      <c r="K136" s="865">
        <v>39</v>
      </c>
      <c r="L136" s="865">
        <v>39</v>
      </c>
      <c r="M136" s="862"/>
      <c r="N136" s="866"/>
    </row>
    <row r="137" spans="1:14" ht="63.75" hidden="1" thickBot="1" x14ac:dyDescent="0.3">
      <c r="A137" s="859" t="s">
        <v>492</v>
      </c>
      <c r="B137" s="862" t="s">
        <v>493</v>
      </c>
      <c r="C137" s="861"/>
      <c r="D137" s="864"/>
      <c r="E137" s="1016">
        <f t="shared" ref="E137:H138" si="0">SUM(E138:E138)</f>
        <v>60.5</v>
      </c>
      <c r="F137" s="1016">
        <f t="shared" si="0"/>
        <v>60.5</v>
      </c>
      <c r="G137" s="1016">
        <f t="shared" si="0"/>
        <v>60.4</v>
      </c>
      <c r="H137" s="863">
        <f t="shared" si="0"/>
        <v>0</v>
      </c>
      <c r="I137" s="860"/>
      <c r="J137" s="864"/>
      <c r="K137" s="865"/>
      <c r="L137" s="865"/>
      <c r="M137" s="862"/>
      <c r="N137" s="866"/>
    </row>
    <row r="138" spans="1:14" ht="35.25" customHeight="1" x14ac:dyDescent="0.25">
      <c r="A138" s="1631" t="s">
        <v>492</v>
      </c>
      <c r="B138" s="1624" t="s">
        <v>493</v>
      </c>
      <c r="C138" s="1638">
        <v>2</v>
      </c>
      <c r="D138" s="900" t="s">
        <v>15</v>
      </c>
      <c r="E138" s="1019">
        <f>SUM(E139:E139)</f>
        <v>60.5</v>
      </c>
      <c r="F138" s="1019">
        <f t="shared" si="0"/>
        <v>60.5</v>
      </c>
      <c r="G138" s="1019">
        <f>SUM(G139:G139)</f>
        <v>60.4</v>
      </c>
      <c r="H138" s="863">
        <f t="shared" si="0"/>
        <v>0</v>
      </c>
      <c r="I138" s="974" t="s">
        <v>494</v>
      </c>
      <c r="J138" s="958" t="s">
        <v>336</v>
      </c>
      <c r="K138" s="959" t="s">
        <v>495</v>
      </c>
      <c r="L138" s="959" t="s">
        <v>496</v>
      </c>
      <c r="M138" s="957"/>
      <c r="N138" s="975"/>
    </row>
    <row r="139" spans="1:14" ht="16.5" thickBot="1" x14ac:dyDescent="0.3">
      <c r="A139" s="1635"/>
      <c r="B139" s="1698"/>
      <c r="C139" s="1639"/>
      <c r="D139" s="1000" t="s">
        <v>15</v>
      </c>
      <c r="E139" s="1025">
        <v>60.5</v>
      </c>
      <c r="F139" s="1025">
        <v>60.5</v>
      </c>
      <c r="G139" s="1025">
        <v>60.4</v>
      </c>
      <c r="H139" s="870">
        <v>0</v>
      </c>
      <c r="I139" s="1009" t="s">
        <v>497</v>
      </c>
      <c r="J139" s="962" t="s">
        <v>336</v>
      </c>
      <c r="K139" s="963">
        <v>3</v>
      </c>
      <c r="L139" s="963">
        <v>3</v>
      </c>
      <c r="M139" s="961"/>
      <c r="N139" s="964"/>
    </row>
    <row r="140" spans="1:14" ht="63.75" hidden="1" thickBot="1" x14ac:dyDescent="0.3">
      <c r="A140" s="859" t="s">
        <v>498</v>
      </c>
      <c r="B140" s="862" t="s">
        <v>499</v>
      </c>
      <c r="C140" s="861"/>
      <c r="D140" s="864"/>
      <c r="E140" s="1016">
        <f>SUM(E141:E141)</f>
        <v>1.5</v>
      </c>
      <c r="F140" s="1016">
        <f>SUM(F141:F141)</f>
        <v>1.5</v>
      </c>
      <c r="G140" s="1016">
        <f>SUM(G141:G141)</f>
        <v>1.1000000000000001</v>
      </c>
      <c r="H140" s="863">
        <f>SUM(H141:H141)</f>
        <v>0.4</v>
      </c>
      <c r="I140" s="860"/>
      <c r="J140" s="864"/>
      <c r="K140" s="865"/>
      <c r="L140" s="865"/>
      <c r="M140" s="862"/>
      <c r="N140" s="866"/>
    </row>
    <row r="141" spans="1:14" ht="63.75" thickBot="1" x14ac:dyDescent="0.3">
      <c r="A141" s="859" t="s">
        <v>500</v>
      </c>
      <c r="B141" s="862" t="s">
        <v>176</v>
      </c>
      <c r="C141" s="861">
        <v>1</v>
      </c>
      <c r="D141" s="864" t="s">
        <v>15</v>
      </c>
      <c r="E141" s="1021">
        <v>1.5</v>
      </c>
      <c r="F141" s="1021">
        <v>1.5</v>
      </c>
      <c r="G141" s="1021">
        <v>1.1000000000000001</v>
      </c>
      <c r="H141" s="895">
        <v>0.4</v>
      </c>
      <c r="I141" s="860" t="s">
        <v>501</v>
      </c>
      <c r="J141" s="864" t="s">
        <v>344</v>
      </c>
      <c r="K141" s="865">
        <v>1</v>
      </c>
      <c r="L141" s="865">
        <v>1</v>
      </c>
      <c r="M141" s="862"/>
      <c r="N141" s="866"/>
    </row>
    <row r="142" spans="1:14" ht="32.25" hidden="1" thickBot="1" x14ac:dyDescent="0.3">
      <c r="A142" s="859" t="s">
        <v>502</v>
      </c>
      <c r="B142" s="862" t="s">
        <v>503</v>
      </c>
      <c r="C142" s="861"/>
      <c r="D142" s="864"/>
      <c r="E142" s="1016">
        <f>SUM(E143:E143)</f>
        <v>6.4</v>
      </c>
      <c r="F142" s="1016">
        <f>SUM(F143:F143)</f>
        <v>5.7</v>
      </c>
      <c r="G142" s="1016">
        <f>SUM(G143:G143)</f>
        <v>5.6</v>
      </c>
      <c r="H142" s="863">
        <f>SUM(H143:H143)</f>
        <v>0.1</v>
      </c>
      <c r="I142" s="860"/>
      <c r="J142" s="864"/>
      <c r="K142" s="865"/>
      <c r="L142" s="865"/>
      <c r="M142" s="862"/>
      <c r="N142" s="866"/>
    </row>
    <row r="143" spans="1:14" ht="39" thickBot="1" x14ac:dyDescent="0.3">
      <c r="A143" s="859" t="s">
        <v>673</v>
      </c>
      <c r="B143" s="862" t="s">
        <v>503</v>
      </c>
      <c r="C143" s="861">
        <v>2</v>
      </c>
      <c r="D143" s="864" t="s">
        <v>15</v>
      </c>
      <c r="E143" s="1021">
        <v>6.4</v>
      </c>
      <c r="F143" s="1021">
        <v>5.7</v>
      </c>
      <c r="G143" s="1021">
        <v>5.6</v>
      </c>
      <c r="H143" s="895">
        <v>0.1</v>
      </c>
      <c r="I143" s="860" t="s">
        <v>41</v>
      </c>
      <c r="J143" s="864" t="s">
        <v>344</v>
      </c>
      <c r="K143" s="865">
        <v>89</v>
      </c>
      <c r="L143" s="865">
        <v>94</v>
      </c>
      <c r="M143" s="862"/>
      <c r="N143" s="866" t="s">
        <v>504</v>
      </c>
    </row>
    <row r="144" spans="1:14" ht="47.25" x14ac:dyDescent="0.25">
      <c r="A144" s="1730" t="s">
        <v>505</v>
      </c>
      <c r="B144" s="1732" t="s">
        <v>506</v>
      </c>
      <c r="C144" s="1734"/>
      <c r="D144" s="1736"/>
      <c r="E144" s="1738">
        <f>E145+E146+E198+E208</f>
        <v>12079.5</v>
      </c>
      <c r="F144" s="1738">
        <f>F145+F146+F198+F208</f>
        <v>9055.0999999999985</v>
      </c>
      <c r="G144" s="1738">
        <f>G145+G146+G198+G208+0.1</f>
        <v>6904.5</v>
      </c>
      <c r="H144" s="988">
        <f>H145+H146+H198+H208-0.1</f>
        <v>1933.7</v>
      </c>
      <c r="I144" s="985" t="s">
        <v>507</v>
      </c>
      <c r="J144" s="987" t="s">
        <v>336</v>
      </c>
      <c r="K144" s="986">
        <v>3</v>
      </c>
      <c r="L144" s="995">
        <v>0</v>
      </c>
      <c r="M144" s="989"/>
      <c r="N144" s="992"/>
    </row>
    <row r="145" spans="1:14" ht="36" customHeight="1" thickBot="1" x14ac:dyDescent="0.3">
      <c r="A145" s="1731"/>
      <c r="B145" s="1733"/>
      <c r="C145" s="1735"/>
      <c r="D145" s="1737"/>
      <c r="E145" s="1739"/>
      <c r="F145" s="1739"/>
      <c r="G145" s="1739"/>
      <c r="H145" s="991">
        <v>0</v>
      </c>
      <c r="I145" s="1098" t="s">
        <v>508</v>
      </c>
      <c r="J145" s="994" t="s">
        <v>336</v>
      </c>
      <c r="K145" s="990">
        <v>24</v>
      </c>
      <c r="L145" s="996">
        <v>0</v>
      </c>
      <c r="M145" s="1071"/>
      <c r="N145" s="993"/>
    </row>
    <row r="146" spans="1:14" ht="32.25" thickBot="1" x14ac:dyDescent="0.3">
      <c r="A146" s="852" t="s">
        <v>509</v>
      </c>
      <c r="B146" s="855" t="s">
        <v>510</v>
      </c>
      <c r="C146" s="854"/>
      <c r="D146" s="857"/>
      <c r="E146" s="1015">
        <f>E147+E172+E183+E189+E196</f>
        <v>6850.3</v>
      </c>
      <c r="F146" s="1015">
        <f>F147+F172+F183+F189+F196</f>
        <v>3975.3999999999992</v>
      </c>
      <c r="G146" s="1015">
        <f>G147+G172+G183+G189+G196</f>
        <v>2356.4</v>
      </c>
      <c r="H146" s="856">
        <f>H147+H172+H183+H189+H196</f>
        <v>1402</v>
      </c>
      <c r="I146" s="853"/>
      <c r="J146" s="857"/>
      <c r="K146" s="854"/>
      <c r="L146" s="854"/>
      <c r="M146" s="855"/>
      <c r="N146" s="858"/>
    </row>
    <row r="147" spans="1:14" ht="48" thickBot="1" x14ac:dyDescent="0.3">
      <c r="A147" s="884" t="s">
        <v>511</v>
      </c>
      <c r="B147" s="1031" t="s">
        <v>512</v>
      </c>
      <c r="C147" s="966"/>
      <c r="D147" s="969"/>
      <c r="E147" s="1019">
        <f>E148+E150+E155+E158+E160+E163+E164+E167+E170</f>
        <v>5300.9</v>
      </c>
      <c r="F147" s="1019">
        <f>F148+F150+F155+F158+F160+F163+F164+F167+F170</f>
        <v>2850.3999999999996</v>
      </c>
      <c r="G147" s="1019">
        <f>G148+G150+G155+G158+G160+G163+G164+G167+G170-0.1</f>
        <v>1856.9</v>
      </c>
      <c r="H147" s="1076">
        <f>H148+H150+H155+H158+H160+H163+H164+H167+H170+0.1</f>
        <v>777.00000000000011</v>
      </c>
      <c r="I147" s="1004"/>
      <c r="J147" s="969"/>
      <c r="K147" s="965"/>
      <c r="L147" s="965"/>
      <c r="M147" s="1031"/>
      <c r="N147" s="885"/>
    </row>
    <row r="148" spans="1:14" ht="189.75" thickBot="1" x14ac:dyDescent="0.3">
      <c r="A148" s="1079" t="s">
        <v>513</v>
      </c>
      <c r="B148" s="1081" t="s">
        <v>514</v>
      </c>
      <c r="C148" s="932">
        <v>5</v>
      </c>
      <c r="D148" s="935" t="s">
        <v>127</v>
      </c>
      <c r="E148" s="1023">
        <f>SUM(E149:E149)</f>
        <v>60</v>
      </c>
      <c r="F148" s="1023">
        <f>SUM(F149:F149)</f>
        <v>56.6</v>
      </c>
      <c r="G148" s="1023">
        <f>SUM(G149:G149)</f>
        <v>25.3</v>
      </c>
      <c r="H148" s="934">
        <f>SUM(H149:H149)</f>
        <v>31.3</v>
      </c>
      <c r="I148" s="1080" t="s">
        <v>77</v>
      </c>
      <c r="J148" s="1082" t="s">
        <v>344</v>
      </c>
      <c r="K148" s="1083">
        <v>1</v>
      </c>
      <c r="L148" s="1083">
        <v>0.5</v>
      </c>
      <c r="M148" s="1081"/>
      <c r="N148" s="1084" t="s">
        <v>674</v>
      </c>
    </row>
    <row r="149" spans="1:14" ht="16.5" hidden="1" thickBot="1" x14ac:dyDescent="0.3">
      <c r="A149" s="1085"/>
      <c r="B149" s="869"/>
      <c r="C149" s="890"/>
      <c r="D149" s="890"/>
      <c r="E149" s="1018">
        <v>60</v>
      </c>
      <c r="F149" s="1018">
        <v>56.6</v>
      </c>
      <c r="G149" s="1018">
        <v>25.3</v>
      </c>
      <c r="H149" s="870">
        <v>31.3</v>
      </c>
      <c r="I149" s="892"/>
      <c r="J149" s="887"/>
      <c r="K149" s="888"/>
      <c r="L149" s="888"/>
      <c r="M149" s="869"/>
      <c r="N149" s="1086"/>
    </row>
    <row r="150" spans="1:14" ht="269.25" customHeight="1" x14ac:dyDescent="0.25">
      <c r="A150" s="1704" t="s">
        <v>516</v>
      </c>
      <c r="B150" s="1633" t="s">
        <v>517</v>
      </c>
      <c r="C150" s="1638">
        <v>5</v>
      </c>
      <c r="D150" s="969"/>
      <c r="E150" s="1026">
        <f>SUM(E151:E154)</f>
        <v>799.69999999999993</v>
      </c>
      <c r="F150" s="1026">
        <f>SUM(F151:F154)</f>
        <v>823.69999999999993</v>
      </c>
      <c r="G150" s="1026">
        <f>SUM(G151:G154)</f>
        <v>580.30000000000007</v>
      </c>
      <c r="H150" s="863">
        <f>SUM(H151:H154)</f>
        <v>26.9</v>
      </c>
      <c r="I150" s="973" t="s">
        <v>518</v>
      </c>
      <c r="J150" s="949" t="s">
        <v>336</v>
      </c>
      <c r="K150" s="950">
        <v>5</v>
      </c>
      <c r="L150" s="950">
        <v>4</v>
      </c>
      <c r="M150" s="1072" t="s">
        <v>675</v>
      </c>
      <c r="N150" s="1087" t="s">
        <v>676</v>
      </c>
    </row>
    <row r="151" spans="1:14" ht="17.25" customHeight="1" x14ac:dyDescent="0.25">
      <c r="A151" s="1705"/>
      <c r="B151" s="1637"/>
      <c r="C151" s="1639"/>
      <c r="D151" s="887" t="s">
        <v>97</v>
      </c>
      <c r="E151" s="1018">
        <v>667.6</v>
      </c>
      <c r="F151" s="1018">
        <v>667.6</v>
      </c>
      <c r="G151" s="1018">
        <v>451.1</v>
      </c>
      <c r="H151" s="870">
        <v>0</v>
      </c>
      <c r="I151" s="1641" t="s">
        <v>519</v>
      </c>
      <c r="J151" s="1644" t="s">
        <v>344</v>
      </c>
      <c r="K151" s="1647">
        <v>5</v>
      </c>
      <c r="L151" s="1647">
        <v>4</v>
      </c>
      <c r="M151" s="1699"/>
      <c r="N151" s="1711" t="s">
        <v>685</v>
      </c>
    </row>
    <row r="152" spans="1:14" x14ac:dyDescent="0.25">
      <c r="A152" s="1705"/>
      <c r="B152" s="1637"/>
      <c r="C152" s="1639"/>
      <c r="D152" s="887" t="s">
        <v>127</v>
      </c>
      <c r="E152" s="1018">
        <v>60.5</v>
      </c>
      <c r="F152" s="1018">
        <v>84.5</v>
      </c>
      <c r="G152" s="1018">
        <v>76</v>
      </c>
      <c r="H152" s="870">
        <v>8.5</v>
      </c>
      <c r="I152" s="1642"/>
      <c r="J152" s="1645"/>
      <c r="K152" s="1648"/>
      <c r="L152" s="1648"/>
      <c r="M152" s="1637"/>
      <c r="N152" s="1712"/>
    </row>
    <row r="153" spans="1:14" x14ac:dyDescent="0.25">
      <c r="A153" s="1705"/>
      <c r="B153" s="1637"/>
      <c r="C153" s="1639"/>
      <c r="D153" s="887" t="s">
        <v>265</v>
      </c>
      <c r="E153" s="1018">
        <v>8.8000000000000007</v>
      </c>
      <c r="F153" s="1018">
        <v>8.8000000000000007</v>
      </c>
      <c r="G153" s="1018">
        <v>6.7</v>
      </c>
      <c r="H153" s="870">
        <v>2.1</v>
      </c>
      <c r="I153" s="1642"/>
      <c r="J153" s="1645"/>
      <c r="K153" s="1648"/>
      <c r="L153" s="1648"/>
      <c r="M153" s="1637"/>
      <c r="N153" s="1712"/>
    </row>
    <row r="154" spans="1:14" ht="16.5" thickBot="1" x14ac:dyDescent="0.3">
      <c r="A154" s="1706"/>
      <c r="B154" s="1710"/>
      <c r="C154" s="1715"/>
      <c r="D154" s="941" t="s">
        <v>15</v>
      </c>
      <c r="E154" s="1024">
        <v>62.8</v>
      </c>
      <c r="F154" s="1024">
        <v>62.8</v>
      </c>
      <c r="G154" s="1024">
        <v>46.5</v>
      </c>
      <c r="H154" s="939">
        <v>16.3</v>
      </c>
      <c r="I154" s="1707"/>
      <c r="J154" s="1708"/>
      <c r="K154" s="1709"/>
      <c r="L154" s="1709"/>
      <c r="M154" s="1710"/>
      <c r="N154" s="1713"/>
    </row>
    <row r="155" spans="1:14" ht="50.25" customHeight="1" x14ac:dyDescent="0.25">
      <c r="A155" s="1668" t="s">
        <v>520</v>
      </c>
      <c r="B155" s="1670" t="s">
        <v>95</v>
      </c>
      <c r="C155" s="1716">
        <v>5</v>
      </c>
      <c r="D155" s="935"/>
      <c r="E155" s="1023">
        <f>SUM(E156:E157)</f>
        <v>49.2</v>
      </c>
      <c r="F155" s="1023">
        <f>SUM(F156:F157)</f>
        <v>25.2</v>
      </c>
      <c r="G155" s="1023">
        <f>SUM(G156:G157)</f>
        <v>0</v>
      </c>
      <c r="H155" s="934">
        <f>SUM(H156:H157)</f>
        <v>25.2</v>
      </c>
      <c r="I155" s="1717" t="s">
        <v>77</v>
      </c>
      <c r="J155" s="1719" t="s">
        <v>344</v>
      </c>
      <c r="K155" s="1724">
        <v>0</v>
      </c>
      <c r="L155" s="1724">
        <v>0</v>
      </c>
      <c r="M155" s="1670"/>
      <c r="N155" s="1721" t="s">
        <v>677</v>
      </c>
    </row>
    <row r="156" spans="1:14" ht="50.25" customHeight="1" x14ac:dyDescent="0.25">
      <c r="A156" s="1714"/>
      <c r="B156" s="1636"/>
      <c r="C156" s="1639"/>
      <c r="D156" s="887" t="s">
        <v>127</v>
      </c>
      <c r="E156" s="1018">
        <v>35</v>
      </c>
      <c r="F156" s="1018">
        <v>11</v>
      </c>
      <c r="G156" s="1018">
        <v>0</v>
      </c>
      <c r="H156" s="870">
        <v>11</v>
      </c>
      <c r="I156" s="1663"/>
      <c r="J156" s="1665"/>
      <c r="K156" s="1667"/>
      <c r="L156" s="1667"/>
      <c r="M156" s="1636"/>
      <c r="N156" s="1722"/>
    </row>
    <row r="157" spans="1:14" ht="50.25" customHeight="1" thickBot="1" x14ac:dyDescent="0.3">
      <c r="A157" s="1669"/>
      <c r="B157" s="1671"/>
      <c r="C157" s="1715"/>
      <c r="D157" s="941" t="s">
        <v>15</v>
      </c>
      <c r="E157" s="1024">
        <v>14.2</v>
      </c>
      <c r="F157" s="1024">
        <v>14.2</v>
      </c>
      <c r="G157" s="1024">
        <v>0</v>
      </c>
      <c r="H157" s="939">
        <v>14.2</v>
      </c>
      <c r="I157" s="1718"/>
      <c r="J157" s="1720"/>
      <c r="K157" s="1725"/>
      <c r="L157" s="1725"/>
      <c r="M157" s="1671"/>
      <c r="N157" s="1723"/>
    </row>
    <row r="158" spans="1:14" ht="48.75" customHeight="1" x14ac:dyDescent="0.25">
      <c r="A158" s="1726" t="s">
        <v>521</v>
      </c>
      <c r="B158" s="1728" t="s">
        <v>522</v>
      </c>
      <c r="C158" s="970">
        <v>5</v>
      </c>
      <c r="D158" s="881" t="s">
        <v>127</v>
      </c>
      <c r="E158" s="1077">
        <f>SUM(E159:E159)</f>
        <v>2.8</v>
      </c>
      <c r="F158" s="1077">
        <f>SUM(F159:F159)</f>
        <v>2.8</v>
      </c>
      <c r="G158" s="1110">
        <f>SUM(G159:G159)</f>
        <v>0</v>
      </c>
      <c r="H158" s="1078">
        <f>SUM(H159:H159)</f>
        <v>2.8</v>
      </c>
      <c r="I158" s="1105" t="s">
        <v>77</v>
      </c>
      <c r="J158" s="1106" t="s">
        <v>344</v>
      </c>
      <c r="K158" s="1107">
        <v>1</v>
      </c>
      <c r="L158" s="1107">
        <v>0</v>
      </c>
      <c r="M158" s="1108"/>
      <c r="N158" s="1109" t="s">
        <v>699</v>
      </c>
    </row>
    <row r="159" spans="1:14" ht="16.5" hidden="1" thickBot="1" x14ac:dyDescent="0.3">
      <c r="A159" s="1727"/>
      <c r="B159" s="1729"/>
      <c r="C159" s="1089"/>
      <c r="D159" s="1090"/>
      <c r="E159" s="1024">
        <v>2.8</v>
      </c>
      <c r="F159" s="1024">
        <v>2.8</v>
      </c>
      <c r="G159" s="1024">
        <v>0</v>
      </c>
      <c r="H159" s="939">
        <v>2.8</v>
      </c>
      <c r="I159" s="1008"/>
      <c r="J159" s="941"/>
      <c r="K159" s="942"/>
      <c r="L159" s="942"/>
      <c r="M159" s="940"/>
      <c r="N159" s="943"/>
    </row>
    <row r="160" spans="1:14" ht="33" customHeight="1" x14ac:dyDescent="0.25">
      <c r="A160" s="1740" t="s">
        <v>523</v>
      </c>
      <c r="B160" s="1741" t="s">
        <v>92</v>
      </c>
      <c r="C160" s="1639">
        <v>5</v>
      </c>
      <c r="D160" s="881"/>
      <c r="E160" s="1088">
        <f>SUM(E161:E162)</f>
        <v>2900</v>
      </c>
      <c r="F160" s="1088">
        <f>SUM(F161:F162)</f>
        <v>506.8</v>
      </c>
      <c r="G160" s="1088">
        <f>SUM(G161:G162)</f>
        <v>132</v>
      </c>
      <c r="H160" s="1078">
        <f>SUM(H161:H162)</f>
        <v>374.8</v>
      </c>
      <c r="I160" s="1663" t="s">
        <v>524</v>
      </c>
      <c r="J160" s="1665" t="s">
        <v>332</v>
      </c>
      <c r="K160" s="1667">
        <v>5</v>
      </c>
      <c r="L160" s="1667">
        <v>0</v>
      </c>
      <c r="M160" s="1636"/>
      <c r="N160" s="1673" t="s">
        <v>678</v>
      </c>
    </row>
    <row r="161" spans="1:14" ht="33" customHeight="1" x14ac:dyDescent="0.25">
      <c r="A161" s="1635"/>
      <c r="B161" s="1636"/>
      <c r="C161" s="1639"/>
      <c r="D161" s="887" t="s">
        <v>127</v>
      </c>
      <c r="E161" s="1018">
        <v>0</v>
      </c>
      <c r="F161" s="1018">
        <v>410.6</v>
      </c>
      <c r="G161" s="1018">
        <v>35.799999999999997</v>
      </c>
      <c r="H161" s="870">
        <v>374.8</v>
      </c>
      <c r="I161" s="1663"/>
      <c r="J161" s="1665"/>
      <c r="K161" s="1667"/>
      <c r="L161" s="1667"/>
      <c r="M161" s="1636"/>
      <c r="N161" s="1673"/>
    </row>
    <row r="162" spans="1:14" ht="33" customHeight="1" thickBot="1" x14ac:dyDescent="0.3">
      <c r="A162" s="1632"/>
      <c r="B162" s="1621"/>
      <c r="C162" s="1640"/>
      <c r="D162" s="887" t="s">
        <v>271</v>
      </c>
      <c r="E162" s="1018">
        <v>2900</v>
      </c>
      <c r="F162" s="1018">
        <v>96.2</v>
      </c>
      <c r="G162" s="1018">
        <v>96.2</v>
      </c>
      <c r="H162" s="870">
        <v>0</v>
      </c>
      <c r="I162" s="1655"/>
      <c r="J162" s="1657"/>
      <c r="K162" s="1659"/>
      <c r="L162" s="1659"/>
      <c r="M162" s="1621"/>
      <c r="N162" s="1674"/>
    </row>
    <row r="163" spans="1:14" ht="39" thickBot="1" x14ac:dyDescent="0.3">
      <c r="A163" s="859" t="s">
        <v>525</v>
      </c>
      <c r="B163" s="862" t="s">
        <v>526</v>
      </c>
      <c r="C163" s="861">
        <v>5</v>
      </c>
      <c r="D163" s="864" t="s">
        <v>15</v>
      </c>
      <c r="E163" s="1021">
        <v>20</v>
      </c>
      <c r="F163" s="1021">
        <v>20</v>
      </c>
      <c r="G163" s="1104">
        <v>0</v>
      </c>
      <c r="H163" s="895">
        <v>20</v>
      </c>
      <c r="I163" s="860" t="s">
        <v>698</v>
      </c>
      <c r="J163" s="864"/>
      <c r="K163" s="865"/>
      <c r="L163" s="865"/>
      <c r="M163" s="862"/>
      <c r="N163" s="866"/>
    </row>
    <row r="164" spans="1:14" ht="51.75" customHeight="1" x14ac:dyDescent="0.25">
      <c r="A164" s="1095" t="s">
        <v>527</v>
      </c>
      <c r="B164" s="1128" t="s">
        <v>528</v>
      </c>
      <c r="C164" s="896">
        <v>6</v>
      </c>
      <c r="D164" s="864"/>
      <c r="E164" s="1017">
        <f>SUM(E165:E166)</f>
        <v>942.7</v>
      </c>
      <c r="F164" s="1017">
        <f>SUM(F165:F166)</f>
        <v>888.8</v>
      </c>
      <c r="G164" s="1017">
        <f>SUM(G165:G166)</f>
        <v>868.5</v>
      </c>
      <c r="H164" s="863">
        <f>SUM(H165:H166)</f>
        <v>20.3</v>
      </c>
      <c r="I164" s="973" t="s">
        <v>529</v>
      </c>
      <c r="J164" s="949" t="s">
        <v>344</v>
      </c>
      <c r="K164" s="950">
        <v>2</v>
      </c>
      <c r="L164" s="950">
        <v>1</v>
      </c>
      <c r="M164" s="948" t="s">
        <v>693</v>
      </c>
      <c r="N164" s="951" t="s">
        <v>689</v>
      </c>
    </row>
    <row r="165" spans="1:14" ht="109.5" customHeight="1" x14ac:dyDescent="0.25">
      <c r="A165" s="1096"/>
      <c r="B165" s="1129"/>
      <c r="C165" s="897"/>
      <c r="D165" s="887" t="s">
        <v>127</v>
      </c>
      <c r="E165" s="1018">
        <v>172.5</v>
      </c>
      <c r="F165" s="1018">
        <v>172.5</v>
      </c>
      <c r="G165" s="1018">
        <v>172.5</v>
      </c>
      <c r="H165" s="870">
        <v>0</v>
      </c>
      <c r="I165" s="1099" t="s">
        <v>530</v>
      </c>
      <c r="J165" s="1091" t="s">
        <v>344</v>
      </c>
      <c r="K165" s="1092">
        <v>5</v>
      </c>
      <c r="L165" s="1092">
        <v>5</v>
      </c>
      <c r="M165" s="1742" t="s">
        <v>694</v>
      </c>
      <c r="N165" s="1744"/>
    </row>
    <row r="166" spans="1:14" ht="16.5" thickBot="1" x14ac:dyDescent="0.3">
      <c r="A166" s="1097"/>
      <c r="B166" s="1130"/>
      <c r="C166" s="899"/>
      <c r="D166" s="887" t="s">
        <v>15</v>
      </c>
      <c r="E166" s="1018">
        <v>770.2</v>
      </c>
      <c r="F166" s="1018">
        <v>716.3</v>
      </c>
      <c r="G166" s="1018">
        <v>696</v>
      </c>
      <c r="H166" s="870">
        <v>20.3</v>
      </c>
      <c r="I166" s="1100"/>
      <c r="J166" s="1093"/>
      <c r="K166" s="1094"/>
      <c r="L166" s="1094"/>
      <c r="M166" s="1743"/>
      <c r="N166" s="1745"/>
    </row>
    <row r="167" spans="1:14" ht="18.75" customHeight="1" x14ac:dyDescent="0.25">
      <c r="A167" s="1746" t="s">
        <v>531</v>
      </c>
      <c r="B167" s="1633" t="s">
        <v>532</v>
      </c>
      <c r="C167" s="1638">
        <v>6</v>
      </c>
      <c r="D167" s="864"/>
      <c r="E167" s="1017">
        <f>SUM(E168:E169)</f>
        <v>515</v>
      </c>
      <c r="F167" s="1017">
        <f>SUM(F168:F169)</f>
        <v>515</v>
      </c>
      <c r="G167" s="1017">
        <f>SUM(G168:G169)</f>
        <v>250.9</v>
      </c>
      <c r="H167" s="863">
        <f>SUM(H168:H169)</f>
        <v>264.10000000000002</v>
      </c>
      <c r="I167" s="1660" t="s">
        <v>515</v>
      </c>
      <c r="J167" s="945" t="s">
        <v>332</v>
      </c>
      <c r="K167" s="944">
        <v>50</v>
      </c>
      <c r="L167" s="944">
        <v>30</v>
      </c>
      <c r="M167" s="1633" t="s">
        <v>688</v>
      </c>
      <c r="N167" s="1651" t="s">
        <v>690</v>
      </c>
    </row>
    <row r="168" spans="1:14" x14ac:dyDescent="0.25">
      <c r="A168" s="1747"/>
      <c r="B168" s="1637"/>
      <c r="C168" s="1639"/>
      <c r="D168" s="887" t="s">
        <v>15</v>
      </c>
      <c r="E168" s="1018">
        <v>385</v>
      </c>
      <c r="F168" s="1018">
        <v>385</v>
      </c>
      <c r="G168" s="1018">
        <v>120.9</v>
      </c>
      <c r="H168" s="870">
        <v>264.10000000000002</v>
      </c>
      <c r="I168" s="1642"/>
      <c r="J168" s="947"/>
      <c r="K168" s="946"/>
      <c r="L168" s="946"/>
      <c r="M168" s="1637"/>
      <c r="N168" s="1652"/>
    </row>
    <row r="169" spans="1:14" ht="16.5" thickBot="1" x14ac:dyDescent="0.3">
      <c r="A169" s="1748"/>
      <c r="B169" s="1634"/>
      <c r="C169" s="1640"/>
      <c r="D169" s="887" t="s">
        <v>127</v>
      </c>
      <c r="E169" s="1018">
        <v>130</v>
      </c>
      <c r="F169" s="1018">
        <v>130</v>
      </c>
      <c r="G169" s="1018">
        <v>130</v>
      </c>
      <c r="H169" s="870">
        <v>0</v>
      </c>
      <c r="I169" s="1643"/>
      <c r="J169" s="1034"/>
      <c r="K169" s="999"/>
      <c r="L169" s="999"/>
      <c r="M169" s="1634"/>
      <c r="N169" s="1653"/>
    </row>
    <row r="170" spans="1:14" ht="78.75" customHeight="1" thickBot="1" x14ac:dyDescent="0.3">
      <c r="A170" s="997" t="s">
        <v>533</v>
      </c>
      <c r="B170" s="948" t="s">
        <v>534</v>
      </c>
      <c r="C170" s="861">
        <v>6</v>
      </c>
      <c r="D170" s="864" t="s">
        <v>15</v>
      </c>
      <c r="E170" s="1016">
        <f>SUM(E171:E171)+11.5</f>
        <v>11.5</v>
      </c>
      <c r="F170" s="1016">
        <f>SUM(F171:F171)+11.5</f>
        <v>11.5</v>
      </c>
      <c r="G170" s="1016">
        <f>SUM(G171:G171)</f>
        <v>0</v>
      </c>
      <c r="H170" s="863">
        <f>SUM(H171:H171)+11.5</f>
        <v>11.5</v>
      </c>
      <c r="I170" s="973" t="s">
        <v>77</v>
      </c>
      <c r="J170" s="949" t="s">
        <v>344</v>
      </c>
      <c r="K170" s="950">
        <v>1</v>
      </c>
      <c r="L170" s="950">
        <v>0</v>
      </c>
      <c r="M170" s="948"/>
      <c r="N170" s="951" t="s">
        <v>687</v>
      </c>
    </row>
    <row r="171" spans="1:14" ht="16.5" hidden="1" thickBot="1" x14ac:dyDescent="0.3">
      <c r="A171" s="891"/>
      <c r="B171" s="869"/>
      <c r="C171" s="893"/>
      <c r="D171" s="887"/>
      <c r="E171" s="1018">
        <v>0</v>
      </c>
      <c r="F171" s="1018">
        <v>0</v>
      </c>
      <c r="G171" s="1018">
        <v>0</v>
      </c>
      <c r="H171" s="870">
        <v>0</v>
      </c>
      <c r="I171" s="892" t="s">
        <v>535</v>
      </c>
      <c r="J171" s="887" t="s">
        <v>336</v>
      </c>
      <c r="K171" s="888">
        <v>0</v>
      </c>
      <c r="L171" s="888">
        <v>0</v>
      </c>
      <c r="M171" s="869"/>
      <c r="N171" s="894"/>
    </row>
    <row r="172" spans="1:14" ht="32.25" thickBot="1" x14ac:dyDescent="0.3">
      <c r="A172" s="884" t="s">
        <v>536</v>
      </c>
      <c r="B172" s="1031" t="s">
        <v>537</v>
      </c>
      <c r="C172" s="966"/>
      <c r="D172" s="969"/>
      <c r="E172" s="1019">
        <f>E173+E176+E180</f>
        <v>388.2</v>
      </c>
      <c r="F172" s="1019">
        <f>F173+F176+F180</f>
        <v>301.59999999999997</v>
      </c>
      <c r="G172" s="1019">
        <f>G173+G176+G180-0.1</f>
        <v>77.5</v>
      </c>
      <c r="H172" s="1076">
        <f>H173+H176+H180+0.1</f>
        <v>223.7</v>
      </c>
      <c r="I172" s="1004"/>
      <c r="J172" s="969"/>
      <c r="K172" s="965"/>
      <c r="L172" s="965"/>
      <c r="M172" s="1031"/>
      <c r="N172" s="885"/>
    </row>
    <row r="173" spans="1:14" ht="22.5" customHeight="1" x14ac:dyDescent="0.25">
      <c r="A173" s="1754" t="s">
        <v>538</v>
      </c>
      <c r="B173" s="1749" t="s">
        <v>539</v>
      </c>
      <c r="C173" s="1716">
        <v>5</v>
      </c>
      <c r="D173" s="935"/>
      <c r="E173" s="1111">
        <f>SUM(E174:E175)</f>
        <v>40.700000000000003</v>
      </c>
      <c r="F173" s="1111">
        <f>SUM(F174:F175)</f>
        <v>40.700000000000003</v>
      </c>
      <c r="G173" s="1111">
        <f>SUM(G174:G175)</f>
        <v>32.1</v>
      </c>
      <c r="H173" s="934">
        <f>SUM(H174:H175)</f>
        <v>8.6</v>
      </c>
      <c r="I173" s="1112" t="s">
        <v>529</v>
      </c>
      <c r="J173" s="1113" t="s">
        <v>344</v>
      </c>
      <c r="K173" s="1114">
        <v>2</v>
      </c>
      <c r="L173" s="1114">
        <v>2</v>
      </c>
      <c r="M173" s="1749"/>
      <c r="N173" s="1751"/>
    </row>
    <row r="174" spans="1:14" ht="22.5" customHeight="1" x14ac:dyDescent="0.25">
      <c r="A174" s="1755"/>
      <c r="B174" s="1698"/>
      <c r="C174" s="1639"/>
      <c r="D174" s="887" t="s">
        <v>127</v>
      </c>
      <c r="E174" s="1018">
        <v>15.8</v>
      </c>
      <c r="F174" s="1018">
        <v>15.8</v>
      </c>
      <c r="G174" s="1018">
        <v>15.8</v>
      </c>
      <c r="H174" s="870">
        <v>0</v>
      </c>
      <c r="I174" s="1101"/>
      <c r="J174" s="1035"/>
      <c r="K174" s="1036"/>
      <c r="L174" s="1036"/>
      <c r="M174" s="1698"/>
      <c r="N174" s="1752"/>
    </row>
    <row r="175" spans="1:14" ht="22.5" customHeight="1" thickBot="1" x14ac:dyDescent="0.3">
      <c r="A175" s="1756"/>
      <c r="B175" s="1750"/>
      <c r="C175" s="1715"/>
      <c r="D175" s="941" t="s">
        <v>15</v>
      </c>
      <c r="E175" s="1024">
        <v>24.9</v>
      </c>
      <c r="F175" s="1024">
        <v>24.9</v>
      </c>
      <c r="G175" s="1024">
        <v>16.3</v>
      </c>
      <c r="H175" s="939">
        <v>8.6</v>
      </c>
      <c r="I175" s="1115"/>
      <c r="J175" s="1116"/>
      <c r="K175" s="1117"/>
      <c r="L175" s="1117"/>
      <c r="M175" s="1750"/>
      <c r="N175" s="1753"/>
    </row>
    <row r="176" spans="1:14" ht="79.5" customHeight="1" x14ac:dyDescent="0.25">
      <c r="A176" s="1747" t="s">
        <v>541</v>
      </c>
      <c r="B176" s="1637" t="s">
        <v>278</v>
      </c>
      <c r="C176" s="1639">
        <v>5</v>
      </c>
      <c r="D176" s="881"/>
      <c r="E176" s="1088">
        <f>SUM(E177:E179)</f>
        <v>326.10000000000002</v>
      </c>
      <c r="F176" s="1088">
        <f>SUM(F177:F179)</f>
        <v>239.5</v>
      </c>
      <c r="G176" s="1088">
        <f>SUM(G177:G179)</f>
        <v>24.5</v>
      </c>
      <c r="H176" s="1078">
        <f>SUM(H177:H179)</f>
        <v>215</v>
      </c>
      <c r="I176" s="998" t="s">
        <v>77</v>
      </c>
      <c r="J176" s="1034" t="s">
        <v>344</v>
      </c>
      <c r="K176" s="999">
        <v>1</v>
      </c>
      <c r="L176" s="999">
        <v>0.8</v>
      </c>
      <c r="M176" s="1757" t="s">
        <v>542</v>
      </c>
      <c r="N176" s="1758"/>
    </row>
    <row r="177" spans="1:19" ht="34.5" customHeight="1" x14ac:dyDescent="0.25">
      <c r="A177" s="1747"/>
      <c r="B177" s="1637"/>
      <c r="C177" s="1639"/>
      <c r="D177" s="887" t="s">
        <v>97</v>
      </c>
      <c r="E177" s="1018">
        <v>90</v>
      </c>
      <c r="F177" s="1018">
        <v>0</v>
      </c>
      <c r="G177" s="1018">
        <v>0</v>
      </c>
      <c r="H177" s="870">
        <v>0</v>
      </c>
      <c r="I177" s="1641" t="s">
        <v>543</v>
      </c>
      <c r="J177" s="1644" t="s">
        <v>332</v>
      </c>
      <c r="K177" s="1647">
        <v>15</v>
      </c>
      <c r="L177" s="1647">
        <v>0</v>
      </c>
      <c r="M177" s="1759" t="s">
        <v>691</v>
      </c>
      <c r="N177" s="1760"/>
    </row>
    <row r="178" spans="1:19" x14ac:dyDescent="0.25">
      <c r="A178" s="1747"/>
      <c r="B178" s="1637"/>
      <c r="C178" s="1639"/>
      <c r="D178" s="887" t="s">
        <v>127</v>
      </c>
      <c r="E178" s="1018">
        <v>29.5</v>
      </c>
      <c r="F178" s="1018">
        <v>32.9</v>
      </c>
      <c r="G178" s="1018">
        <v>24.5</v>
      </c>
      <c r="H178" s="870">
        <v>8.4</v>
      </c>
      <c r="I178" s="1642"/>
      <c r="J178" s="1645"/>
      <c r="K178" s="1648"/>
      <c r="L178" s="1648"/>
      <c r="M178" s="1761"/>
      <c r="N178" s="1762"/>
    </row>
    <row r="179" spans="1:19" ht="16.5" thickBot="1" x14ac:dyDescent="0.3">
      <c r="A179" s="1748"/>
      <c r="B179" s="1634"/>
      <c r="C179" s="1640"/>
      <c r="D179" s="887" t="s">
        <v>15</v>
      </c>
      <c r="E179" s="1018">
        <v>206.6</v>
      </c>
      <c r="F179" s="1018">
        <v>206.6</v>
      </c>
      <c r="G179" s="1018">
        <v>0</v>
      </c>
      <c r="H179" s="870">
        <v>206.6</v>
      </c>
      <c r="I179" s="1643"/>
      <c r="J179" s="1646"/>
      <c r="K179" s="1649"/>
      <c r="L179" s="1649"/>
      <c r="M179" s="1763"/>
      <c r="N179" s="1764"/>
    </row>
    <row r="180" spans="1:19" ht="17.25" customHeight="1" x14ac:dyDescent="0.25">
      <c r="A180" s="1626" t="s">
        <v>544</v>
      </c>
      <c r="B180" s="1624" t="s">
        <v>545</v>
      </c>
      <c r="C180" s="1638">
        <v>5</v>
      </c>
      <c r="D180" s="864"/>
      <c r="E180" s="1017">
        <f>SUM(E181:E182)</f>
        <v>21.4</v>
      </c>
      <c r="F180" s="1017">
        <f>SUM(F181:F182)</f>
        <v>21.4</v>
      </c>
      <c r="G180" s="1017">
        <f>SUM(G181:G182)</f>
        <v>21</v>
      </c>
      <c r="H180" s="863">
        <f>SUM(H181:H182)</f>
        <v>0</v>
      </c>
      <c r="I180" s="1103" t="s">
        <v>77</v>
      </c>
      <c r="J180" s="1043" t="s">
        <v>344</v>
      </c>
      <c r="K180" s="956">
        <v>1</v>
      </c>
      <c r="L180" s="956">
        <v>1</v>
      </c>
      <c r="M180" s="1624" t="s">
        <v>546</v>
      </c>
      <c r="N180" s="1766"/>
    </row>
    <row r="181" spans="1:19" x14ac:dyDescent="0.25">
      <c r="A181" s="1765"/>
      <c r="B181" s="1698"/>
      <c r="C181" s="1639"/>
      <c r="D181" s="887" t="s">
        <v>127</v>
      </c>
      <c r="E181" s="1018">
        <v>20</v>
      </c>
      <c r="F181" s="1018">
        <v>20</v>
      </c>
      <c r="G181" s="1018">
        <v>19.600000000000001</v>
      </c>
      <c r="H181" s="870">
        <v>0</v>
      </c>
      <c r="I181" s="1101"/>
      <c r="J181" s="1035"/>
      <c r="K181" s="1036"/>
      <c r="L181" s="1036"/>
      <c r="M181" s="1698"/>
      <c r="N181" s="1767"/>
    </row>
    <row r="182" spans="1:19" ht="16.5" thickBot="1" x14ac:dyDescent="0.3">
      <c r="A182" s="1627"/>
      <c r="B182" s="1625"/>
      <c r="C182" s="1640"/>
      <c r="D182" s="887" t="s">
        <v>15</v>
      </c>
      <c r="E182" s="1018">
        <v>1.4</v>
      </c>
      <c r="F182" s="1018">
        <v>1.4</v>
      </c>
      <c r="G182" s="1018">
        <v>1.4</v>
      </c>
      <c r="H182" s="870">
        <v>0</v>
      </c>
      <c r="I182" s="1102"/>
      <c r="J182" s="1037"/>
      <c r="K182" s="1038"/>
      <c r="L182" s="1038"/>
      <c r="M182" s="1625"/>
      <c r="N182" s="1768"/>
    </row>
    <row r="183" spans="1:19" ht="32.25" thickBot="1" x14ac:dyDescent="0.3">
      <c r="A183" s="859" t="s">
        <v>547</v>
      </c>
      <c r="B183" s="862" t="s">
        <v>548</v>
      </c>
      <c r="C183" s="966">
        <v>5</v>
      </c>
      <c r="D183" s="864"/>
      <c r="E183" s="1017">
        <f>E184+E188</f>
        <v>610.29999999999995</v>
      </c>
      <c r="F183" s="1017">
        <f>F184+F188</f>
        <v>188.10000000000002</v>
      </c>
      <c r="G183" s="1017">
        <f>G184+G188</f>
        <v>5.3</v>
      </c>
      <c r="H183" s="863">
        <f>H184+H188</f>
        <v>182.7</v>
      </c>
      <c r="I183" s="860"/>
      <c r="J183" s="864"/>
      <c r="K183" s="865"/>
      <c r="L183" s="865"/>
      <c r="M183" s="862"/>
      <c r="N183" s="866"/>
    </row>
    <row r="184" spans="1:19" ht="33" customHeight="1" x14ac:dyDescent="0.25">
      <c r="A184" s="1746" t="s">
        <v>549</v>
      </c>
      <c r="B184" s="1633" t="s">
        <v>550</v>
      </c>
      <c r="C184" s="967"/>
      <c r="D184" s="864"/>
      <c r="E184" s="1017">
        <f>SUM(E185:E187)</f>
        <v>607.5</v>
      </c>
      <c r="F184" s="1017">
        <f>SUM(F185:F187)</f>
        <v>185.3</v>
      </c>
      <c r="G184" s="1017">
        <f>SUM(G185:G187)</f>
        <v>2.5</v>
      </c>
      <c r="H184" s="863">
        <f>SUM(H185:H187)</f>
        <v>182.7</v>
      </c>
      <c r="I184" s="973" t="s">
        <v>551</v>
      </c>
      <c r="J184" s="949" t="s">
        <v>332</v>
      </c>
      <c r="K184" s="950">
        <v>100</v>
      </c>
      <c r="L184" s="950">
        <v>0</v>
      </c>
      <c r="M184" s="948"/>
      <c r="N184" s="1651" t="s">
        <v>692</v>
      </c>
    </row>
    <row r="185" spans="1:19" ht="33" customHeight="1" x14ac:dyDescent="0.25">
      <c r="A185" s="1747"/>
      <c r="B185" s="1637"/>
      <c r="C185" s="897"/>
      <c r="D185" s="887" t="s">
        <v>97</v>
      </c>
      <c r="E185" s="1018">
        <v>423.6</v>
      </c>
      <c r="F185" s="1018">
        <v>1.4</v>
      </c>
      <c r="G185" s="1018">
        <v>1.3</v>
      </c>
      <c r="H185" s="870">
        <v>0</v>
      </c>
      <c r="I185" s="1641" t="s">
        <v>552</v>
      </c>
      <c r="J185" s="1039" t="s">
        <v>332</v>
      </c>
      <c r="K185" s="1040">
        <v>100</v>
      </c>
      <c r="L185" s="1040">
        <v>0</v>
      </c>
      <c r="M185" s="1073"/>
      <c r="N185" s="1652"/>
    </row>
    <row r="186" spans="1:19" ht="33" customHeight="1" x14ac:dyDescent="0.25">
      <c r="A186" s="1041"/>
      <c r="B186" s="1637"/>
      <c r="C186" s="897"/>
      <c r="D186" s="887" t="s">
        <v>265</v>
      </c>
      <c r="E186" s="1018">
        <v>3.1</v>
      </c>
      <c r="F186" s="1018">
        <v>3.1</v>
      </c>
      <c r="G186" s="1018">
        <v>0.6</v>
      </c>
      <c r="H186" s="870">
        <v>2.5</v>
      </c>
      <c r="I186" s="1642"/>
      <c r="J186" s="947"/>
      <c r="K186" s="946"/>
      <c r="L186" s="946"/>
      <c r="M186" s="1033"/>
      <c r="N186" s="1652"/>
      <c r="R186" s="890"/>
    </row>
    <row r="187" spans="1:19" ht="33" customHeight="1" thickBot="1" x14ac:dyDescent="0.3">
      <c r="A187" s="1042"/>
      <c r="B187" s="1634"/>
      <c r="C187" s="967"/>
      <c r="D187" s="887" t="s">
        <v>15</v>
      </c>
      <c r="E187" s="1018">
        <v>180.8</v>
      </c>
      <c r="F187" s="1018">
        <v>180.8</v>
      </c>
      <c r="G187" s="1018">
        <v>0.6</v>
      </c>
      <c r="H187" s="870">
        <v>180.2</v>
      </c>
      <c r="I187" s="1643"/>
      <c r="J187" s="1034"/>
      <c r="K187" s="999"/>
      <c r="L187" s="999"/>
      <c r="M187" s="1074"/>
      <c r="N187" s="1653"/>
      <c r="S187" s="890"/>
    </row>
    <row r="188" spans="1:19" ht="68.25" customHeight="1" thickBot="1" x14ac:dyDescent="0.3">
      <c r="A188" s="859" t="s">
        <v>553</v>
      </c>
      <c r="B188" s="862" t="s">
        <v>554</v>
      </c>
      <c r="C188" s="970"/>
      <c r="D188" s="864" t="s">
        <v>127</v>
      </c>
      <c r="E188" s="1021">
        <v>2.8</v>
      </c>
      <c r="F188" s="1021">
        <v>2.8</v>
      </c>
      <c r="G188" s="1021">
        <v>2.8</v>
      </c>
      <c r="H188" s="895">
        <v>0</v>
      </c>
      <c r="I188" s="1133" t="s">
        <v>77</v>
      </c>
      <c r="J188" s="1118" t="s">
        <v>344</v>
      </c>
      <c r="K188" s="1119">
        <v>1</v>
      </c>
      <c r="L188" s="1119">
        <v>1</v>
      </c>
      <c r="M188" s="862"/>
      <c r="N188" s="866"/>
    </row>
    <row r="189" spans="1:19" ht="32.25" thickBot="1" x14ac:dyDescent="0.3">
      <c r="A189" s="859" t="s">
        <v>555</v>
      </c>
      <c r="B189" s="862" t="s">
        <v>556</v>
      </c>
      <c r="C189" s="966">
        <v>2</v>
      </c>
      <c r="D189" s="864"/>
      <c r="E189" s="1017">
        <f>E190+E191+E192+E194+E195</f>
        <v>332.3</v>
      </c>
      <c r="F189" s="1017">
        <f>F190+F191+F192+F194+F195</f>
        <v>416.70000000000005</v>
      </c>
      <c r="G189" s="1017">
        <f>G190+G191+G192+G194+G195</f>
        <v>416.70000000000005</v>
      </c>
      <c r="H189" s="863">
        <f>H190+H191+H192+H194+H195</f>
        <v>0</v>
      </c>
      <c r="I189" s="860"/>
      <c r="J189" s="864"/>
      <c r="K189" s="865"/>
      <c r="L189" s="865"/>
      <c r="M189" s="862"/>
      <c r="N189" s="866"/>
    </row>
    <row r="190" spans="1:19" ht="48" thickBot="1" x14ac:dyDescent="0.3">
      <c r="A190" s="859" t="s">
        <v>557</v>
      </c>
      <c r="B190" s="862" t="s">
        <v>558</v>
      </c>
      <c r="C190" s="967"/>
      <c r="D190" s="864" t="s">
        <v>15</v>
      </c>
      <c r="E190" s="1021">
        <v>104</v>
      </c>
      <c r="F190" s="1021">
        <v>104</v>
      </c>
      <c r="G190" s="1021">
        <v>104</v>
      </c>
      <c r="H190" s="895">
        <v>0</v>
      </c>
      <c r="I190" s="860" t="s">
        <v>343</v>
      </c>
      <c r="J190" s="864" t="s">
        <v>344</v>
      </c>
      <c r="K190" s="865">
        <v>7</v>
      </c>
      <c r="L190" s="865">
        <v>7</v>
      </c>
      <c r="M190" s="862"/>
      <c r="N190" s="866"/>
    </row>
    <row r="191" spans="1:19" ht="114" customHeight="1" thickBot="1" x14ac:dyDescent="0.3">
      <c r="A191" s="859" t="s">
        <v>559</v>
      </c>
      <c r="B191" s="862" t="s">
        <v>560</v>
      </c>
      <c r="C191" s="967"/>
      <c r="D191" s="864" t="s">
        <v>15</v>
      </c>
      <c r="E191" s="1021">
        <v>183.5</v>
      </c>
      <c r="F191" s="1021">
        <v>234.8</v>
      </c>
      <c r="G191" s="1021">
        <v>234.8</v>
      </c>
      <c r="H191" s="895">
        <v>0</v>
      </c>
      <c r="I191" s="860" t="s">
        <v>343</v>
      </c>
      <c r="J191" s="864" t="s">
        <v>344</v>
      </c>
      <c r="K191" s="865">
        <v>24</v>
      </c>
      <c r="L191" s="1120">
        <v>24</v>
      </c>
      <c r="M191" s="1121"/>
      <c r="N191" s="1122" t="s">
        <v>695</v>
      </c>
      <c r="R191" s="890"/>
    </row>
    <row r="192" spans="1:19" ht="37.5" customHeight="1" x14ac:dyDescent="0.25">
      <c r="A192" s="1622" t="s">
        <v>561</v>
      </c>
      <c r="B192" s="1620" t="s">
        <v>285</v>
      </c>
      <c r="C192" s="967"/>
      <c r="D192" s="969" t="s">
        <v>15</v>
      </c>
      <c r="E192" s="1019">
        <f>SUM(E193:E193)+40</f>
        <v>40</v>
      </c>
      <c r="F192" s="1019">
        <f>SUM(F193:F193)+60</f>
        <v>60</v>
      </c>
      <c r="G192" s="1019">
        <f>SUM(G193:G193)+60</f>
        <v>60</v>
      </c>
      <c r="H192" s="863">
        <f>SUM(H193:H193)</f>
        <v>0</v>
      </c>
      <c r="I192" s="860" t="s">
        <v>562</v>
      </c>
      <c r="J192" s="864" t="s">
        <v>563</v>
      </c>
      <c r="K192" s="865">
        <v>757.2</v>
      </c>
      <c r="L192" s="865">
        <v>685</v>
      </c>
      <c r="M192" s="862"/>
      <c r="N192" s="1123" t="s">
        <v>564</v>
      </c>
    </row>
    <row r="193" spans="1:19" ht="16.5" thickBot="1" x14ac:dyDescent="0.3">
      <c r="A193" s="1623"/>
      <c r="B193" s="1621"/>
      <c r="C193" s="967"/>
      <c r="D193" s="881"/>
      <c r="E193" s="1020"/>
      <c r="F193" s="1020"/>
      <c r="G193" s="1020"/>
      <c r="H193" s="870">
        <v>0</v>
      </c>
      <c r="I193" s="892" t="s">
        <v>377</v>
      </c>
      <c r="J193" s="887" t="s">
        <v>344</v>
      </c>
      <c r="K193" s="888">
        <v>20</v>
      </c>
      <c r="L193" s="888">
        <v>20</v>
      </c>
      <c r="M193" s="869"/>
      <c r="N193" s="894" t="s">
        <v>565</v>
      </c>
    </row>
    <row r="194" spans="1:19" ht="48" thickBot="1" x14ac:dyDescent="0.3">
      <c r="A194" s="1124" t="s">
        <v>566</v>
      </c>
      <c r="B194" s="957" t="s">
        <v>287</v>
      </c>
      <c r="C194" s="967"/>
      <c r="D194" s="864" t="s">
        <v>15</v>
      </c>
      <c r="E194" s="1021">
        <v>4.8</v>
      </c>
      <c r="F194" s="1021">
        <v>4.8</v>
      </c>
      <c r="G194" s="1021">
        <v>4.8</v>
      </c>
      <c r="H194" s="895">
        <v>0</v>
      </c>
      <c r="I194" s="974" t="s">
        <v>567</v>
      </c>
      <c r="J194" s="958" t="s">
        <v>344</v>
      </c>
      <c r="K194" s="959">
        <v>3</v>
      </c>
      <c r="L194" s="959">
        <v>8</v>
      </c>
      <c r="M194" s="957"/>
      <c r="N194" s="975" t="s">
        <v>568</v>
      </c>
      <c r="P194" s="890"/>
    </row>
    <row r="195" spans="1:19" ht="39" thickBot="1" x14ac:dyDescent="0.3">
      <c r="A195" s="1124" t="s">
        <v>569</v>
      </c>
      <c r="B195" s="957" t="s">
        <v>570</v>
      </c>
      <c r="C195" s="970"/>
      <c r="D195" s="864" t="s">
        <v>15</v>
      </c>
      <c r="E195" s="1021">
        <v>0</v>
      </c>
      <c r="F195" s="1021">
        <v>13.1</v>
      </c>
      <c r="G195" s="1021">
        <v>13.1</v>
      </c>
      <c r="H195" s="895">
        <v>0</v>
      </c>
      <c r="I195" s="974" t="s">
        <v>290</v>
      </c>
      <c r="J195" s="958" t="s">
        <v>344</v>
      </c>
      <c r="K195" s="959">
        <v>1</v>
      </c>
      <c r="L195" s="959">
        <v>1</v>
      </c>
      <c r="M195" s="957"/>
      <c r="N195" s="975"/>
    </row>
    <row r="196" spans="1:19" ht="32.25" thickBot="1" x14ac:dyDescent="0.3">
      <c r="A196" s="859" t="s">
        <v>571</v>
      </c>
      <c r="B196" s="862" t="s">
        <v>268</v>
      </c>
      <c r="C196" s="966">
        <v>5</v>
      </c>
      <c r="D196" s="979"/>
      <c r="E196" s="1017">
        <f>SUM(E197:E197)</f>
        <v>218.6</v>
      </c>
      <c r="F196" s="1017">
        <f>SUM(F197:F197)</f>
        <v>218.6</v>
      </c>
      <c r="G196" s="1017">
        <f>SUM(G197:G197)</f>
        <v>0</v>
      </c>
      <c r="H196" s="863">
        <f>SUM(H197:H197)</f>
        <v>218.6</v>
      </c>
      <c r="I196" s="860"/>
      <c r="J196" s="864"/>
      <c r="K196" s="865"/>
      <c r="L196" s="865"/>
      <c r="M196" s="862"/>
      <c r="N196" s="866"/>
    </row>
    <row r="197" spans="1:19" ht="126.75" thickBot="1" x14ac:dyDescent="0.3">
      <c r="A197" s="859" t="s">
        <v>572</v>
      </c>
      <c r="B197" s="862" t="s">
        <v>268</v>
      </c>
      <c r="C197" s="968"/>
      <c r="D197" s="864" t="s">
        <v>15</v>
      </c>
      <c r="E197" s="1021">
        <v>218.6</v>
      </c>
      <c r="F197" s="1021">
        <v>218.6</v>
      </c>
      <c r="G197" s="1021">
        <v>0</v>
      </c>
      <c r="H197" s="895">
        <v>218.6</v>
      </c>
      <c r="I197" s="860" t="s">
        <v>573</v>
      </c>
      <c r="J197" s="864" t="s">
        <v>344</v>
      </c>
      <c r="K197" s="865">
        <v>0</v>
      </c>
      <c r="L197" s="865">
        <v>0</v>
      </c>
      <c r="M197" s="862"/>
      <c r="N197" s="866" t="s">
        <v>696</v>
      </c>
    </row>
    <row r="198" spans="1:19" ht="32.25" thickBot="1" x14ac:dyDescent="0.3">
      <c r="A198" s="852" t="s">
        <v>574</v>
      </c>
      <c r="B198" s="855" t="s">
        <v>575</v>
      </c>
      <c r="C198" s="854"/>
      <c r="D198" s="857"/>
      <c r="E198" s="1015">
        <f>E199+E202</f>
        <v>279.2</v>
      </c>
      <c r="F198" s="1015">
        <f>F199+F202</f>
        <v>279.2</v>
      </c>
      <c r="G198" s="1015">
        <f>G199+G202</f>
        <v>128.10000000000002</v>
      </c>
      <c r="H198" s="856">
        <f>H199+H202</f>
        <v>151.1</v>
      </c>
      <c r="I198" s="853"/>
      <c r="J198" s="857"/>
      <c r="K198" s="854"/>
      <c r="L198" s="854"/>
      <c r="M198" s="855"/>
      <c r="N198" s="858"/>
    </row>
    <row r="199" spans="1:19" ht="32.25" thickBot="1" x14ac:dyDescent="0.3">
      <c r="A199" s="859" t="s">
        <v>576</v>
      </c>
      <c r="B199" s="862" t="s">
        <v>67</v>
      </c>
      <c r="C199" s="861"/>
      <c r="D199" s="864"/>
      <c r="E199" s="1016">
        <f>SUM(E200:E200)</f>
        <v>44</v>
      </c>
      <c r="F199" s="1016">
        <f>SUM(F200:F200)</f>
        <v>44</v>
      </c>
      <c r="G199" s="1016">
        <f>SUM(G200:G200)</f>
        <v>44</v>
      </c>
      <c r="H199" s="863">
        <f>SUM(H200:H200)</f>
        <v>0</v>
      </c>
      <c r="I199" s="860"/>
      <c r="J199" s="864"/>
      <c r="K199" s="865"/>
      <c r="L199" s="865"/>
      <c r="M199" s="862"/>
      <c r="N199" s="866"/>
    </row>
    <row r="200" spans="1:19" ht="19.5" customHeight="1" x14ac:dyDescent="0.25">
      <c r="A200" s="1626" t="s">
        <v>577</v>
      </c>
      <c r="B200" s="1624" t="s">
        <v>578</v>
      </c>
      <c r="C200" s="966">
        <v>2</v>
      </c>
      <c r="D200" s="969" t="s">
        <v>15</v>
      </c>
      <c r="E200" s="1019">
        <f>SUM(E201:E201)+44</f>
        <v>44</v>
      </c>
      <c r="F200" s="1019">
        <f>SUM(F201:F201)+44</f>
        <v>44</v>
      </c>
      <c r="G200" s="1019">
        <f>SUM(G201:G201)+44</f>
        <v>44</v>
      </c>
      <c r="H200" s="863">
        <f>SUM(H201:H201)</f>
        <v>0</v>
      </c>
      <c r="I200" s="974" t="s">
        <v>579</v>
      </c>
      <c r="J200" s="958" t="s">
        <v>336</v>
      </c>
      <c r="K200" s="959">
        <v>586</v>
      </c>
      <c r="L200" s="959">
        <v>586</v>
      </c>
      <c r="M200" s="957"/>
      <c r="N200" s="975"/>
    </row>
    <row r="201" spans="1:19" ht="63.75" thickBot="1" x14ac:dyDescent="0.3">
      <c r="A201" s="1627"/>
      <c r="B201" s="1625"/>
      <c r="C201" s="970"/>
      <c r="D201" s="881"/>
      <c r="E201" s="1020"/>
      <c r="F201" s="1020"/>
      <c r="G201" s="1020"/>
      <c r="H201" s="870">
        <v>0</v>
      </c>
      <c r="I201" s="1009" t="s">
        <v>343</v>
      </c>
      <c r="J201" s="962" t="s">
        <v>344</v>
      </c>
      <c r="K201" s="963">
        <v>8</v>
      </c>
      <c r="L201" s="963">
        <v>8</v>
      </c>
      <c r="M201" s="961" t="s">
        <v>697</v>
      </c>
      <c r="N201" s="964"/>
    </row>
    <row r="202" spans="1:19" ht="26.25" thickBot="1" x14ac:dyDescent="0.3">
      <c r="A202" s="859" t="s">
        <v>580</v>
      </c>
      <c r="B202" s="862" t="s">
        <v>581</v>
      </c>
      <c r="C202" s="861">
        <v>2</v>
      </c>
      <c r="D202" s="864"/>
      <c r="E202" s="1017">
        <f>E203+E205+E207</f>
        <v>235.2</v>
      </c>
      <c r="F202" s="1017">
        <f>F203+F205+F207</f>
        <v>235.2</v>
      </c>
      <c r="G202" s="1017">
        <f>G203+G205+G207-0.1</f>
        <v>84.100000000000009</v>
      </c>
      <c r="H202" s="863">
        <f>H203+H205+H207+0.1</f>
        <v>151.1</v>
      </c>
      <c r="I202" s="860"/>
      <c r="J202" s="864"/>
      <c r="K202" s="865"/>
      <c r="L202" s="865"/>
      <c r="M202" s="862"/>
      <c r="N202" s="866"/>
    </row>
    <row r="203" spans="1:19" ht="19.5" customHeight="1" x14ac:dyDescent="0.25">
      <c r="A203" s="1626" t="s">
        <v>582</v>
      </c>
      <c r="B203" s="1624" t="s">
        <v>583</v>
      </c>
      <c r="C203" s="966"/>
      <c r="D203" s="969" t="s">
        <v>15</v>
      </c>
      <c r="E203" s="1019">
        <f>SUM(E204:E204)+72.2</f>
        <v>72.2</v>
      </c>
      <c r="F203" s="1019">
        <f>SUM(F204:F204)+72.2</f>
        <v>72.2</v>
      </c>
      <c r="G203" s="1019">
        <f>SUM(G204:G204)+72.2</f>
        <v>72.2</v>
      </c>
      <c r="H203" s="863">
        <f>SUM(H204:H204)</f>
        <v>0</v>
      </c>
      <c r="I203" s="974" t="s">
        <v>584</v>
      </c>
      <c r="J203" s="958" t="s">
        <v>344</v>
      </c>
      <c r="K203" s="959">
        <v>39</v>
      </c>
      <c r="L203" s="959">
        <v>39</v>
      </c>
      <c r="M203" s="957"/>
      <c r="N203" s="975"/>
      <c r="S203" s="890"/>
    </row>
    <row r="204" spans="1:19" ht="32.25" thickBot="1" x14ac:dyDescent="0.3">
      <c r="A204" s="1627"/>
      <c r="B204" s="1625"/>
      <c r="C204" s="970"/>
      <c r="D204" s="881"/>
      <c r="E204" s="1020"/>
      <c r="F204" s="1020"/>
      <c r="G204" s="1020"/>
      <c r="H204" s="870">
        <v>0</v>
      </c>
      <c r="I204" s="1009" t="s">
        <v>585</v>
      </c>
      <c r="J204" s="962" t="s">
        <v>344</v>
      </c>
      <c r="K204" s="963">
        <v>31</v>
      </c>
      <c r="L204" s="963">
        <v>36</v>
      </c>
      <c r="M204" s="961"/>
      <c r="N204" s="964"/>
    </row>
    <row r="205" spans="1:19" ht="21" customHeight="1" x14ac:dyDescent="0.25">
      <c r="A205" s="1626" t="s">
        <v>586</v>
      </c>
      <c r="B205" s="1628" t="s">
        <v>587</v>
      </c>
      <c r="C205" s="966">
        <v>2</v>
      </c>
      <c r="D205" s="969" t="s">
        <v>15</v>
      </c>
      <c r="E205" s="1019">
        <f>SUM(E206:E206)+5</f>
        <v>5</v>
      </c>
      <c r="F205" s="1019">
        <f>SUM(F206:F206)+5</f>
        <v>5</v>
      </c>
      <c r="G205" s="1019">
        <f>SUM(G206:G206)+5</f>
        <v>5</v>
      </c>
      <c r="H205" s="863">
        <f>SUM(H206:H206)</f>
        <v>0</v>
      </c>
      <c r="I205" s="974" t="s">
        <v>343</v>
      </c>
      <c r="J205" s="958" t="s">
        <v>344</v>
      </c>
      <c r="K205" s="959">
        <v>1</v>
      </c>
      <c r="L205" s="959">
        <v>1</v>
      </c>
      <c r="M205" s="957" t="s">
        <v>588</v>
      </c>
      <c r="N205" s="975"/>
    </row>
    <row r="206" spans="1:19" ht="38.25" customHeight="1" thickBot="1" x14ac:dyDescent="0.3">
      <c r="A206" s="1627"/>
      <c r="B206" s="1629"/>
      <c r="C206" s="970"/>
      <c r="D206" s="881"/>
      <c r="E206" s="1020"/>
      <c r="F206" s="1020"/>
      <c r="G206" s="1020"/>
      <c r="H206" s="870">
        <v>0</v>
      </c>
      <c r="I206" s="1009" t="s">
        <v>589</v>
      </c>
      <c r="J206" s="962" t="s">
        <v>344</v>
      </c>
      <c r="K206" s="963">
        <v>5</v>
      </c>
      <c r="L206" s="963">
        <v>5</v>
      </c>
      <c r="M206" s="961"/>
      <c r="N206" s="964" t="s">
        <v>590</v>
      </c>
    </row>
    <row r="207" spans="1:19" ht="126.75" thickBot="1" x14ac:dyDescent="0.3">
      <c r="A207" s="859" t="s">
        <v>591</v>
      </c>
      <c r="B207" s="862" t="s">
        <v>293</v>
      </c>
      <c r="C207" s="861">
        <v>1</v>
      </c>
      <c r="D207" s="864" t="s">
        <v>15</v>
      </c>
      <c r="E207" s="1021">
        <v>158</v>
      </c>
      <c r="F207" s="1021">
        <v>158</v>
      </c>
      <c r="G207" s="1021">
        <v>7</v>
      </c>
      <c r="H207" s="895">
        <v>151</v>
      </c>
      <c r="I207" s="860" t="s">
        <v>343</v>
      </c>
      <c r="J207" s="864" t="s">
        <v>344</v>
      </c>
      <c r="K207" s="865">
        <v>10</v>
      </c>
      <c r="L207" s="865">
        <v>0</v>
      </c>
      <c r="M207" s="862"/>
      <c r="N207" s="866" t="s">
        <v>592</v>
      </c>
    </row>
    <row r="208" spans="1:19" ht="48" thickBot="1" x14ac:dyDescent="0.3">
      <c r="A208" s="852" t="s">
        <v>593</v>
      </c>
      <c r="B208" s="855" t="s">
        <v>594</v>
      </c>
      <c r="C208" s="854"/>
      <c r="D208" s="857"/>
      <c r="E208" s="1015">
        <f>E209+E233+E235+E237</f>
        <v>4950</v>
      </c>
      <c r="F208" s="1015">
        <f>F209+F233+F235+F237-0.1</f>
        <v>4800.5</v>
      </c>
      <c r="G208" s="1015">
        <f>G209+G233+G235+G237</f>
        <v>4419.8999999999996</v>
      </c>
      <c r="H208" s="856">
        <f>H209+H233+H235+H237+0.1</f>
        <v>380.70000000000005</v>
      </c>
      <c r="I208" s="853"/>
      <c r="J208" s="857"/>
      <c r="K208" s="854"/>
      <c r="L208" s="854"/>
      <c r="M208" s="855"/>
      <c r="N208" s="858"/>
    </row>
    <row r="209" spans="1:14" ht="32.25" thickBot="1" x14ac:dyDescent="0.3">
      <c r="A209" s="859" t="s">
        <v>595</v>
      </c>
      <c r="B209" s="862" t="s">
        <v>596</v>
      </c>
      <c r="C209" s="861"/>
      <c r="D209" s="864"/>
      <c r="E209" s="1016">
        <f>E210+E211+E214+E215+E216+E217+E221+E222+E223+E224+E225+E229+E230</f>
        <v>2253.6000000000004</v>
      </c>
      <c r="F209" s="1016">
        <f>F210+F211+F214+F215+F216+F217+F221+F222+F223+F224+F225+F229+F230</f>
        <v>2286.2999999999997</v>
      </c>
      <c r="G209" s="1016">
        <f>G210+G211+G214+G215+G216+G217+G221+G222+G223+G224+G225+G229+G230</f>
        <v>2183.7999999999997</v>
      </c>
      <c r="H209" s="863">
        <f>H210+H211+H214+H215+H216+H217+H221+H222+H223+H224+H225+H229+H230-0.1</f>
        <v>102.39999999999999</v>
      </c>
      <c r="I209" s="860"/>
      <c r="J209" s="864"/>
      <c r="K209" s="865"/>
      <c r="L209" s="865"/>
      <c r="M209" s="862"/>
      <c r="N209" s="866"/>
    </row>
    <row r="210" spans="1:14" ht="158.25" thickBot="1" x14ac:dyDescent="0.3">
      <c r="A210" s="859" t="s">
        <v>597</v>
      </c>
      <c r="B210" s="862" t="s">
        <v>44</v>
      </c>
      <c r="C210" s="861">
        <v>6</v>
      </c>
      <c r="D210" s="864" t="s">
        <v>15</v>
      </c>
      <c r="E210" s="1021">
        <v>487</v>
      </c>
      <c r="F210" s="1021">
        <v>558.4</v>
      </c>
      <c r="G210" s="1021">
        <v>540</v>
      </c>
      <c r="H210" s="895">
        <v>18.399999999999999</v>
      </c>
      <c r="I210" s="860" t="s">
        <v>69</v>
      </c>
      <c r="J210" s="864" t="s">
        <v>344</v>
      </c>
      <c r="K210" s="865">
        <v>16</v>
      </c>
      <c r="L210" s="865">
        <v>21</v>
      </c>
      <c r="M210" s="862" t="s">
        <v>598</v>
      </c>
      <c r="N210" s="866" t="s">
        <v>599</v>
      </c>
    </row>
    <row r="211" spans="1:14" ht="47.25" x14ac:dyDescent="0.25">
      <c r="A211" s="859" t="s">
        <v>600</v>
      </c>
      <c r="B211" s="862" t="s">
        <v>601</v>
      </c>
      <c r="C211" s="861"/>
      <c r="D211" s="864"/>
      <c r="E211" s="1016">
        <f>SUM(E212:E213)</f>
        <v>36.700000000000003</v>
      </c>
      <c r="F211" s="1016">
        <f>SUM(F212:F213)</f>
        <v>36.700000000000003</v>
      </c>
      <c r="G211" s="1016">
        <f>SUM(G212:G213)</f>
        <v>36.299999999999997</v>
      </c>
      <c r="H211" s="863">
        <f>SUM(H212:H213)</f>
        <v>0.4</v>
      </c>
      <c r="I211" s="860" t="s">
        <v>96</v>
      </c>
      <c r="J211" s="864" t="s">
        <v>344</v>
      </c>
      <c r="K211" s="865">
        <v>93</v>
      </c>
      <c r="L211" s="865">
        <v>93</v>
      </c>
      <c r="M211" s="862"/>
      <c r="N211" s="866" t="s">
        <v>602</v>
      </c>
    </row>
    <row r="212" spans="1:14" x14ac:dyDescent="0.25">
      <c r="A212" s="891"/>
      <c r="B212" s="869"/>
      <c r="C212" s="893">
        <v>6</v>
      </c>
      <c r="D212" s="887" t="s">
        <v>127</v>
      </c>
      <c r="E212" s="1018">
        <v>3</v>
      </c>
      <c r="F212" s="1018">
        <v>3</v>
      </c>
      <c r="G212" s="1018">
        <v>3</v>
      </c>
      <c r="H212" s="870">
        <v>0</v>
      </c>
      <c r="I212" s="892"/>
      <c r="J212" s="887"/>
      <c r="K212" s="888"/>
      <c r="L212" s="888"/>
      <c r="M212" s="869"/>
      <c r="N212" s="894"/>
    </row>
    <row r="213" spans="1:14" ht="16.5" thickBot="1" x14ac:dyDescent="0.3">
      <c r="A213" s="891"/>
      <c r="B213" s="869"/>
      <c r="C213" s="893">
        <v>6</v>
      </c>
      <c r="D213" s="887" t="s">
        <v>15</v>
      </c>
      <c r="E213" s="1018">
        <v>33.700000000000003</v>
      </c>
      <c r="F213" s="1018">
        <v>33.700000000000003</v>
      </c>
      <c r="G213" s="1018">
        <v>33.299999999999997</v>
      </c>
      <c r="H213" s="870">
        <v>0.4</v>
      </c>
      <c r="I213" s="892"/>
      <c r="J213" s="887"/>
      <c r="K213" s="888"/>
      <c r="L213" s="888"/>
      <c r="M213" s="869"/>
      <c r="N213" s="894"/>
    </row>
    <row r="214" spans="1:14" ht="48" thickBot="1" x14ac:dyDescent="0.3">
      <c r="A214" s="859" t="s">
        <v>603</v>
      </c>
      <c r="B214" s="862" t="s">
        <v>39</v>
      </c>
      <c r="C214" s="861">
        <v>6</v>
      </c>
      <c r="D214" s="864" t="s">
        <v>15</v>
      </c>
      <c r="E214" s="1021">
        <v>90.2</v>
      </c>
      <c r="F214" s="1021">
        <v>100.2</v>
      </c>
      <c r="G214" s="1021">
        <v>100.2</v>
      </c>
      <c r="H214" s="895">
        <v>0</v>
      </c>
      <c r="I214" s="860" t="s">
        <v>604</v>
      </c>
      <c r="J214" s="864" t="s">
        <v>336</v>
      </c>
      <c r="K214" s="865">
        <v>30</v>
      </c>
      <c r="L214" s="865">
        <v>41</v>
      </c>
      <c r="M214" s="862"/>
      <c r="N214" s="866" t="s">
        <v>605</v>
      </c>
    </row>
    <row r="215" spans="1:14" ht="39" thickBot="1" x14ac:dyDescent="0.3">
      <c r="A215" s="859" t="s">
        <v>606</v>
      </c>
      <c r="B215" s="862" t="s">
        <v>42</v>
      </c>
      <c r="C215" s="861">
        <v>6</v>
      </c>
      <c r="D215" s="864" t="s">
        <v>15</v>
      </c>
      <c r="E215" s="1021">
        <v>42</v>
      </c>
      <c r="F215" s="1021">
        <v>26.1</v>
      </c>
      <c r="G215" s="1021">
        <v>26.1</v>
      </c>
      <c r="H215" s="895">
        <v>0</v>
      </c>
      <c r="I215" s="860" t="s">
        <v>70</v>
      </c>
      <c r="J215" s="864" t="s">
        <v>344</v>
      </c>
      <c r="K215" s="865">
        <v>3</v>
      </c>
      <c r="L215" s="865">
        <v>3</v>
      </c>
      <c r="M215" s="862"/>
      <c r="N215" s="866" t="s">
        <v>605</v>
      </c>
    </row>
    <row r="216" spans="1:14" ht="39" thickBot="1" x14ac:dyDescent="0.3">
      <c r="A216" s="859" t="s">
        <v>607</v>
      </c>
      <c r="B216" s="862" t="s">
        <v>38</v>
      </c>
      <c r="C216" s="861">
        <v>6</v>
      </c>
      <c r="D216" s="864" t="s">
        <v>15</v>
      </c>
      <c r="E216" s="1021">
        <v>17.2</v>
      </c>
      <c r="F216" s="1021">
        <v>17.2</v>
      </c>
      <c r="G216" s="1021">
        <v>15.8</v>
      </c>
      <c r="H216" s="895">
        <v>1.4</v>
      </c>
      <c r="I216" s="860" t="s">
        <v>608</v>
      </c>
      <c r="J216" s="864" t="s">
        <v>609</v>
      </c>
      <c r="K216" s="865">
        <v>35</v>
      </c>
      <c r="L216" s="865">
        <v>35</v>
      </c>
      <c r="M216" s="862"/>
      <c r="N216" s="866" t="s">
        <v>610</v>
      </c>
    </row>
    <row r="217" spans="1:14" ht="47.25" x14ac:dyDescent="0.25">
      <c r="A217" s="859" t="s">
        <v>611</v>
      </c>
      <c r="B217" s="862" t="s">
        <v>40</v>
      </c>
      <c r="C217" s="861"/>
      <c r="D217" s="864"/>
      <c r="E217" s="1016">
        <f>SUM(E218:E220)</f>
        <v>436.7</v>
      </c>
      <c r="F217" s="1016">
        <f>SUM(F218:F220)</f>
        <v>406.7</v>
      </c>
      <c r="G217" s="1016">
        <f>SUM(G218:G220)</f>
        <v>398.7</v>
      </c>
      <c r="H217" s="863">
        <f>SUM(H218:H220)</f>
        <v>8</v>
      </c>
      <c r="I217" s="860" t="s">
        <v>612</v>
      </c>
      <c r="J217" s="864" t="s">
        <v>336</v>
      </c>
      <c r="K217" s="865">
        <v>101</v>
      </c>
      <c r="L217" s="865">
        <v>101</v>
      </c>
      <c r="M217" s="862"/>
      <c r="N217" s="866" t="s">
        <v>613</v>
      </c>
    </row>
    <row r="218" spans="1:14" x14ac:dyDescent="0.25">
      <c r="A218" s="891"/>
      <c r="B218" s="869"/>
      <c r="C218" s="893">
        <v>6</v>
      </c>
      <c r="D218" s="887" t="s">
        <v>18</v>
      </c>
      <c r="E218" s="1018">
        <v>7.4</v>
      </c>
      <c r="F218" s="1018">
        <v>7.4</v>
      </c>
      <c r="G218" s="1018">
        <v>5.7</v>
      </c>
      <c r="H218" s="870">
        <v>1.7</v>
      </c>
      <c r="I218" s="892"/>
      <c r="J218" s="887"/>
      <c r="K218" s="888"/>
      <c r="L218" s="888"/>
      <c r="M218" s="869"/>
      <c r="N218" s="894"/>
    </row>
    <row r="219" spans="1:14" x14ac:dyDescent="0.25">
      <c r="A219" s="891"/>
      <c r="B219" s="869"/>
      <c r="C219" s="893">
        <v>6</v>
      </c>
      <c r="D219" s="887" t="s">
        <v>15</v>
      </c>
      <c r="E219" s="1018">
        <v>393.6</v>
      </c>
      <c r="F219" s="1018">
        <v>363.6</v>
      </c>
      <c r="G219" s="1018">
        <v>357.3</v>
      </c>
      <c r="H219" s="870">
        <v>6.3</v>
      </c>
      <c r="I219" s="892"/>
      <c r="J219" s="887"/>
      <c r="K219" s="888"/>
      <c r="L219" s="888"/>
      <c r="M219" s="869"/>
      <c r="N219" s="894"/>
    </row>
    <row r="220" spans="1:14" ht="16.5" thickBot="1" x14ac:dyDescent="0.3">
      <c r="A220" s="891"/>
      <c r="B220" s="869"/>
      <c r="C220" s="893">
        <v>6</v>
      </c>
      <c r="D220" s="887" t="s">
        <v>127</v>
      </c>
      <c r="E220" s="1018">
        <v>35.700000000000003</v>
      </c>
      <c r="F220" s="1018">
        <v>35.700000000000003</v>
      </c>
      <c r="G220" s="1018">
        <v>35.700000000000003</v>
      </c>
      <c r="H220" s="870">
        <v>0</v>
      </c>
      <c r="I220" s="892"/>
      <c r="J220" s="887"/>
      <c r="K220" s="888"/>
      <c r="L220" s="888"/>
      <c r="M220" s="869"/>
      <c r="N220" s="894"/>
    </row>
    <row r="221" spans="1:14" ht="39" thickBot="1" x14ac:dyDescent="0.3">
      <c r="A221" s="859" t="s">
        <v>614</v>
      </c>
      <c r="B221" s="862" t="s">
        <v>61</v>
      </c>
      <c r="C221" s="861">
        <v>6</v>
      </c>
      <c r="D221" s="864" t="s">
        <v>15</v>
      </c>
      <c r="E221" s="1021">
        <v>400</v>
      </c>
      <c r="F221" s="1021">
        <v>390</v>
      </c>
      <c r="G221" s="1021">
        <v>375.6</v>
      </c>
      <c r="H221" s="895">
        <v>14.4</v>
      </c>
      <c r="I221" s="860" t="s">
        <v>71</v>
      </c>
      <c r="J221" s="864" t="s">
        <v>344</v>
      </c>
      <c r="K221" s="865">
        <v>14</v>
      </c>
      <c r="L221" s="865">
        <v>16</v>
      </c>
      <c r="M221" s="862"/>
      <c r="N221" s="866" t="s">
        <v>615</v>
      </c>
    </row>
    <row r="222" spans="1:14" ht="48" thickBot="1" x14ac:dyDescent="0.3">
      <c r="A222" s="859" t="s">
        <v>616</v>
      </c>
      <c r="B222" s="862" t="s">
        <v>73</v>
      </c>
      <c r="C222" s="861">
        <v>6</v>
      </c>
      <c r="D222" s="864" t="s">
        <v>15</v>
      </c>
      <c r="E222" s="1021">
        <v>170</v>
      </c>
      <c r="F222" s="1021">
        <v>170</v>
      </c>
      <c r="G222" s="1021">
        <v>168.8</v>
      </c>
      <c r="H222" s="895">
        <v>1.2</v>
      </c>
      <c r="I222" s="860" t="s">
        <v>617</v>
      </c>
      <c r="J222" s="864" t="s">
        <v>344</v>
      </c>
      <c r="K222" s="865">
        <v>10</v>
      </c>
      <c r="L222" s="865">
        <v>10</v>
      </c>
      <c r="M222" s="862"/>
      <c r="N222" s="866" t="s">
        <v>618</v>
      </c>
    </row>
    <row r="223" spans="1:14" ht="39" thickBot="1" x14ac:dyDescent="0.3">
      <c r="A223" s="859" t="s">
        <v>619</v>
      </c>
      <c r="B223" s="862" t="s">
        <v>202</v>
      </c>
      <c r="C223" s="861">
        <v>6</v>
      </c>
      <c r="D223" s="864" t="s">
        <v>15</v>
      </c>
      <c r="E223" s="1021">
        <v>25</v>
      </c>
      <c r="F223" s="1021">
        <v>25</v>
      </c>
      <c r="G223" s="1021">
        <v>22.6</v>
      </c>
      <c r="H223" s="895">
        <v>2.4</v>
      </c>
      <c r="I223" s="860" t="s">
        <v>620</v>
      </c>
      <c r="J223" s="864" t="s">
        <v>344</v>
      </c>
      <c r="K223" s="865">
        <v>7</v>
      </c>
      <c r="L223" s="865">
        <v>7</v>
      </c>
      <c r="M223" s="862"/>
      <c r="N223" s="866" t="s">
        <v>605</v>
      </c>
    </row>
    <row r="224" spans="1:14" ht="111" thickBot="1" x14ac:dyDescent="0.3">
      <c r="A224" s="859" t="s">
        <v>621</v>
      </c>
      <c r="B224" s="862" t="s">
        <v>133</v>
      </c>
      <c r="C224" s="861">
        <v>6</v>
      </c>
      <c r="D224" s="864" t="s">
        <v>15</v>
      </c>
      <c r="E224" s="1021">
        <v>310</v>
      </c>
      <c r="F224" s="1021">
        <v>303.60000000000002</v>
      </c>
      <c r="G224" s="1021">
        <v>303.5</v>
      </c>
      <c r="H224" s="895">
        <v>0.1</v>
      </c>
      <c r="I224" s="860" t="s">
        <v>622</v>
      </c>
      <c r="J224" s="864" t="s">
        <v>344</v>
      </c>
      <c r="K224" s="865">
        <v>12</v>
      </c>
      <c r="L224" s="865">
        <v>16</v>
      </c>
      <c r="M224" s="862" t="s">
        <v>623</v>
      </c>
      <c r="N224" s="866" t="s">
        <v>624</v>
      </c>
    </row>
    <row r="225" spans="1:14" ht="144.75" customHeight="1" x14ac:dyDescent="0.25">
      <c r="A225" s="859" t="s">
        <v>625</v>
      </c>
      <c r="B225" s="862" t="s">
        <v>626</v>
      </c>
      <c r="C225" s="861"/>
      <c r="D225" s="864"/>
      <c r="E225" s="1016">
        <f>SUM(E226:E228)</f>
        <v>138.80000000000001</v>
      </c>
      <c r="F225" s="1016">
        <f>SUM(F226:F228)</f>
        <v>128.69999999999999</v>
      </c>
      <c r="G225" s="1016">
        <f>SUM(G226:G228)</f>
        <v>82.1</v>
      </c>
      <c r="H225" s="863">
        <f>SUM(H226:H228)</f>
        <v>46.599999999999994</v>
      </c>
      <c r="I225" s="860" t="s">
        <v>77</v>
      </c>
      <c r="J225" s="864" t="s">
        <v>344</v>
      </c>
      <c r="K225" s="865">
        <v>2</v>
      </c>
      <c r="L225" s="865">
        <v>1</v>
      </c>
      <c r="M225" s="862"/>
      <c r="N225" s="866" t="s">
        <v>627</v>
      </c>
    </row>
    <row r="226" spans="1:14" ht="31.5" x14ac:dyDescent="0.25">
      <c r="A226" s="891"/>
      <c r="B226" s="869"/>
      <c r="C226" s="893"/>
      <c r="D226" s="887"/>
      <c r="E226" s="1018">
        <v>0</v>
      </c>
      <c r="F226" s="1018">
        <v>0</v>
      </c>
      <c r="G226" s="1018">
        <v>0</v>
      </c>
      <c r="H226" s="870">
        <v>0</v>
      </c>
      <c r="I226" s="892" t="s">
        <v>628</v>
      </c>
      <c r="J226" s="887" t="s">
        <v>344</v>
      </c>
      <c r="K226" s="888">
        <v>5</v>
      </c>
      <c r="L226" s="888">
        <v>5</v>
      </c>
      <c r="M226" s="869"/>
      <c r="N226" s="894" t="s">
        <v>605</v>
      </c>
    </row>
    <row r="227" spans="1:14" x14ac:dyDescent="0.25">
      <c r="A227" s="891"/>
      <c r="B227" s="869"/>
      <c r="C227" s="893">
        <v>6</v>
      </c>
      <c r="D227" s="887" t="s">
        <v>127</v>
      </c>
      <c r="E227" s="1018">
        <v>63.8</v>
      </c>
      <c r="F227" s="1018">
        <v>63.8</v>
      </c>
      <c r="G227" s="1018">
        <v>37.1</v>
      </c>
      <c r="H227" s="870">
        <v>26.7</v>
      </c>
      <c r="I227" s="892"/>
      <c r="J227" s="887"/>
      <c r="K227" s="888"/>
      <c r="L227" s="888"/>
      <c r="M227" s="869"/>
      <c r="N227" s="894"/>
    </row>
    <row r="228" spans="1:14" ht="16.5" thickBot="1" x14ac:dyDescent="0.3">
      <c r="A228" s="891"/>
      <c r="B228" s="869"/>
      <c r="C228" s="893">
        <v>6</v>
      </c>
      <c r="D228" s="887" t="s">
        <v>15</v>
      </c>
      <c r="E228" s="1018">
        <v>75</v>
      </c>
      <c r="F228" s="1018">
        <v>64.900000000000006</v>
      </c>
      <c r="G228" s="1018">
        <v>45</v>
      </c>
      <c r="H228" s="870">
        <v>19.899999999999999</v>
      </c>
      <c r="I228" s="892"/>
      <c r="J228" s="887"/>
      <c r="K228" s="888"/>
      <c r="L228" s="888"/>
      <c r="M228" s="869"/>
      <c r="N228" s="894"/>
    </row>
    <row r="229" spans="1:14" ht="39" thickBot="1" x14ac:dyDescent="0.3">
      <c r="A229" s="859" t="s">
        <v>629</v>
      </c>
      <c r="B229" s="862" t="s">
        <v>630</v>
      </c>
      <c r="C229" s="861">
        <v>6</v>
      </c>
      <c r="D229" s="864" t="s">
        <v>15</v>
      </c>
      <c r="E229" s="1021">
        <v>100</v>
      </c>
      <c r="F229" s="1021">
        <v>74.5</v>
      </c>
      <c r="G229" s="1021">
        <v>74.5</v>
      </c>
      <c r="H229" s="895">
        <v>0</v>
      </c>
      <c r="I229" s="860" t="s">
        <v>343</v>
      </c>
      <c r="J229" s="864" t="s">
        <v>344</v>
      </c>
      <c r="K229" s="865">
        <v>33</v>
      </c>
      <c r="L229" s="865">
        <v>33</v>
      </c>
      <c r="M229" s="862"/>
      <c r="N229" s="866" t="s">
        <v>631</v>
      </c>
    </row>
    <row r="230" spans="1:14" ht="38.25" x14ac:dyDescent="0.25">
      <c r="A230" s="859" t="s">
        <v>632</v>
      </c>
      <c r="B230" s="862" t="s">
        <v>633</v>
      </c>
      <c r="C230" s="861"/>
      <c r="D230" s="864"/>
      <c r="E230" s="1016">
        <f>SUM(E231:E232)</f>
        <v>0</v>
      </c>
      <c r="F230" s="1016">
        <f>SUM(F231:F232)</f>
        <v>49.199999999999996</v>
      </c>
      <c r="G230" s="1016">
        <f>SUM(G231:G232)</f>
        <v>39.599999999999994</v>
      </c>
      <c r="H230" s="863">
        <f>SUM(H231:H232)</f>
        <v>9.6</v>
      </c>
      <c r="I230" s="860" t="s">
        <v>69</v>
      </c>
      <c r="J230" s="864" t="s">
        <v>344</v>
      </c>
      <c r="K230" s="865">
        <v>2</v>
      </c>
      <c r="L230" s="865">
        <v>2</v>
      </c>
      <c r="M230" s="862"/>
      <c r="N230" s="866" t="s">
        <v>634</v>
      </c>
    </row>
    <row r="231" spans="1:14" x14ac:dyDescent="0.25">
      <c r="A231" s="891"/>
      <c r="B231" s="869"/>
      <c r="C231" s="893">
        <v>6</v>
      </c>
      <c r="D231" s="887" t="s">
        <v>15</v>
      </c>
      <c r="E231" s="1018">
        <v>0</v>
      </c>
      <c r="F231" s="1018">
        <v>16.399999999999999</v>
      </c>
      <c r="G231" s="1018">
        <v>16.399999999999999</v>
      </c>
      <c r="H231" s="870">
        <v>0</v>
      </c>
      <c r="I231" s="892"/>
      <c r="J231" s="887"/>
      <c r="K231" s="888"/>
      <c r="L231" s="888"/>
      <c r="M231" s="869"/>
      <c r="N231" s="894"/>
    </row>
    <row r="232" spans="1:14" ht="16.5" thickBot="1" x14ac:dyDescent="0.3">
      <c r="A232" s="891"/>
      <c r="B232" s="869"/>
      <c r="C232" s="893">
        <v>6</v>
      </c>
      <c r="D232" s="887" t="s">
        <v>18</v>
      </c>
      <c r="E232" s="1018">
        <v>0</v>
      </c>
      <c r="F232" s="1018">
        <v>32.799999999999997</v>
      </c>
      <c r="G232" s="1018">
        <v>23.2</v>
      </c>
      <c r="H232" s="870">
        <v>9.6</v>
      </c>
      <c r="I232" s="892"/>
      <c r="J232" s="887"/>
      <c r="K232" s="888"/>
      <c r="L232" s="888"/>
      <c r="M232" s="869"/>
      <c r="N232" s="894"/>
    </row>
    <row r="233" spans="1:14" ht="26.25" thickBot="1" x14ac:dyDescent="0.3">
      <c r="A233" s="859" t="s">
        <v>635</v>
      </c>
      <c r="B233" s="862" t="s">
        <v>37</v>
      </c>
      <c r="C233" s="861"/>
      <c r="D233" s="864"/>
      <c r="E233" s="1016">
        <f>SUM(E234:E234)</f>
        <v>31.3</v>
      </c>
      <c r="F233" s="1016">
        <f>SUM(F234:F234)</f>
        <v>31.3</v>
      </c>
      <c r="G233" s="1016">
        <f>SUM(G234:G234)</f>
        <v>28.1</v>
      </c>
      <c r="H233" s="863">
        <f>SUM(H234:H234)</f>
        <v>3.2</v>
      </c>
      <c r="I233" s="860"/>
      <c r="J233" s="864"/>
      <c r="K233" s="865"/>
      <c r="L233" s="865"/>
      <c r="M233" s="862"/>
      <c r="N233" s="866"/>
    </row>
    <row r="234" spans="1:14" ht="79.5" thickBot="1" x14ac:dyDescent="0.3">
      <c r="A234" s="859" t="s">
        <v>636</v>
      </c>
      <c r="B234" s="862" t="s">
        <v>297</v>
      </c>
      <c r="C234" s="861">
        <v>2</v>
      </c>
      <c r="D234" s="864" t="s">
        <v>15</v>
      </c>
      <c r="E234" s="1021">
        <v>31.3</v>
      </c>
      <c r="F234" s="1021">
        <v>31.3</v>
      </c>
      <c r="G234" s="1021">
        <v>28.1</v>
      </c>
      <c r="H234" s="895">
        <v>3.2</v>
      </c>
      <c r="I234" s="860" t="s">
        <v>72</v>
      </c>
      <c r="J234" s="864" t="s">
        <v>344</v>
      </c>
      <c r="K234" s="865">
        <v>300</v>
      </c>
      <c r="L234" s="865">
        <v>324</v>
      </c>
      <c r="M234" s="862"/>
      <c r="N234" s="866" t="s">
        <v>637</v>
      </c>
    </row>
    <row r="235" spans="1:14" ht="48" thickBot="1" x14ac:dyDescent="0.3">
      <c r="A235" s="859" t="s">
        <v>638</v>
      </c>
      <c r="B235" s="862" t="s">
        <v>88</v>
      </c>
      <c r="C235" s="861"/>
      <c r="D235" s="864"/>
      <c r="E235" s="1016">
        <f>SUM(E236:E236)</f>
        <v>35</v>
      </c>
      <c r="F235" s="1016">
        <f>SUM(F236:F236)</f>
        <v>1.5</v>
      </c>
      <c r="G235" s="1016">
        <f>SUM(G236:G236)</f>
        <v>1.5</v>
      </c>
      <c r="H235" s="863">
        <f>SUM(H236:H236)</f>
        <v>0</v>
      </c>
      <c r="I235" s="860"/>
      <c r="J235" s="864"/>
      <c r="K235" s="865"/>
      <c r="L235" s="865"/>
      <c r="M235" s="862"/>
      <c r="N235" s="866"/>
    </row>
    <row r="236" spans="1:14" ht="79.5" thickBot="1" x14ac:dyDescent="0.3">
      <c r="A236" s="859" t="s">
        <v>639</v>
      </c>
      <c r="B236" s="862" t="s">
        <v>88</v>
      </c>
      <c r="C236" s="861">
        <v>2</v>
      </c>
      <c r="D236" s="864" t="s">
        <v>15</v>
      </c>
      <c r="E236" s="1021">
        <v>35</v>
      </c>
      <c r="F236" s="1021">
        <v>1.5</v>
      </c>
      <c r="G236" s="1021">
        <v>1.5</v>
      </c>
      <c r="H236" s="895">
        <v>0</v>
      </c>
      <c r="I236" s="860" t="s">
        <v>640</v>
      </c>
      <c r="J236" s="864" t="s">
        <v>336</v>
      </c>
      <c r="K236" s="865">
        <v>2</v>
      </c>
      <c r="L236" s="865">
        <v>1</v>
      </c>
      <c r="M236" s="862"/>
      <c r="N236" s="866" t="s">
        <v>641</v>
      </c>
    </row>
    <row r="237" spans="1:14" ht="32.25" thickBot="1" x14ac:dyDescent="0.3">
      <c r="A237" s="859" t="s">
        <v>642</v>
      </c>
      <c r="B237" s="862" t="s">
        <v>643</v>
      </c>
      <c r="C237" s="861"/>
      <c r="D237" s="864"/>
      <c r="E237" s="1016">
        <f>E238+E241+E243+E250+E253</f>
        <v>2630.1</v>
      </c>
      <c r="F237" s="1016">
        <f>F238+F241+F243+F250+F253</f>
        <v>2481.5</v>
      </c>
      <c r="G237" s="1016">
        <f>G238+G241+G243+G250+G253</f>
        <v>2206.5</v>
      </c>
      <c r="H237" s="863">
        <f>H238+H241+H243+H250+H253</f>
        <v>275</v>
      </c>
      <c r="I237" s="860"/>
      <c r="J237" s="864"/>
      <c r="K237" s="865"/>
      <c r="L237" s="865"/>
      <c r="M237" s="862"/>
      <c r="N237" s="866"/>
    </row>
    <row r="238" spans="1:14" ht="38.25" x14ac:dyDescent="0.25">
      <c r="A238" s="859" t="s">
        <v>644</v>
      </c>
      <c r="B238" s="862" t="s">
        <v>645</v>
      </c>
      <c r="C238" s="861"/>
      <c r="D238" s="864"/>
      <c r="E238" s="1016">
        <f>SUM(E239:E240)</f>
        <v>2104.9</v>
      </c>
      <c r="F238" s="1016">
        <f>SUM(F239:F240)</f>
        <v>2036.1</v>
      </c>
      <c r="G238" s="1016">
        <f>SUM(G239:G240)</f>
        <v>2017.8</v>
      </c>
      <c r="H238" s="863">
        <f>SUM(H239:H240)</f>
        <v>18.3</v>
      </c>
      <c r="I238" s="860" t="s">
        <v>646</v>
      </c>
      <c r="J238" s="864" t="s">
        <v>336</v>
      </c>
      <c r="K238" s="865">
        <v>92</v>
      </c>
      <c r="L238" s="865">
        <v>92</v>
      </c>
      <c r="M238" s="862"/>
      <c r="N238" s="866" t="s">
        <v>602</v>
      </c>
    </row>
    <row r="239" spans="1:14" x14ac:dyDescent="0.25">
      <c r="A239" s="891"/>
      <c r="B239" s="869"/>
      <c r="C239" s="893">
        <v>6</v>
      </c>
      <c r="D239" s="887" t="s">
        <v>127</v>
      </c>
      <c r="E239" s="1018">
        <v>382.8</v>
      </c>
      <c r="F239" s="1018">
        <v>382.8</v>
      </c>
      <c r="G239" s="1018">
        <v>382.8</v>
      </c>
      <c r="H239" s="870">
        <v>0</v>
      </c>
      <c r="I239" s="892"/>
      <c r="J239" s="887"/>
      <c r="K239" s="888"/>
      <c r="L239" s="888"/>
      <c r="M239" s="869"/>
      <c r="N239" s="894"/>
    </row>
    <row r="240" spans="1:14" ht="16.5" thickBot="1" x14ac:dyDescent="0.3">
      <c r="A240" s="891"/>
      <c r="B240" s="869"/>
      <c r="C240" s="893">
        <v>6</v>
      </c>
      <c r="D240" s="887" t="s">
        <v>15</v>
      </c>
      <c r="E240" s="1018">
        <v>1722.1</v>
      </c>
      <c r="F240" s="1018">
        <v>1653.3</v>
      </c>
      <c r="G240" s="1018">
        <v>1635</v>
      </c>
      <c r="H240" s="870">
        <v>18.3</v>
      </c>
      <c r="I240" s="892"/>
      <c r="J240" s="887"/>
      <c r="K240" s="888"/>
      <c r="L240" s="888"/>
      <c r="M240" s="869"/>
      <c r="N240" s="894"/>
    </row>
    <row r="241" spans="1:15" ht="63" x14ac:dyDescent="0.25">
      <c r="A241" s="859" t="s">
        <v>647</v>
      </c>
      <c r="B241" s="862" t="s">
        <v>137</v>
      </c>
      <c r="C241" s="861">
        <v>6</v>
      </c>
      <c r="D241" s="864" t="s">
        <v>15</v>
      </c>
      <c r="E241" s="1016">
        <f>SUM(E242:E242)+95.3</f>
        <v>95.3</v>
      </c>
      <c r="F241" s="1016">
        <f>SUM(F242:F242)+96.3</f>
        <v>96.3</v>
      </c>
      <c r="G241" s="1016">
        <f>SUM(G242:G242)+92</f>
        <v>92</v>
      </c>
      <c r="H241" s="863">
        <f>SUM(H242:H242)+4.3</f>
        <v>4.3</v>
      </c>
      <c r="I241" s="860" t="s">
        <v>648</v>
      </c>
      <c r="J241" s="864" t="s">
        <v>344</v>
      </c>
      <c r="K241" s="865">
        <v>59</v>
      </c>
      <c r="L241" s="865">
        <v>79</v>
      </c>
      <c r="M241" s="862"/>
      <c r="N241" s="866" t="s">
        <v>602</v>
      </c>
    </row>
    <row r="242" spans="1:15" ht="63.75" thickBot="1" x14ac:dyDescent="0.3">
      <c r="A242" s="891"/>
      <c r="B242" s="869"/>
      <c r="C242" s="893"/>
      <c r="D242" s="887"/>
      <c r="E242" s="1018">
        <v>0</v>
      </c>
      <c r="F242" s="1018">
        <v>0</v>
      </c>
      <c r="G242" s="1018">
        <v>0</v>
      </c>
      <c r="H242" s="870">
        <v>0</v>
      </c>
      <c r="I242" s="892" t="s">
        <v>649</v>
      </c>
      <c r="J242" s="887" t="s">
        <v>344</v>
      </c>
      <c r="K242" s="888">
        <v>20</v>
      </c>
      <c r="L242" s="888">
        <v>20</v>
      </c>
      <c r="M242" s="869"/>
      <c r="N242" s="894" t="s">
        <v>605</v>
      </c>
    </row>
    <row r="243" spans="1:15" ht="63" x14ac:dyDescent="0.25">
      <c r="A243" s="859" t="s">
        <v>650</v>
      </c>
      <c r="B243" s="862" t="s">
        <v>651</v>
      </c>
      <c r="C243" s="861"/>
      <c r="D243" s="864"/>
      <c r="E243" s="1016">
        <f>SUM(E244:E249)</f>
        <v>184.2</v>
      </c>
      <c r="F243" s="1016">
        <f>SUM(F244:F249)</f>
        <v>104.4</v>
      </c>
      <c r="G243" s="1016">
        <f>SUM(G244:G249)</f>
        <v>85</v>
      </c>
      <c r="H243" s="863">
        <f>SUM(H244:H249)</f>
        <v>19.399999999999999</v>
      </c>
      <c r="I243" s="860" t="s">
        <v>529</v>
      </c>
      <c r="J243" s="864" t="s">
        <v>344</v>
      </c>
      <c r="K243" s="865">
        <v>4</v>
      </c>
      <c r="L243" s="865">
        <v>2</v>
      </c>
      <c r="M243" s="862" t="s">
        <v>652</v>
      </c>
      <c r="N243" s="866" t="s">
        <v>653</v>
      </c>
    </row>
    <row r="244" spans="1:15" x14ac:dyDescent="0.25">
      <c r="A244" s="891"/>
      <c r="B244" s="869"/>
      <c r="C244" s="893">
        <v>2</v>
      </c>
      <c r="D244" s="887" t="s">
        <v>15</v>
      </c>
      <c r="E244" s="1018">
        <v>0</v>
      </c>
      <c r="F244" s="1018">
        <v>14</v>
      </c>
      <c r="G244" s="1018">
        <v>7.9</v>
      </c>
      <c r="H244" s="870">
        <v>6.1</v>
      </c>
      <c r="I244" s="892"/>
      <c r="J244" s="887"/>
      <c r="K244" s="888"/>
      <c r="L244" s="888"/>
      <c r="M244" s="869"/>
      <c r="N244" s="894"/>
      <c r="O244" s="1547"/>
    </row>
    <row r="245" spans="1:15" x14ac:dyDescent="0.25">
      <c r="A245" s="891"/>
      <c r="B245" s="869"/>
      <c r="C245" s="893">
        <v>6</v>
      </c>
      <c r="D245" s="887" t="s">
        <v>127</v>
      </c>
      <c r="E245" s="1018">
        <v>6</v>
      </c>
      <c r="F245" s="1018">
        <v>6</v>
      </c>
      <c r="G245" s="1018">
        <v>6</v>
      </c>
      <c r="H245" s="870">
        <v>0</v>
      </c>
      <c r="I245" s="892"/>
      <c r="J245" s="887"/>
      <c r="K245" s="888"/>
      <c r="L245" s="888"/>
      <c r="M245" s="869"/>
      <c r="N245" s="894"/>
    </row>
    <row r="246" spans="1:15" x14ac:dyDescent="0.25">
      <c r="A246" s="891"/>
      <c r="B246" s="869"/>
      <c r="C246" s="893">
        <v>6</v>
      </c>
      <c r="D246" s="887" t="s">
        <v>15</v>
      </c>
      <c r="E246" s="1018">
        <v>35.200000000000003</v>
      </c>
      <c r="F246" s="1018">
        <v>21.2</v>
      </c>
      <c r="G246" s="1018">
        <v>7.9</v>
      </c>
      <c r="H246" s="870">
        <v>13.3</v>
      </c>
      <c r="I246" s="892"/>
      <c r="J246" s="887"/>
      <c r="K246" s="888"/>
      <c r="L246" s="888"/>
      <c r="M246" s="869"/>
      <c r="N246" s="894"/>
    </row>
    <row r="247" spans="1:15" x14ac:dyDescent="0.25">
      <c r="A247" s="891"/>
      <c r="B247" s="869"/>
      <c r="C247" s="893">
        <v>6</v>
      </c>
      <c r="D247" s="887" t="s">
        <v>18</v>
      </c>
      <c r="E247" s="1018">
        <v>143</v>
      </c>
      <c r="F247" s="1018">
        <v>0</v>
      </c>
      <c r="G247" s="1018">
        <v>0</v>
      </c>
      <c r="H247" s="870">
        <v>0</v>
      </c>
      <c r="I247" s="892"/>
      <c r="J247" s="887"/>
      <c r="K247" s="888"/>
      <c r="L247" s="888"/>
      <c r="M247" s="869"/>
      <c r="N247" s="894"/>
    </row>
    <row r="248" spans="1:15" x14ac:dyDescent="0.25">
      <c r="A248" s="891"/>
      <c r="B248" s="869"/>
      <c r="C248" s="893">
        <v>6</v>
      </c>
      <c r="D248" s="887" t="s">
        <v>3</v>
      </c>
      <c r="E248" s="1018">
        <v>0</v>
      </c>
      <c r="F248" s="1018">
        <v>31.6</v>
      </c>
      <c r="G248" s="1018">
        <v>31.6</v>
      </c>
      <c r="H248" s="870">
        <v>0</v>
      </c>
      <c r="I248" s="892"/>
      <c r="J248" s="887"/>
      <c r="K248" s="888"/>
      <c r="L248" s="888"/>
      <c r="M248" s="869"/>
      <c r="N248" s="894"/>
    </row>
    <row r="249" spans="1:15" ht="16.5" thickBot="1" x14ac:dyDescent="0.3">
      <c r="A249" s="891"/>
      <c r="B249" s="869"/>
      <c r="C249" s="893">
        <v>2</v>
      </c>
      <c r="D249" s="887" t="s">
        <v>3</v>
      </c>
      <c r="E249" s="1018">
        <v>0</v>
      </c>
      <c r="F249" s="1018">
        <v>31.6</v>
      </c>
      <c r="G249" s="1018">
        <v>31.6</v>
      </c>
      <c r="H249" s="870">
        <v>0</v>
      </c>
      <c r="I249" s="892"/>
      <c r="J249" s="887"/>
      <c r="K249" s="888"/>
      <c r="L249" s="888"/>
      <c r="M249" s="869"/>
      <c r="N249" s="894"/>
    </row>
    <row r="250" spans="1:15" ht="126" x14ac:dyDescent="0.25">
      <c r="A250" s="859" t="s">
        <v>654</v>
      </c>
      <c r="B250" s="862" t="s">
        <v>655</v>
      </c>
      <c r="C250" s="861"/>
      <c r="D250" s="864"/>
      <c r="E250" s="1016">
        <f>SUM(E251:E252)</f>
        <v>242.1</v>
      </c>
      <c r="F250" s="1016">
        <f>SUM(F251:F252)</f>
        <v>242.1</v>
      </c>
      <c r="G250" s="1016">
        <f>SUM(G251:G252)</f>
        <v>11.7</v>
      </c>
      <c r="H250" s="863">
        <f>SUM(H251:H252)</f>
        <v>230.4</v>
      </c>
      <c r="I250" s="860" t="s">
        <v>540</v>
      </c>
      <c r="J250" s="864" t="s">
        <v>332</v>
      </c>
      <c r="K250" s="865">
        <v>30</v>
      </c>
      <c r="L250" s="865">
        <v>1</v>
      </c>
      <c r="M250" s="862"/>
      <c r="N250" s="866" t="s">
        <v>656</v>
      </c>
    </row>
    <row r="251" spans="1:15" x14ac:dyDescent="0.25">
      <c r="A251" s="891"/>
      <c r="B251" s="869"/>
      <c r="C251" s="893">
        <v>6</v>
      </c>
      <c r="D251" s="887" t="s">
        <v>127</v>
      </c>
      <c r="E251" s="1018">
        <v>5</v>
      </c>
      <c r="F251" s="1018">
        <v>5</v>
      </c>
      <c r="G251" s="1018">
        <v>4.5999999999999996</v>
      </c>
      <c r="H251" s="870">
        <v>0.4</v>
      </c>
      <c r="I251" s="892"/>
      <c r="J251" s="887"/>
      <c r="K251" s="888"/>
      <c r="L251" s="888"/>
      <c r="M251" s="869"/>
      <c r="N251" s="894"/>
    </row>
    <row r="252" spans="1:15" ht="16.5" thickBot="1" x14ac:dyDescent="0.3">
      <c r="A252" s="891"/>
      <c r="B252" s="869"/>
      <c r="C252" s="893">
        <v>5</v>
      </c>
      <c r="D252" s="887" t="s">
        <v>15</v>
      </c>
      <c r="E252" s="1018">
        <v>237.1</v>
      </c>
      <c r="F252" s="1018">
        <v>237.1</v>
      </c>
      <c r="G252" s="1018">
        <v>7.1</v>
      </c>
      <c r="H252" s="870">
        <v>230</v>
      </c>
      <c r="I252" s="892"/>
      <c r="J252" s="887"/>
      <c r="K252" s="888"/>
      <c r="L252" s="888"/>
      <c r="M252" s="869"/>
      <c r="N252" s="894"/>
    </row>
    <row r="253" spans="1:15" ht="174" thickBot="1" x14ac:dyDescent="0.3">
      <c r="A253" s="901" t="s">
        <v>657</v>
      </c>
      <c r="B253" s="904" t="s">
        <v>658</v>
      </c>
      <c r="C253" s="903">
        <v>6</v>
      </c>
      <c r="D253" s="906" t="s">
        <v>15</v>
      </c>
      <c r="E253" s="1027">
        <v>3.6</v>
      </c>
      <c r="F253" s="1027">
        <v>2.6</v>
      </c>
      <c r="G253" s="1027">
        <v>0</v>
      </c>
      <c r="H253" s="905">
        <v>2.6</v>
      </c>
      <c r="I253" s="902" t="s">
        <v>343</v>
      </c>
      <c r="J253" s="906" t="s">
        <v>344</v>
      </c>
      <c r="K253" s="907">
        <v>1</v>
      </c>
      <c r="L253" s="907">
        <v>0</v>
      </c>
      <c r="M253" s="904"/>
      <c r="N253" s="908" t="s">
        <v>659</v>
      </c>
    </row>
    <row r="254" spans="1:15" x14ac:dyDescent="0.25">
      <c r="A254" s="909"/>
      <c r="B254" s="912"/>
      <c r="C254" s="911"/>
      <c r="D254" s="914"/>
      <c r="E254" s="1028"/>
      <c r="F254" s="1028"/>
      <c r="G254" s="1028"/>
      <c r="H254" s="913"/>
      <c r="I254" s="910"/>
      <c r="J254" s="914"/>
      <c r="K254" s="915"/>
      <c r="L254" s="915"/>
      <c r="M254" s="912"/>
      <c r="N254" s="912"/>
    </row>
    <row r="255" spans="1:15" x14ac:dyDescent="0.25">
      <c r="A255" s="909"/>
      <c r="B255" s="912"/>
      <c r="C255" s="911"/>
      <c r="D255" s="914"/>
      <c r="E255" s="1028"/>
      <c r="F255" s="1028"/>
      <c r="G255" s="1028"/>
      <c r="H255" s="913"/>
      <c r="I255" s="910"/>
      <c r="J255" s="914"/>
      <c r="K255" s="915"/>
      <c r="L255" s="915"/>
      <c r="M255" s="912"/>
      <c r="N255" s="912"/>
    </row>
    <row r="256" spans="1:15" x14ac:dyDescent="0.25">
      <c r="A256" s="909"/>
      <c r="B256" s="912"/>
      <c r="C256" s="911"/>
      <c r="D256" s="914"/>
      <c r="E256" s="1028"/>
      <c r="F256" s="1028"/>
      <c r="G256" s="1028"/>
      <c r="H256" s="913"/>
      <c r="I256" s="910"/>
      <c r="J256" s="914"/>
      <c r="K256" s="915"/>
      <c r="L256" s="915"/>
      <c r="M256" s="912"/>
      <c r="N256" s="912"/>
    </row>
    <row r="257" spans="1:14" x14ac:dyDescent="0.25">
      <c r="A257" s="909"/>
      <c r="B257" s="912"/>
      <c r="C257" s="911"/>
      <c r="D257" s="914"/>
      <c r="E257" s="1028"/>
      <c r="F257" s="1028"/>
      <c r="G257" s="1028"/>
      <c r="H257" s="913"/>
      <c r="I257" s="910"/>
      <c r="J257" s="914"/>
      <c r="K257" s="915"/>
      <c r="L257" s="915"/>
      <c r="M257" s="912"/>
      <c r="N257" s="912"/>
    </row>
    <row r="258" spans="1:14" x14ac:dyDescent="0.25">
      <c r="A258" s="909"/>
      <c r="B258" s="912"/>
      <c r="C258" s="911"/>
      <c r="D258" s="914"/>
      <c r="E258" s="1028"/>
      <c r="F258" s="1028"/>
      <c r="G258" s="1028"/>
      <c r="H258" s="913"/>
      <c r="I258" s="910"/>
      <c r="J258" s="914"/>
      <c r="K258" s="915"/>
      <c r="L258" s="915"/>
      <c r="M258" s="912"/>
      <c r="N258" s="912"/>
    </row>
    <row r="259" spans="1:14" ht="189" x14ac:dyDescent="0.25">
      <c r="A259" s="916" t="s">
        <v>313</v>
      </c>
      <c r="B259" s="1131" t="s">
        <v>314</v>
      </c>
      <c r="C259" s="917" t="s">
        <v>317</v>
      </c>
      <c r="D259" s="916" t="s">
        <v>318</v>
      </c>
      <c r="E259" s="1001" t="s">
        <v>319</v>
      </c>
      <c r="F259" s="1001" t="s">
        <v>320</v>
      </c>
    </row>
    <row r="260" spans="1:14" x14ac:dyDescent="0.25">
      <c r="A260" s="920" t="s">
        <v>4</v>
      </c>
      <c r="B260" s="869" t="s">
        <v>660</v>
      </c>
      <c r="C260" s="921">
        <v>0</v>
      </c>
      <c r="D260" s="981">
        <v>21.1</v>
      </c>
      <c r="E260" s="1018">
        <v>15.3</v>
      </c>
      <c r="F260" s="1018">
        <v>5.8</v>
      </c>
    </row>
    <row r="261" spans="1:14" ht="31.5" x14ac:dyDescent="0.25">
      <c r="A261" s="920" t="s">
        <v>265</v>
      </c>
      <c r="B261" s="869" t="s">
        <v>661</v>
      </c>
      <c r="C261" s="921">
        <v>12</v>
      </c>
      <c r="D261" s="981">
        <v>12</v>
      </c>
      <c r="E261" s="1018">
        <v>7.3</v>
      </c>
      <c r="F261" s="1018">
        <v>4.7</v>
      </c>
    </row>
    <row r="262" spans="1:14" ht="47.25" x14ac:dyDescent="0.25">
      <c r="A262" s="920" t="s">
        <v>127</v>
      </c>
      <c r="B262" s="869" t="s">
        <v>662</v>
      </c>
      <c r="C262" s="921">
        <v>1025.2</v>
      </c>
      <c r="D262" s="981">
        <v>1855.1</v>
      </c>
      <c r="E262" s="1018">
        <v>971.5</v>
      </c>
      <c r="F262" s="1018">
        <v>883.6</v>
      </c>
    </row>
    <row r="263" spans="1:14" x14ac:dyDescent="0.25">
      <c r="A263" s="920" t="s">
        <v>271</v>
      </c>
      <c r="B263" s="869" t="s">
        <v>663</v>
      </c>
      <c r="C263" s="921">
        <v>2900</v>
      </c>
      <c r="D263" s="981">
        <v>96.2</v>
      </c>
      <c r="E263" s="1018">
        <v>96.2</v>
      </c>
      <c r="F263" s="1018">
        <v>0</v>
      </c>
    </row>
    <row r="264" spans="1:14" ht="25.5" x14ac:dyDescent="0.25">
      <c r="A264" s="920" t="s">
        <v>45</v>
      </c>
      <c r="B264" s="869" t="s">
        <v>664</v>
      </c>
      <c r="C264" s="921">
        <v>5544.9</v>
      </c>
      <c r="D264" s="981">
        <v>5544.9</v>
      </c>
      <c r="E264" s="1018">
        <v>5020.1000000000004</v>
      </c>
      <c r="F264" s="1018">
        <v>524.79999999999995</v>
      </c>
    </row>
    <row r="265" spans="1:14" ht="25.5" x14ac:dyDescent="0.25">
      <c r="A265" s="920" t="s">
        <v>79</v>
      </c>
      <c r="B265" s="869" t="s">
        <v>665</v>
      </c>
      <c r="C265" s="921">
        <v>482.3</v>
      </c>
      <c r="D265" s="981">
        <v>482.3</v>
      </c>
      <c r="E265" s="1018">
        <v>482</v>
      </c>
      <c r="F265" s="1018">
        <v>0.3</v>
      </c>
    </row>
    <row r="266" spans="1:14" ht="31.5" x14ac:dyDescent="0.25">
      <c r="A266" s="920" t="s">
        <v>18</v>
      </c>
      <c r="B266" s="869" t="s">
        <v>666</v>
      </c>
      <c r="C266" s="921">
        <v>40818.6</v>
      </c>
      <c r="D266" s="981">
        <v>41711.9</v>
      </c>
      <c r="E266" s="1018">
        <v>41688.300000000003</v>
      </c>
      <c r="F266" s="1018">
        <v>23.6</v>
      </c>
    </row>
    <row r="267" spans="1:14" x14ac:dyDescent="0.25">
      <c r="A267" s="920" t="s">
        <v>63</v>
      </c>
      <c r="B267" s="869" t="s">
        <v>667</v>
      </c>
      <c r="C267" s="921">
        <v>0</v>
      </c>
      <c r="D267" s="981">
        <v>845.4</v>
      </c>
      <c r="E267" s="1018">
        <v>429.4</v>
      </c>
      <c r="F267" s="1018">
        <v>416.1</v>
      </c>
    </row>
    <row r="268" spans="1:14" x14ac:dyDescent="0.25">
      <c r="A268" s="920" t="s">
        <v>3</v>
      </c>
      <c r="B268" s="869" t="s">
        <v>668</v>
      </c>
      <c r="C268" s="921">
        <v>0</v>
      </c>
      <c r="D268" s="981">
        <v>82.8</v>
      </c>
      <c r="E268" s="1018">
        <v>81.2</v>
      </c>
      <c r="F268" s="1018">
        <v>1.7</v>
      </c>
    </row>
    <row r="269" spans="1:14" x14ac:dyDescent="0.25">
      <c r="A269" s="920" t="s">
        <v>15</v>
      </c>
      <c r="B269" s="869" t="s">
        <v>669</v>
      </c>
      <c r="C269" s="921">
        <v>38535.9</v>
      </c>
      <c r="D269" s="981">
        <v>39085.4</v>
      </c>
      <c r="E269" s="1018">
        <v>37600.5</v>
      </c>
      <c r="F269" s="1018">
        <v>1484.9</v>
      </c>
    </row>
    <row r="270" spans="1:14" ht="31.5" x14ac:dyDescent="0.25">
      <c r="A270" s="920" t="s">
        <v>97</v>
      </c>
      <c r="B270" s="869" t="s">
        <v>670</v>
      </c>
      <c r="C270" s="921">
        <v>1340</v>
      </c>
      <c r="D270" s="981">
        <v>1572.9</v>
      </c>
      <c r="E270" s="1018">
        <v>1240.0999999999999</v>
      </c>
      <c r="F270" s="1018">
        <v>332.8</v>
      </c>
    </row>
    <row r="271" spans="1:14" x14ac:dyDescent="0.25">
      <c r="A271" s="922"/>
      <c r="B271" s="1132" t="s">
        <v>26</v>
      </c>
      <c r="C271" s="923">
        <f>SUM(C260:C270)</f>
        <v>90658.9</v>
      </c>
      <c r="D271" s="982">
        <f>SUM(D260:D270)</f>
        <v>91310</v>
      </c>
      <c r="E271" s="1030">
        <f>SUM(E260:E270)</f>
        <v>87631.900000000009</v>
      </c>
      <c r="F271" s="1030">
        <f>SUM(F260:F270)</f>
        <v>3678.3</v>
      </c>
    </row>
  </sheetData>
  <mergeCells count="226">
    <mergeCell ref="B180:B182"/>
    <mergeCell ref="C180:C182"/>
    <mergeCell ref="A180:A182"/>
    <mergeCell ref="M180:M182"/>
    <mergeCell ref="N180:N182"/>
    <mergeCell ref="B184:B187"/>
    <mergeCell ref="N184:N187"/>
    <mergeCell ref="A184:A185"/>
    <mergeCell ref="I185:I187"/>
    <mergeCell ref="M173:M175"/>
    <mergeCell ref="N173:N175"/>
    <mergeCell ref="B173:B175"/>
    <mergeCell ref="A173:A175"/>
    <mergeCell ref="C173:C175"/>
    <mergeCell ref="B176:B179"/>
    <mergeCell ref="I177:I179"/>
    <mergeCell ref="J177:J179"/>
    <mergeCell ref="K177:K179"/>
    <mergeCell ref="L177:L179"/>
    <mergeCell ref="A176:A179"/>
    <mergeCell ref="C176:C179"/>
    <mergeCell ref="M176:N176"/>
    <mergeCell ref="M177:N179"/>
    <mergeCell ref="J160:J162"/>
    <mergeCell ref="K160:K162"/>
    <mergeCell ref="L160:L162"/>
    <mergeCell ref="M160:M162"/>
    <mergeCell ref="M165:M166"/>
    <mergeCell ref="N165:N166"/>
    <mergeCell ref="M167:M169"/>
    <mergeCell ref="B167:B169"/>
    <mergeCell ref="A167:A169"/>
    <mergeCell ref="C167:C169"/>
    <mergeCell ref="N167:N169"/>
    <mergeCell ref="I167:I169"/>
    <mergeCell ref="M99:M101"/>
    <mergeCell ref="N99:N101"/>
    <mergeCell ref="N109:N111"/>
    <mergeCell ref="A158:A159"/>
    <mergeCell ref="B158:B159"/>
    <mergeCell ref="N160:N162"/>
    <mergeCell ref="I120:I122"/>
    <mergeCell ref="J120:J122"/>
    <mergeCell ref="K120:K122"/>
    <mergeCell ref="L120:L122"/>
    <mergeCell ref="M120:M122"/>
    <mergeCell ref="N120:N122"/>
    <mergeCell ref="A144:A145"/>
    <mergeCell ref="B144:B145"/>
    <mergeCell ref="C144:C145"/>
    <mergeCell ref="D144:D145"/>
    <mergeCell ref="E144:E145"/>
    <mergeCell ref="F144:F145"/>
    <mergeCell ref="G144:G145"/>
    <mergeCell ref="A160:A162"/>
    <mergeCell ref="B160:B162"/>
    <mergeCell ref="C160:C162"/>
    <mergeCell ref="I160:I162"/>
    <mergeCell ref="B150:B154"/>
    <mergeCell ref="A150:A154"/>
    <mergeCell ref="I151:I154"/>
    <mergeCell ref="J151:J154"/>
    <mergeCell ref="K151:K154"/>
    <mergeCell ref="L151:L154"/>
    <mergeCell ref="M151:M154"/>
    <mergeCell ref="N151:N154"/>
    <mergeCell ref="A155:A157"/>
    <mergeCell ref="B155:B157"/>
    <mergeCell ref="C150:C154"/>
    <mergeCell ref="C155:C157"/>
    <mergeCell ref="I155:I157"/>
    <mergeCell ref="J155:J157"/>
    <mergeCell ref="N155:N157"/>
    <mergeCell ref="M155:M157"/>
    <mergeCell ref="K155:K157"/>
    <mergeCell ref="L155:L157"/>
    <mergeCell ref="C133:C134"/>
    <mergeCell ref="A138:A139"/>
    <mergeCell ref="B138:B139"/>
    <mergeCell ref="C138:C139"/>
    <mergeCell ref="M125:M127"/>
    <mergeCell ref="N125:N127"/>
    <mergeCell ref="A129:A131"/>
    <mergeCell ref="B129:B131"/>
    <mergeCell ref="I129:I131"/>
    <mergeCell ref="J129:J131"/>
    <mergeCell ref="K129:K131"/>
    <mergeCell ref="L129:L131"/>
    <mergeCell ref="M129:M131"/>
    <mergeCell ref="N129:N131"/>
    <mergeCell ref="G1:G3"/>
    <mergeCell ref="H1:H3"/>
    <mergeCell ref="I1:N1"/>
    <mergeCell ref="I2:I3"/>
    <mergeCell ref="J2:J3"/>
    <mergeCell ref="K2:L2"/>
    <mergeCell ref="M2:M3"/>
    <mergeCell ref="N2:N3"/>
    <mergeCell ref="A1:A3"/>
    <mergeCell ref="B1:B3"/>
    <mergeCell ref="C1:C3"/>
    <mergeCell ref="D1:D3"/>
    <mergeCell ref="E1:E3"/>
    <mergeCell ref="F1:F3"/>
    <mergeCell ref="A27:A28"/>
    <mergeCell ref="B27:B28"/>
    <mergeCell ref="A36:A42"/>
    <mergeCell ref="B36:B42"/>
    <mergeCell ref="C36:C42"/>
    <mergeCell ref="M36:M42"/>
    <mergeCell ref="A12:A13"/>
    <mergeCell ref="B12:B14"/>
    <mergeCell ref="N13:N14"/>
    <mergeCell ref="B21:B22"/>
    <mergeCell ref="B23:B24"/>
    <mergeCell ref="B25:B26"/>
    <mergeCell ref="I45:I52"/>
    <mergeCell ref="J45:J52"/>
    <mergeCell ref="K45:K52"/>
    <mergeCell ref="L45:L52"/>
    <mergeCell ref="C50:C51"/>
    <mergeCell ref="A53:A54"/>
    <mergeCell ref="N36:N42"/>
    <mergeCell ref="I38:I42"/>
    <mergeCell ref="J38:J42"/>
    <mergeCell ref="K38:K42"/>
    <mergeCell ref="L38:L42"/>
    <mergeCell ref="A43:A52"/>
    <mergeCell ref="B43:B52"/>
    <mergeCell ref="C43:C48"/>
    <mergeCell ref="M43:M52"/>
    <mergeCell ref="N43:N52"/>
    <mergeCell ref="L68:L71"/>
    <mergeCell ref="M68:M71"/>
    <mergeCell ref="N68:N71"/>
    <mergeCell ref="A72:A76"/>
    <mergeCell ref="B72:B76"/>
    <mergeCell ref="C72:C76"/>
    <mergeCell ref="I72:I76"/>
    <mergeCell ref="J72:J76"/>
    <mergeCell ref="K72:K76"/>
    <mergeCell ref="L72:L76"/>
    <mergeCell ref="A65:A71"/>
    <mergeCell ref="B65:B71"/>
    <mergeCell ref="C65:C71"/>
    <mergeCell ref="I68:I71"/>
    <mergeCell ref="J68:J71"/>
    <mergeCell ref="K68:K71"/>
    <mergeCell ref="M72:M76"/>
    <mergeCell ref="N72:N76"/>
    <mergeCell ref="A90:A91"/>
    <mergeCell ref="B90:B91"/>
    <mergeCell ref="A93:A94"/>
    <mergeCell ref="B93:B94"/>
    <mergeCell ref="N77:N82"/>
    <mergeCell ref="A83:A87"/>
    <mergeCell ref="B83:B87"/>
    <mergeCell ref="C83:C87"/>
    <mergeCell ref="M83:M87"/>
    <mergeCell ref="N83:N87"/>
    <mergeCell ref="I85:I87"/>
    <mergeCell ref="J85:J87"/>
    <mergeCell ref="K85:K87"/>
    <mergeCell ref="L85:L87"/>
    <mergeCell ref="A77:A82"/>
    <mergeCell ref="B77:B82"/>
    <mergeCell ref="C77:C82"/>
    <mergeCell ref="I77:I82"/>
    <mergeCell ref="J77:J82"/>
    <mergeCell ref="K77:K82"/>
    <mergeCell ref="L77:L82"/>
    <mergeCell ref="M77:M82"/>
    <mergeCell ref="A88:A89"/>
    <mergeCell ref="B88:B89"/>
    <mergeCell ref="I99:I101"/>
    <mergeCell ref="J99:J101"/>
    <mergeCell ref="K99:K101"/>
    <mergeCell ref="L99:L101"/>
    <mergeCell ref="A102:A103"/>
    <mergeCell ref="B102:B103"/>
    <mergeCell ref="C93:C94"/>
    <mergeCell ref="D93:D94"/>
    <mergeCell ref="C96:C98"/>
    <mergeCell ref="A99:A101"/>
    <mergeCell ref="B99:B101"/>
    <mergeCell ref="C99:C101"/>
    <mergeCell ref="L105:L108"/>
    <mergeCell ref="M105:M108"/>
    <mergeCell ref="N105:N108"/>
    <mergeCell ref="A109:A111"/>
    <mergeCell ref="B109:B111"/>
    <mergeCell ref="C109:C111"/>
    <mergeCell ref="I110:I111"/>
    <mergeCell ref="J110:J111"/>
    <mergeCell ref="K110:K111"/>
    <mergeCell ref="L110:L111"/>
    <mergeCell ref="A105:A108"/>
    <mergeCell ref="B105:B108"/>
    <mergeCell ref="C105:C108"/>
    <mergeCell ref="I105:I108"/>
    <mergeCell ref="J105:J108"/>
    <mergeCell ref="K105:K108"/>
    <mergeCell ref="B192:B193"/>
    <mergeCell ref="A192:A193"/>
    <mergeCell ref="B200:B201"/>
    <mergeCell ref="A200:A201"/>
    <mergeCell ref="B203:B204"/>
    <mergeCell ref="A203:A204"/>
    <mergeCell ref="B205:B206"/>
    <mergeCell ref="A205:A206"/>
    <mergeCell ref="M110:M111"/>
    <mergeCell ref="A114:A115"/>
    <mergeCell ref="B114:B115"/>
    <mergeCell ref="A116:A117"/>
    <mergeCell ref="B116:B117"/>
    <mergeCell ref="A120:A122"/>
    <mergeCell ref="B120:B122"/>
    <mergeCell ref="A124:A127"/>
    <mergeCell ref="B124:B127"/>
    <mergeCell ref="C124:C127"/>
    <mergeCell ref="I125:I127"/>
    <mergeCell ref="J125:J127"/>
    <mergeCell ref="K125:K127"/>
    <mergeCell ref="L125:L127"/>
    <mergeCell ref="B133:B134"/>
    <mergeCell ref="A133:A134"/>
  </mergeCells>
  <printOptions horizontalCentered="1"/>
  <pageMargins left="0.31496062992125984" right="0.31496062992125984" top="0.35433070866141736" bottom="0.35433070866141736"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zoomScaleNormal="100" workbookViewId="0">
      <selection activeCell="G4" sqref="G4"/>
    </sheetView>
  </sheetViews>
  <sheetFormatPr defaultColWidth="9.140625" defaultRowHeight="12.75" x14ac:dyDescent="0.2"/>
  <cols>
    <col min="1" max="1" width="45.85546875" style="157" customWidth="1"/>
    <col min="2" max="2" width="11.140625" style="157" customWidth="1"/>
    <col min="3" max="4" width="9.140625" style="157"/>
    <col min="5" max="5" width="13.7109375" style="157" customWidth="1"/>
    <col min="6" max="16384" width="9.140625" style="157"/>
  </cols>
  <sheetData>
    <row r="1" spans="1:5" ht="74.25" customHeight="1" x14ac:dyDescent="0.2">
      <c r="B1" s="1769" t="s">
        <v>778</v>
      </c>
      <c r="C1" s="1769"/>
      <c r="D1" s="1769"/>
      <c r="E1" s="1769"/>
    </row>
    <row r="2" spans="1:5" s="156" customFormat="1" ht="15.75" x14ac:dyDescent="0.2">
      <c r="A2" s="1771" t="s">
        <v>720</v>
      </c>
      <c r="B2" s="1771"/>
      <c r="C2" s="1771"/>
      <c r="D2" s="1771"/>
      <c r="E2" s="1771"/>
    </row>
    <row r="3" spans="1:5" s="156" customFormat="1" ht="15.75" x14ac:dyDescent="0.2">
      <c r="A3" s="1772" t="s">
        <v>107</v>
      </c>
      <c r="B3" s="1772"/>
      <c r="C3" s="1772"/>
      <c r="D3" s="1772"/>
      <c r="E3" s="1772"/>
    </row>
    <row r="4" spans="1:5" s="156" customFormat="1" ht="35.25" customHeight="1" x14ac:dyDescent="0.2">
      <c r="A4" s="1771" t="s">
        <v>108</v>
      </c>
      <c r="B4" s="1771"/>
      <c r="C4" s="1771"/>
      <c r="D4" s="1771"/>
      <c r="E4" s="1771"/>
    </row>
    <row r="5" spans="1:5" ht="48.75" customHeight="1" x14ac:dyDescent="0.2">
      <c r="A5" s="1773" t="s">
        <v>140</v>
      </c>
      <c r="B5" s="1773"/>
      <c r="C5" s="1773"/>
      <c r="D5" s="1773"/>
      <c r="E5" s="1773"/>
    </row>
    <row r="6" spans="1:5" s="156" customFormat="1" ht="14.25" x14ac:dyDescent="0.2">
      <c r="A6" s="158" t="s">
        <v>109</v>
      </c>
    </row>
    <row r="7" spans="1:5" s="156" customFormat="1" ht="74.25" customHeight="1" x14ac:dyDescent="0.2">
      <c r="A7" s="1774" t="s">
        <v>141</v>
      </c>
      <c r="B7" s="1774"/>
      <c r="C7" s="1774"/>
      <c r="D7" s="1774"/>
      <c r="E7" s="1774"/>
    </row>
    <row r="8" spans="1:5" s="159" customFormat="1" ht="36.75" customHeight="1" x14ac:dyDescent="0.2">
      <c r="A8" s="1770" t="s">
        <v>721</v>
      </c>
      <c r="B8" s="1770"/>
      <c r="C8" s="1770"/>
      <c r="D8" s="1770"/>
    </row>
    <row r="9" spans="1:5" s="162" customFormat="1" ht="15.75" x14ac:dyDescent="0.25">
      <c r="A9" s="160" t="s">
        <v>110</v>
      </c>
      <c r="B9" s="161">
        <v>54</v>
      </c>
      <c r="C9" s="1769" t="s">
        <v>111</v>
      </c>
      <c r="D9" s="1769"/>
      <c r="E9" s="1769"/>
    </row>
    <row r="10" spans="1:5" s="162" customFormat="1" ht="15.75" x14ac:dyDescent="0.25">
      <c r="A10" s="163" t="s">
        <v>112</v>
      </c>
      <c r="B10" s="164">
        <v>11</v>
      </c>
      <c r="C10" s="162" t="s">
        <v>113</v>
      </c>
    </row>
    <row r="11" spans="1:5" s="162" customFormat="1" ht="15.75" x14ac:dyDescent="0.25">
      <c r="A11" s="160" t="s">
        <v>114</v>
      </c>
      <c r="B11" s="161">
        <v>4</v>
      </c>
      <c r="C11" s="165" t="s">
        <v>216</v>
      </c>
      <c r="D11" s="165"/>
      <c r="E11" s="165"/>
    </row>
    <row r="12" spans="1:5" x14ac:dyDescent="0.2">
      <c r="A12" s="166"/>
    </row>
    <row r="13" spans="1:5" x14ac:dyDescent="0.2">
      <c r="A13" s="166"/>
    </row>
    <row r="15" spans="1:5" x14ac:dyDescent="0.2">
      <c r="A15" s="167"/>
      <c r="B15" s="168"/>
    </row>
    <row r="16" spans="1:5" x14ac:dyDescent="0.2">
      <c r="A16" s="167"/>
      <c r="B16" s="168"/>
    </row>
    <row r="17" spans="1:17" x14ac:dyDescent="0.2">
      <c r="A17" s="167"/>
      <c r="B17" s="168"/>
    </row>
    <row r="23" spans="1:17" x14ac:dyDescent="0.2">
      <c r="Q23" s="169"/>
    </row>
    <row r="27" spans="1:17" ht="66.75" customHeight="1" x14ac:dyDescent="0.2"/>
    <row r="28" spans="1:17" ht="40.5" customHeight="1" x14ac:dyDescent="0.25">
      <c r="A28" s="1775" t="s">
        <v>118</v>
      </c>
      <c r="B28" s="1775"/>
      <c r="C28" s="1775"/>
      <c r="D28" s="1775"/>
      <c r="E28" s="1775"/>
    </row>
    <row r="29" spans="1:17" ht="32.25" customHeight="1" x14ac:dyDescent="0.2">
      <c r="A29" s="1776" t="s">
        <v>115</v>
      </c>
      <c r="B29" s="1776"/>
      <c r="C29" s="1776"/>
      <c r="D29" s="1776"/>
      <c r="E29" s="1776"/>
    </row>
    <row r="30" spans="1:17" ht="32.25" customHeight="1" x14ac:dyDescent="0.2">
      <c r="A30" s="1776" t="s">
        <v>116</v>
      </c>
      <c r="B30" s="1776"/>
      <c r="C30" s="1776"/>
      <c r="D30" s="1776"/>
      <c r="E30" s="1776"/>
    </row>
    <row r="31" spans="1:17" ht="32.25" customHeight="1" x14ac:dyDescent="0.2">
      <c r="A31" s="1776" t="s">
        <v>117</v>
      </c>
      <c r="B31" s="1776"/>
      <c r="C31" s="1776"/>
      <c r="D31" s="1776"/>
      <c r="E31" s="1776"/>
    </row>
  </sheetData>
  <mergeCells count="12">
    <mergeCell ref="C9:E9"/>
    <mergeCell ref="A28:E28"/>
    <mergeCell ref="A29:E29"/>
    <mergeCell ref="A30:E30"/>
    <mergeCell ref="A31:E31"/>
    <mergeCell ref="B1:E1"/>
    <mergeCell ref="A8:D8"/>
    <mergeCell ref="A2:E2"/>
    <mergeCell ref="A3:E3"/>
    <mergeCell ref="A4:E4"/>
    <mergeCell ref="A5:E5"/>
    <mergeCell ref="A7:E7"/>
  </mergeCells>
  <printOptions horizontalCentered="1"/>
  <pageMargins left="0.70866141732283472" right="0.11811023622047245" top="0.55118110236220474" bottom="0.5511811023622047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247"/>
  <sheetViews>
    <sheetView tabSelected="1" zoomScaleNormal="100" zoomScaleSheetLayoutView="50" workbookViewId="0">
      <selection activeCell="U10" sqref="U10"/>
    </sheetView>
  </sheetViews>
  <sheetFormatPr defaultColWidth="9.140625" defaultRowHeight="12.75" x14ac:dyDescent="0.2"/>
  <cols>
    <col min="1" max="1" width="3.28515625" style="333" customWidth="1"/>
    <col min="2" max="3" width="2.85546875" style="333" customWidth="1"/>
    <col min="4" max="4" width="2.85546875" style="334" customWidth="1"/>
    <col min="5" max="5" width="2.7109375" style="335" customWidth="1"/>
    <col min="6" max="6" width="32.28515625" style="1458" customWidth="1"/>
    <col min="7" max="7" width="3.42578125" style="806" customWidth="1"/>
    <col min="8" max="8" width="3" style="806" customWidth="1"/>
    <col min="9" max="9" width="8" style="826" customWidth="1"/>
    <col min="10" max="11" width="7.85546875" style="1172" customWidth="1"/>
    <col min="12" max="12" width="9.28515625" style="1172" customWidth="1"/>
    <col min="13" max="13" width="28" style="794" customWidth="1"/>
    <col min="14" max="14" width="6.42578125" style="1044" customWidth="1"/>
    <col min="15" max="15" width="6.42578125" style="1151" customWidth="1"/>
    <col min="16" max="17" width="28.42578125" style="1159" customWidth="1"/>
    <col min="18" max="18" width="11.140625" style="338" customWidth="1"/>
    <col min="19" max="16384" width="9.140625" style="338"/>
  </cols>
  <sheetData>
    <row r="1" spans="1:22" ht="15.75" customHeight="1" x14ac:dyDescent="0.2">
      <c r="A1" s="2049" t="s">
        <v>100</v>
      </c>
      <c r="B1" s="2049"/>
      <c r="C1" s="2049"/>
      <c r="D1" s="2049"/>
      <c r="E1" s="2049"/>
      <c r="F1" s="2049"/>
      <c r="G1" s="2049"/>
      <c r="H1" s="2049"/>
      <c r="I1" s="2049"/>
      <c r="J1" s="2049"/>
      <c r="K1" s="2049"/>
      <c r="L1" s="2049"/>
      <c r="M1" s="2049"/>
      <c r="N1" s="2049"/>
      <c r="O1" s="2049"/>
      <c r="P1" s="2049"/>
      <c r="Q1" s="2049"/>
      <c r="R1" s="1343"/>
      <c r="S1" s="1343"/>
      <c r="T1" s="1343"/>
      <c r="U1" s="1343"/>
      <c r="V1" s="1343"/>
    </row>
    <row r="2" spans="1:22" ht="15.75" customHeight="1" x14ac:dyDescent="0.2">
      <c r="A2" s="2050" t="s">
        <v>741</v>
      </c>
      <c r="B2" s="2050"/>
      <c r="C2" s="2050"/>
      <c r="D2" s="2050"/>
      <c r="E2" s="2050"/>
      <c r="F2" s="2050"/>
      <c r="G2" s="2050"/>
      <c r="H2" s="2050"/>
      <c r="I2" s="2050"/>
      <c r="J2" s="2050"/>
      <c r="K2" s="2050"/>
      <c r="L2" s="2050"/>
      <c r="M2" s="2050"/>
      <c r="N2" s="2050"/>
      <c r="O2" s="2050"/>
      <c r="P2" s="2050"/>
      <c r="Q2" s="2050"/>
      <c r="R2" s="1344"/>
      <c r="S2" s="1344"/>
      <c r="T2" s="1344"/>
      <c r="U2" s="1344"/>
      <c r="V2" s="1344"/>
    </row>
    <row r="3" spans="1:22" ht="13.5" thickBot="1" x14ac:dyDescent="0.25">
      <c r="A3" s="38"/>
      <c r="B3" s="38"/>
      <c r="F3" s="1492"/>
      <c r="G3" s="1054"/>
      <c r="H3" s="1054"/>
      <c r="I3" s="336"/>
      <c r="J3" s="1544"/>
      <c r="K3" s="1544"/>
      <c r="L3" s="1544"/>
      <c r="M3" s="2027"/>
      <c r="N3" s="2027"/>
      <c r="O3" s="2027"/>
      <c r="P3" s="2027"/>
      <c r="Q3" s="2027"/>
    </row>
    <row r="4" spans="1:22" ht="12.75" customHeight="1" x14ac:dyDescent="0.2">
      <c r="A4" s="2082" t="s">
        <v>8</v>
      </c>
      <c r="B4" s="2085" t="s">
        <v>9</v>
      </c>
      <c r="C4" s="2021" t="s">
        <v>10</v>
      </c>
      <c r="D4" s="2021" t="s">
        <v>217</v>
      </c>
      <c r="E4" s="2021" t="s">
        <v>218</v>
      </c>
      <c r="F4" s="2024" t="s">
        <v>142</v>
      </c>
      <c r="G4" s="2034" t="s">
        <v>11</v>
      </c>
      <c r="H4" s="2037" t="s">
        <v>12</v>
      </c>
      <c r="I4" s="2040" t="s">
        <v>13</v>
      </c>
      <c r="J4" s="2088" t="s">
        <v>119</v>
      </c>
      <c r="K4" s="2089"/>
      <c r="L4" s="2090"/>
      <c r="M4" s="2070" t="s">
        <v>143</v>
      </c>
      <c r="N4" s="2071"/>
      <c r="O4" s="2072"/>
      <c r="P4" s="2073" t="s">
        <v>104</v>
      </c>
      <c r="Q4" s="2067" t="s">
        <v>105</v>
      </c>
    </row>
    <row r="5" spans="1:22" x14ac:dyDescent="0.2">
      <c r="A5" s="2083"/>
      <c r="B5" s="2086"/>
      <c r="C5" s="2022"/>
      <c r="D5" s="2022"/>
      <c r="E5" s="2022"/>
      <c r="F5" s="2025"/>
      <c r="G5" s="2035"/>
      <c r="H5" s="2038"/>
      <c r="I5" s="2041"/>
      <c r="J5" s="2091" t="s">
        <v>219</v>
      </c>
      <c r="K5" s="2093" t="s">
        <v>713</v>
      </c>
      <c r="L5" s="2064" t="s">
        <v>221</v>
      </c>
      <c r="M5" s="2043" t="s">
        <v>23</v>
      </c>
      <c r="N5" s="2051" t="s">
        <v>68</v>
      </c>
      <c r="O5" s="2052"/>
      <c r="P5" s="2074"/>
      <c r="Q5" s="2068"/>
    </row>
    <row r="6" spans="1:22" ht="78.75" customHeight="1" thickBot="1" x14ac:dyDescent="0.25">
      <c r="A6" s="2084"/>
      <c r="B6" s="2087"/>
      <c r="C6" s="2023"/>
      <c r="D6" s="2023"/>
      <c r="E6" s="2023"/>
      <c r="F6" s="2026"/>
      <c r="G6" s="2036"/>
      <c r="H6" s="2039"/>
      <c r="I6" s="2042"/>
      <c r="J6" s="2092"/>
      <c r="K6" s="2094"/>
      <c r="L6" s="2065"/>
      <c r="M6" s="2044"/>
      <c r="N6" s="317" t="s">
        <v>102</v>
      </c>
      <c r="O6" s="1612" t="s">
        <v>103</v>
      </c>
      <c r="P6" s="2075"/>
      <c r="Q6" s="2069"/>
    </row>
    <row r="7" spans="1:22" x14ac:dyDescent="0.2">
      <c r="A7" s="2076" t="s">
        <v>80</v>
      </c>
      <c r="B7" s="2077"/>
      <c r="C7" s="2077"/>
      <c r="D7" s="2077"/>
      <c r="E7" s="2077"/>
      <c r="F7" s="2077"/>
      <c r="G7" s="2077"/>
      <c r="H7" s="2077"/>
      <c r="I7" s="2077"/>
      <c r="J7" s="2077"/>
      <c r="K7" s="2077"/>
      <c r="L7" s="2077"/>
      <c r="M7" s="2077"/>
      <c r="N7" s="2077"/>
      <c r="O7" s="2077"/>
      <c r="P7" s="2077"/>
      <c r="Q7" s="2078"/>
    </row>
    <row r="8" spans="1:22" s="341" customFormat="1" ht="13.5" thickBot="1" x14ac:dyDescent="0.25">
      <c r="A8" s="2079" t="s">
        <v>30</v>
      </c>
      <c r="B8" s="2080"/>
      <c r="C8" s="2080"/>
      <c r="D8" s="2080"/>
      <c r="E8" s="2080"/>
      <c r="F8" s="2080"/>
      <c r="G8" s="2080"/>
      <c r="H8" s="2080"/>
      <c r="I8" s="2080"/>
      <c r="J8" s="2080"/>
      <c r="K8" s="2080"/>
      <c r="L8" s="2080"/>
      <c r="M8" s="2080"/>
      <c r="N8" s="2080"/>
      <c r="O8" s="2080"/>
      <c r="P8" s="2080"/>
      <c r="Q8" s="2081"/>
      <c r="R8" s="340"/>
    </row>
    <row r="9" spans="1:22" s="341" customFormat="1" ht="67.5" customHeight="1" x14ac:dyDescent="0.2">
      <c r="A9" s="2062" t="s">
        <v>14</v>
      </c>
      <c r="B9" s="2056" t="s">
        <v>35</v>
      </c>
      <c r="C9" s="2057"/>
      <c r="D9" s="2057"/>
      <c r="E9" s="2057"/>
      <c r="F9" s="2057"/>
      <c r="G9" s="2057"/>
      <c r="H9" s="2057"/>
      <c r="I9" s="2057"/>
      <c r="J9" s="2057"/>
      <c r="K9" s="2057"/>
      <c r="L9" s="2057"/>
      <c r="M9" s="1606" t="s">
        <v>331</v>
      </c>
      <c r="N9" s="1609">
        <v>99.4</v>
      </c>
      <c r="O9" s="1349">
        <v>99.4</v>
      </c>
      <c r="P9" s="1411"/>
      <c r="Q9" s="1398"/>
    </row>
    <row r="10" spans="1:22" s="341" customFormat="1" ht="54.75" customHeight="1" x14ac:dyDescent="0.2">
      <c r="A10" s="2063"/>
      <c r="B10" s="2058"/>
      <c r="C10" s="2059"/>
      <c r="D10" s="2059"/>
      <c r="E10" s="2059"/>
      <c r="F10" s="2059"/>
      <c r="G10" s="2059"/>
      <c r="H10" s="2059"/>
      <c r="I10" s="2059"/>
      <c r="J10" s="2059"/>
      <c r="K10" s="2059"/>
      <c r="L10" s="2059"/>
      <c r="M10" s="1607" t="s">
        <v>333</v>
      </c>
      <c r="N10" s="1610">
        <v>60</v>
      </c>
      <c r="O10" s="1350">
        <v>60</v>
      </c>
      <c r="P10" s="1412"/>
      <c r="Q10" s="1399"/>
    </row>
    <row r="11" spans="1:22" s="341" customFormat="1" ht="53.25" customHeight="1" x14ac:dyDescent="0.2">
      <c r="A11" s="1243"/>
      <c r="B11" s="2058"/>
      <c r="C11" s="2059"/>
      <c r="D11" s="2059"/>
      <c r="E11" s="2059"/>
      <c r="F11" s="2059"/>
      <c r="G11" s="2059"/>
      <c r="H11" s="2059"/>
      <c r="I11" s="2059"/>
      <c r="J11" s="2059"/>
      <c r="K11" s="2059"/>
      <c r="L11" s="2059"/>
      <c r="M11" s="1607" t="s">
        <v>334</v>
      </c>
      <c r="N11" s="1610">
        <v>85</v>
      </c>
      <c r="O11" s="1350">
        <v>85.5</v>
      </c>
      <c r="P11" s="1412"/>
      <c r="Q11" s="1399"/>
    </row>
    <row r="12" spans="1:22" s="341" customFormat="1" ht="27.6" customHeight="1" x14ac:dyDescent="0.2">
      <c r="A12" s="1243"/>
      <c r="B12" s="2058"/>
      <c r="C12" s="2059"/>
      <c r="D12" s="2059"/>
      <c r="E12" s="2059"/>
      <c r="F12" s="2059"/>
      <c r="G12" s="2059"/>
      <c r="H12" s="2059"/>
      <c r="I12" s="2059"/>
      <c r="J12" s="2059"/>
      <c r="K12" s="2059"/>
      <c r="L12" s="2059"/>
      <c r="M12" s="1607" t="s">
        <v>335</v>
      </c>
      <c r="N12" s="1610">
        <v>250</v>
      </c>
      <c r="O12" s="1350">
        <v>250</v>
      </c>
      <c r="P12" s="1412"/>
      <c r="Q12" s="1399"/>
    </row>
    <row r="13" spans="1:22" s="341" customFormat="1" ht="57" customHeight="1" thickBot="1" x14ac:dyDescent="0.25">
      <c r="A13" s="1400"/>
      <c r="B13" s="2060"/>
      <c r="C13" s="2061"/>
      <c r="D13" s="2061"/>
      <c r="E13" s="2061"/>
      <c r="F13" s="2061"/>
      <c r="G13" s="2061"/>
      <c r="H13" s="2061"/>
      <c r="I13" s="2061"/>
      <c r="J13" s="2061"/>
      <c r="K13" s="2061"/>
      <c r="L13" s="2061"/>
      <c r="M13" s="1608" t="s">
        <v>337</v>
      </c>
      <c r="N13" s="1611">
        <v>46</v>
      </c>
      <c r="O13" s="1401">
        <v>50</v>
      </c>
      <c r="P13" s="1413"/>
      <c r="Q13" s="1402" t="s">
        <v>338</v>
      </c>
    </row>
    <row r="14" spans="1:22" s="341" customFormat="1" ht="15" customHeight="1" thickBot="1" x14ac:dyDescent="0.25">
      <c r="A14" s="1239" t="s">
        <v>14</v>
      </c>
      <c r="B14" s="356" t="s">
        <v>14</v>
      </c>
      <c r="C14" s="2028" t="s">
        <v>87</v>
      </c>
      <c r="D14" s="2029"/>
      <c r="E14" s="2029"/>
      <c r="F14" s="2029"/>
      <c r="G14" s="2029"/>
      <c r="H14" s="2029"/>
      <c r="I14" s="2029"/>
      <c r="J14" s="2030"/>
      <c r="K14" s="2030"/>
      <c r="L14" s="2030"/>
      <c r="M14" s="2029"/>
      <c r="N14" s="2029"/>
      <c r="O14" s="2029"/>
      <c r="P14" s="2029"/>
      <c r="Q14" s="2031"/>
    </row>
    <row r="15" spans="1:22" s="341" customFormat="1" ht="15" customHeight="1" x14ac:dyDescent="0.2">
      <c r="A15" s="1249" t="s">
        <v>14</v>
      </c>
      <c r="B15" s="358" t="s">
        <v>14</v>
      </c>
      <c r="C15" s="359" t="s">
        <v>14</v>
      </c>
      <c r="D15" s="360"/>
      <c r="E15" s="360"/>
      <c r="F15" s="2032" t="s">
        <v>55</v>
      </c>
      <c r="G15" s="30" t="s">
        <v>194</v>
      </c>
      <c r="H15" s="1248">
        <v>2</v>
      </c>
      <c r="I15" s="206" t="s">
        <v>18</v>
      </c>
      <c r="J15" s="1355">
        <v>40462.800000000003</v>
      </c>
      <c r="K15" s="1356">
        <v>41407.699999999997</v>
      </c>
      <c r="L15" s="1357">
        <v>40265.800000000003</v>
      </c>
      <c r="M15" s="1251"/>
      <c r="N15" s="96"/>
      <c r="O15" s="96"/>
      <c r="P15" s="1167"/>
      <c r="Q15" s="1372"/>
    </row>
    <row r="16" spans="1:22" s="341" customFormat="1" x14ac:dyDescent="0.2">
      <c r="A16" s="1243"/>
      <c r="B16" s="368"/>
      <c r="C16" s="369"/>
      <c r="D16" s="370"/>
      <c r="E16" s="370"/>
      <c r="F16" s="2033"/>
      <c r="G16" s="214"/>
      <c r="H16" s="371"/>
      <c r="I16" s="186" t="s">
        <v>79</v>
      </c>
      <c r="J16" s="1345">
        <v>482.3</v>
      </c>
      <c r="K16" s="123">
        <v>482.3</v>
      </c>
      <c r="L16" s="1267">
        <v>482</v>
      </c>
      <c r="M16" s="136"/>
      <c r="N16" s="97"/>
      <c r="O16" s="97"/>
      <c r="P16" s="1162"/>
      <c r="Q16" s="1373"/>
    </row>
    <row r="17" spans="1:20" s="341" customFormat="1" ht="20.45" customHeight="1" x14ac:dyDescent="0.2">
      <c r="A17" s="1243"/>
      <c r="B17" s="374"/>
      <c r="C17" s="375"/>
      <c r="D17" s="376" t="s">
        <v>14</v>
      </c>
      <c r="E17" s="377"/>
      <c r="F17" s="2014" t="s">
        <v>147</v>
      </c>
      <c r="G17" s="214"/>
      <c r="H17" s="371"/>
      <c r="I17" s="186" t="s">
        <v>15</v>
      </c>
      <c r="J17" s="1358">
        <v>15105.7</v>
      </c>
      <c r="K17" s="75">
        <f>15250.4+89.2+6.2+7.5-0.1+0.7</f>
        <v>15353.900000000001</v>
      </c>
      <c r="L17" s="1548">
        <v>15349</v>
      </c>
      <c r="M17" s="1253" t="s">
        <v>148</v>
      </c>
      <c r="N17" s="101">
        <v>47</v>
      </c>
      <c r="O17" s="1403">
        <v>47</v>
      </c>
      <c r="P17" s="1414"/>
      <c r="Q17" s="1410"/>
      <c r="R17" s="378"/>
      <c r="S17" s="378"/>
      <c r="T17" s="378"/>
    </row>
    <row r="18" spans="1:20" s="341" customFormat="1" ht="20.45" customHeight="1" x14ac:dyDescent="0.2">
      <c r="A18" s="1243"/>
      <c r="B18" s="374"/>
      <c r="C18" s="375"/>
      <c r="D18" s="379"/>
      <c r="E18" s="370"/>
      <c r="F18" s="2015"/>
      <c r="G18" s="214"/>
      <c r="H18" s="371"/>
      <c r="I18" s="177" t="s">
        <v>45</v>
      </c>
      <c r="J18" s="1348">
        <v>3671.5</v>
      </c>
      <c r="K18" s="122">
        <v>3671.5</v>
      </c>
      <c r="L18" s="1528">
        <v>3464.7</v>
      </c>
      <c r="M18" s="1252" t="s">
        <v>149</v>
      </c>
      <c r="N18" s="101">
        <v>7947</v>
      </c>
      <c r="O18" s="1404" t="s">
        <v>347</v>
      </c>
      <c r="P18" s="2012" t="s">
        <v>729</v>
      </c>
      <c r="Q18" s="2013"/>
      <c r="R18" s="378"/>
      <c r="S18" s="378"/>
      <c r="T18" s="378"/>
    </row>
    <row r="19" spans="1:20" s="341" customFormat="1" x14ac:dyDescent="0.2">
      <c r="A19" s="1243"/>
      <c r="B19" s="368"/>
      <c r="C19" s="375"/>
      <c r="D19" s="376" t="s">
        <v>17</v>
      </c>
      <c r="E19" s="377"/>
      <c r="F19" s="2014" t="s">
        <v>150</v>
      </c>
      <c r="G19" s="214"/>
      <c r="H19" s="371"/>
      <c r="I19" s="203"/>
      <c r="J19" s="1347"/>
      <c r="K19" s="126"/>
      <c r="L19" s="1268"/>
      <c r="M19" s="1253" t="s">
        <v>148</v>
      </c>
      <c r="N19" s="91">
        <v>7</v>
      </c>
      <c r="O19" s="91">
        <v>7</v>
      </c>
      <c r="P19" s="323"/>
      <c r="Q19" s="1374"/>
    </row>
    <row r="20" spans="1:20" s="341" customFormat="1" x14ac:dyDescent="0.2">
      <c r="A20" s="1243"/>
      <c r="B20" s="374"/>
      <c r="C20" s="375"/>
      <c r="D20" s="379"/>
      <c r="E20" s="370"/>
      <c r="F20" s="2015"/>
      <c r="G20" s="214"/>
      <c r="H20" s="371"/>
      <c r="I20" s="203"/>
      <c r="J20" s="1369"/>
      <c r="K20" s="381"/>
      <c r="L20" s="1269"/>
      <c r="M20" s="1252" t="s">
        <v>149</v>
      </c>
      <c r="N20" s="101">
        <v>340</v>
      </c>
      <c r="O20" s="101">
        <v>340</v>
      </c>
      <c r="P20" s="1160"/>
      <c r="Q20" s="1375"/>
    </row>
    <row r="21" spans="1:20" s="341" customFormat="1" x14ac:dyDescent="0.2">
      <c r="A21" s="1243"/>
      <c r="B21" s="368"/>
      <c r="C21" s="375"/>
      <c r="D21" s="379"/>
      <c r="E21" s="370"/>
      <c r="F21" s="2015"/>
      <c r="G21" s="214"/>
      <c r="H21" s="371"/>
      <c r="I21" s="203"/>
      <c r="J21" s="1363"/>
      <c r="K21" s="1285"/>
      <c r="L21" s="1270"/>
      <c r="M21" s="136"/>
      <c r="N21" s="97"/>
      <c r="O21" s="97"/>
      <c r="P21" s="1162"/>
      <c r="Q21" s="1373"/>
    </row>
    <row r="22" spans="1:20" s="341" customFormat="1" ht="18.75" customHeight="1" x14ac:dyDescent="0.2">
      <c r="A22" s="1235"/>
      <c r="B22" s="368"/>
      <c r="C22" s="386"/>
      <c r="D22" s="377" t="s">
        <v>19</v>
      </c>
      <c r="E22" s="377"/>
      <c r="F22" s="2014" t="s">
        <v>90</v>
      </c>
      <c r="G22" s="214"/>
      <c r="H22" s="373"/>
      <c r="I22" s="186" t="s">
        <v>15</v>
      </c>
      <c r="J22" s="1358">
        <v>960.7</v>
      </c>
      <c r="K22" s="75">
        <f>986.2-0.1+25.2+0.1-2.7+0.1</f>
        <v>1008.8000000000001</v>
      </c>
      <c r="L22" s="1548">
        <v>1007.4</v>
      </c>
      <c r="M22" s="1255" t="s">
        <v>148</v>
      </c>
      <c r="N22" s="101">
        <v>4</v>
      </c>
      <c r="O22" s="1403">
        <v>4</v>
      </c>
      <c r="P22" s="1854" t="s">
        <v>743</v>
      </c>
      <c r="Q22" s="1855"/>
    </row>
    <row r="23" spans="1:20" s="341" customFormat="1" ht="15" customHeight="1" x14ac:dyDescent="0.2">
      <c r="A23" s="1235"/>
      <c r="B23" s="368"/>
      <c r="C23" s="369"/>
      <c r="D23" s="370"/>
      <c r="E23" s="370"/>
      <c r="F23" s="2015"/>
      <c r="G23" s="214"/>
      <c r="H23" s="373"/>
      <c r="I23" s="177" t="s">
        <v>45</v>
      </c>
      <c r="J23" s="1348">
        <f>367.2+49.2</f>
        <v>416.4</v>
      </c>
      <c r="K23" s="122">
        <f>367.2+49.2</f>
        <v>416.4</v>
      </c>
      <c r="L23" s="1242">
        <v>340.7</v>
      </c>
      <c r="M23" s="1252" t="s">
        <v>149</v>
      </c>
      <c r="N23" s="101">
        <v>1301</v>
      </c>
      <c r="O23" s="1404">
        <v>904</v>
      </c>
      <c r="P23" s="1982"/>
      <c r="Q23" s="1983"/>
    </row>
    <row r="24" spans="1:20" s="341" customFormat="1" ht="15" customHeight="1" x14ac:dyDescent="0.2">
      <c r="A24" s="1235"/>
      <c r="B24" s="368"/>
      <c r="C24" s="369"/>
      <c r="D24" s="370"/>
      <c r="E24" s="370"/>
      <c r="F24" s="2015"/>
      <c r="G24" s="214"/>
      <c r="H24" s="371"/>
      <c r="I24" s="178"/>
      <c r="J24" s="1363"/>
      <c r="K24" s="1285"/>
      <c r="L24" s="1270"/>
      <c r="M24" s="1254" t="s">
        <v>225</v>
      </c>
      <c r="N24" s="109">
        <v>904</v>
      </c>
      <c r="O24" s="1406" t="s">
        <v>371</v>
      </c>
      <c r="P24" s="1856"/>
      <c r="Q24" s="1857"/>
    </row>
    <row r="25" spans="1:20" s="341" customFormat="1" ht="12.75" customHeight="1" x14ac:dyDescent="0.2">
      <c r="A25" s="1239"/>
      <c r="B25" s="374"/>
      <c r="C25" s="369"/>
      <c r="D25" s="377" t="s">
        <v>21</v>
      </c>
      <c r="E25" s="377"/>
      <c r="F25" s="2014" t="s">
        <v>152</v>
      </c>
      <c r="G25" s="214"/>
      <c r="H25" s="389"/>
      <c r="I25" s="177" t="s">
        <v>15</v>
      </c>
      <c r="J25" s="1364">
        <v>7204.1</v>
      </c>
      <c r="K25" s="64">
        <f>7504.1+108+4.2-9</f>
        <v>7607.3</v>
      </c>
      <c r="L25" s="1528">
        <v>7650.4</v>
      </c>
      <c r="M25" s="1254" t="s">
        <v>148</v>
      </c>
      <c r="N25" s="109">
        <v>32</v>
      </c>
      <c r="O25" s="1407">
        <v>32</v>
      </c>
      <c r="P25" s="1854" t="s">
        <v>744</v>
      </c>
      <c r="Q25" s="1855"/>
    </row>
    <row r="26" spans="1:20" s="341" customFormat="1" ht="12.75" customHeight="1" x14ac:dyDescent="0.2">
      <c r="A26" s="1239"/>
      <c r="B26" s="374"/>
      <c r="C26" s="369"/>
      <c r="D26" s="370"/>
      <c r="E26" s="370"/>
      <c r="F26" s="2015"/>
      <c r="G26" s="214"/>
      <c r="H26" s="389"/>
      <c r="I26" s="178"/>
      <c r="J26" s="1363"/>
      <c r="K26" s="1285"/>
      <c r="L26" s="1270"/>
      <c r="M26" s="136" t="s">
        <v>225</v>
      </c>
      <c r="N26" s="97">
        <v>17423</v>
      </c>
      <c r="O26" s="1408" t="s">
        <v>376</v>
      </c>
      <c r="P26" s="1982"/>
      <c r="Q26" s="1983"/>
    </row>
    <row r="27" spans="1:20" s="341" customFormat="1" ht="13.5" customHeight="1" x14ac:dyDescent="0.2">
      <c r="A27" s="1239"/>
      <c r="B27" s="374"/>
      <c r="C27" s="369"/>
      <c r="D27" s="370"/>
      <c r="E27" s="370"/>
      <c r="F27" s="2015"/>
      <c r="G27" s="214"/>
      <c r="H27" s="389"/>
      <c r="I27" s="203" t="s">
        <v>45</v>
      </c>
      <c r="J27" s="1358">
        <v>1035.4000000000001</v>
      </c>
      <c r="K27" s="75">
        <v>1035.4000000000001</v>
      </c>
      <c r="L27" s="133"/>
      <c r="M27" s="1353" t="s">
        <v>742</v>
      </c>
      <c r="N27" s="129">
        <v>2</v>
      </c>
      <c r="O27" s="1405">
        <v>2</v>
      </c>
      <c r="P27" s="1856"/>
      <c r="Q27" s="1857"/>
    </row>
    <row r="28" spans="1:20" s="341" customFormat="1" ht="21" customHeight="1" x14ac:dyDescent="0.2">
      <c r="A28" s="1239"/>
      <c r="B28" s="374"/>
      <c r="C28" s="369"/>
      <c r="D28" s="370"/>
      <c r="E28" s="377" t="s">
        <v>14</v>
      </c>
      <c r="F28" s="2014" t="s">
        <v>227</v>
      </c>
      <c r="G28" s="214"/>
      <c r="H28" s="389"/>
      <c r="I28" s="177" t="s">
        <v>15</v>
      </c>
      <c r="J28" s="1358">
        <v>66.8</v>
      </c>
      <c r="K28" s="75">
        <v>0</v>
      </c>
      <c r="L28" s="133">
        <v>0</v>
      </c>
      <c r="M28" s="1247" t="s">
        <v>148</v>
      </c>
      <c r="N28" s="101">
        <v>6</v>
      </c>
      <c r="O28" s="1409">
        <v>5</v>
      </c>
      <c r="P28" s="1160"/>
      <c r="Q28" s="1375"/>
      <c r="R28" s="378"/>
      <c r="S28" s="378"/>
      <c r="T28" s="378"/>
    </row>
    <row r="29" spans="1:20" s="341" customFormat="1" ht="21" customHeight="1" x14ac:dyDescent="0.2">
      <c r="A29" s="1239"/>
      <c r="B29" s="374"/>
      <c r="C29" s="369"/>
      <c r="D29" s="370"/>
      <c r="E29" s="370"/>
      <c r="F29" s="2015"/>
      <c r="G29" s="214"/>
      <c r="H29" s="389"/>
      <c r="I29" s="177" t="s">
        <v>4</v>
      </c>
      <c r="J29" s="1358">
        <v>509.4</v>
      </c>
      <c r="K29" s="75">
        <v>509.4</v>
      </c>
      <c r="L29" s="1548">
        <v>0</v>
      </c>
      <c r="M29" s="136"/>
      <c r="N29" s="97"/>
      <c r="O29" s="1406"/>
      <c r="P29" s="1162"/>
      <c r="Q29" s="1373"/>
    </row>
    <row r="30" spans="1:20" s="341" customFormat="1" x14ac:dyDescent="0.2">
      <c r="A30" s="1239"/>
      <c r="B30" s="374"/>
      <c r="C30" s="369"/>
      <c r="D30" s="377" t="s">
        <v>22</v>
      </c>
      <c r="E30" s="377"/>
      <c r="F30" s="2014" t="s">
        <v>154</v>
      </c>
      <c r="G30" s="214"/>
      <c r="H30" s="389"/>
      <c r="I30" s="177"/>
      <c r="J30" s="1348"/>
      <c r="K30" s="122"/>
      <c r="L30" s="1242"/>
      <c r="M30" s="1255" t="s">
        <v>148</v>
      </c>
      <c r="N30" s="91">
        <v>5</v>
      </c>
      <c r="O30" s="1405">
        <v>5</v>
      </c>
      <c r="P30" s="323"/>
      <c r="Q30" s="1374"/>
    </row>
    <row r="31" spans="1:20" s="341" customFormat="1" ht="24.75" customHeight="1" x14ac:dyDescent="0.2">
      <c r="A31" s="1239"/>
      <c r="B31" s="374"/>
      <c r="C31" s="369"/>
      <c r="D31" s="406"/>
      <c r="E31" s="406"/>
      <c r="F31" s="2016"/>
      <c r="G31" s="214"/>
      <c r="H31" s="389"/>
      <c r="I31" s="178"/>
      <c r="J31" s="1363"/>
      <c r="K31" s="1285"/>
      <c r="L31" s="1270"/>
      <c r="M31" s="1255" t="s">
        <v>149</v>
      </c>
      <c r="N31" s="91">
        <v>1100</v>
      </c>
      <c r="O31" s="1371">
        <v>1100</v>
      </c>
      <c r="P31" s="323"/>
      <c r="Q31" s="1374"/>
    </row>
    <row r="32" spans="1:20" s="341" customFormat="1" x14ac:dyDescent="0.2">
      <c r="A32" s="1239"/>
      <c r="B32" s="374"/>
      <c r="C32" s="369"/>
      <c r="D32" s="370" t="s">
        <v>175</v>
      </c>
      <c r="E32" s="370"/>
      <c r="F32" s="1878" t="s">
        <v>228</v>
      </c>
      <c r="G32" s="103"/>
      <c r="H32" s="401"/>
      <c r="I32" s="203" t="s">
        <v>15</v>
      </c>
      <c r="J32" s="1348">
        <v>55.8</v>
      </c>
      <c r="K32" s="122">
        <f>39.9-7.5</f>
        <v>32.4</v>
      </c>
      <c r="L32" s="1528">
        <v>32.4</v>
      </c>
      <c r="M32" s="2017" t="s">
        <v>229</v>
      </c>
      <c r="N32" s="97">
        <v>2019</v>
      </c>
      <c r="O32" s="1490" t="s">
        <v>431</v>
      </c>
      <c r="P32" s="1162"/>
      <c r="Q32" s="1373"/>
    </row>
    <row r="33" spans="1:28" s="405" customFormat="1" ht="24.75" customHeight="1" x14ac:dyDescent="0.2">
      <c r="A33" s="1243"/>
      <c r="B33" s="374"/>
      <c r="C33" s="386"/>
      <c r="D33" s="370"/>
      <c r="E33" s="370"/>
      <c r="F33" s="1924"/>
      <c r="G33" s="402"/>
      <c r="H33" s="403"/>
      <c r="I33" s="1045"/>
      <c r="J33" s="1363"/>
      <c r="K33" s="1285"/>
      <c r="L33" s="1270"/>
      <c r="M33" s="2017"/>
      <c r="N33" s="97"/>
      <c r="O33" s="1405"/>
      <c r="P33" s="1162"/>
      <c r="Q33" s="1373"/>
      <c r="AB33" s="338"/>
    </row>
    <row r="34" spans="1:28" s="341" customFormat="1" ht="12.75" customHeight="1" x14ac:dyDescent="0.2">
      <c r="A34" s="1235"/>
      <c r="B34" s="374"/>
      <c r="C34" s="369"/>
      <c r="D34" s="377" t="s">
        <v>178</v>
      </c>
      <c r="E34" s="377"/>
      <c r="F34" s="2014" t="s">
        <v>155</v>
      </c>
      <c r="G34" s="315"/>
      <c r="H34" s="371"/>
      <c r="I34" s="186" t="s">
        <v>15</v>
      </c>
      <c r="J34" s="1358">
        <f>6222.8-127-237.1</f>
        <v>5858.7</v>
      </c>
      <c r="K34" s="75">
        <f>5863.3-42.6+0.7</f>
        <v>5821.4</v>
      </c>
      <c r="L34" s="1548">
        <v>5820</v>
      </c>
      <c r="M34" s="1255" t="s">
        <v>148</v>
      </c>
      <c r="N34" s="91">
        <v>6</v>
      </c>
      <c r="O34" s="1403">
        <v>6</v>
      </c>
      <c r="P34" s="323"/>
      <c r="Q34" s="1374"/>
    </row>
    <row r="35" spans="1:28" s="341" customFormat="1" ht="15" customHeight="1" x14ac:dyDescent="0.2">
      <c r="A35" s="1235"/>
      <c r="B35" s="374"/>
      <c r="C35" s="369"/>
      <c r="D35" s="370"/>
      <c r="E35" s="370"/>
      <c r="F35" s="2015"/>
      <c r="G35" s="315"/>
      <c r="H35" s="371"/>
      <c r="I35" s="177" t="s">
        <v>45</v>
      </c>
      <c r="J35" s="1348">
        <v>330</v>
      </c>
      <c r="K35" s="122">
        <v>330</v>
      </c>
      <c r="L35" s="1528">
        <v>254.8</v>
      </c>
      <c r="M35" s="1354" t="s">
        <v>149</v>
      </c>
      <c r="N35" s="101">
        <v>5564</v>
      </c>
      <c r="O35" s="1404" t="s">
        <v>397</v>
      </c>
      <c r="P35" s="1999" t="s">
        <v>717</v>
      </c>
      <c r="Q35" s="2000"/>
      <c r="S35" s="1981"/>
      <c r="T35" s="1981"/>
      <c r="U35" s="1981"/>
    </row>
    <row r="36" spans="1:28" s="341" customFormat="1" ht="40.5" customHeight="1" x14ac:dyDescent="0.2">
      <c r="A36" s="1235"/>
      <c r="B36" s="374"/>
      <c r="C36" s="369"/>
      <c r="D36" s="370"/>
      <c r="E36" s="370"/>
      <c r="F36" s="2015"/>
      <c r="G36" s="315"/>
      <c r="H36" s="371"/>
      <c r="I36" s="203"/>
      <c r="J36" s="1363"/>
      <c r="K36" s="1285"/>
      <c r="L36" s="1270"/>
      <c r="M36" s="215" t="s">
        <v>230</v>
      </c>
      <c r="N36" s="101">
        <v>190</v>
      </c>
      <c r="O36" s="1409">
        <v>190</v>
      </c>
      <c r="P36" s="2001"/>
      <c r="Q36" s="2002"/>
      <c r="S36" s="1981"/>
      <c r="T36" s="1981"/>
      <c r="U36" s="1981"/>
    </row>
    <row r="37" spans="1:28" s="341" customFormat="1" ht="18" customHeight="1" x14ac:dyDescent="0.2">
      <c r="A37" s="1235"/>
      <c r="B37" s="374"/>
      <c r="C37" s="369"/>
      <c r="D37" s="377" t="s">
        <v>235</v>
      </c>
      <c r="E37" s="377"/>
      <c r="F37" s="2018" t="s">
        <v>62</v>
      </c>
      <c r="G37" s="309"/>
      <c r="H37" s="371"/>
      <c r="I37" s="532" t="s">
        <v>15</v>
      </c>
      <c r="J37" s="1358">
        <v>333.6</v>
      </c>
      <c r="K37" s="75">
        <v>333.6</v>
      </c>
      <c r="L37" s="1548">
        <v>333.5</v>
      </c>
      <c r="M37" s="1567" t="s">
        <v>156</v>
      </c>
      <c r="N37" s="101">
        <v>8500</v>
      </c>
      <c r="O37" s="101" t="s">
        <v>404</v>
      </c>
      <c r="P37" s="1854" t="s">
        <v>718</v>
      </c>
      <c r="Q37" s="1855"/>
    </row>
    <row r="38" spans="1:28" s="341" customFormat="1" ht="18" customHeight="1" x14ac:dyDescent="0.2">
      <c r="A38" s="1235"/>
      <c r="B38" s="374"/>
      <c r="C38" s="369"/>
      <c r="D38" s="370"/>
      <c r="E38" s="370"/>
      <c r="F38" s="2019"/>
      <c r="G38" s="309"/>
      <c r="H38" s="371"/>
      <c r="I38" s="186" t="s">
        <v>45</v>
      </c>
      <c r="J38" s="1345">
        <v>20</v>
      </c>
      <c r="K38" s="123">
        <v>20</v>
      </c>
      <c r="L38" s="1548">
        <v>29.9</v>
      </c>
      <c r="M38" s="1571"/>
      <c r="N38" s="97"/>
      <c r="O38" s="97"/>
      <c r="P38" s="1982"/>
      <c r="Q38" s="1983"/>
    </row>
    <row r="39" spans="1:28" s="341" customFormat="1" ht="18" customHeight="1" x14ac:dyDescent="0.2">
      <c r="A39" s="1235"/>
      <c r="B39" s="374"/>
      <c r="C39" s="369"/>
      <c r="D39" s="406"/>
      <c r="E39" s="406"/>
      <c r="F39" s="2020"/>
      <c r="G39" s="309"/>
      <c r="H39" s="371"/>
      <c r="I39" s="178" t="s">
        <v>97</v>
      </c>
      <c r="J39" s="1345"/>
      <c r="K39" s="123">
        <v>3.6</v>
      </c>
      <c r="L39" s="1267"/>
      <c r="M39" s="1566"/>
      <c r="N39" s="109"/>
      <c r="O39" s="109"/>
      <c r="P39" s="1856"/>
      <c r="Q39" s="1857"/>
    </row>
    <row r="40" spans="1:28" s="341" customFormat="1" ht="15" customHeight="1" x14ac:dyDescent="0.2">
      <c r="A40" s="1235"/>
      <c r="B40" s="374"/>
      <c r="C40" s="369"/>
      <c r="D40" s="1416" t="s">
        <v>236</v>
      </c>
      <c r="E40" s="1416"/>
      <c r="F40" s="1925" t="s">
        <v>157</v>
      </c>
      <c r="G40" s="309"/>
      <c r="H40" s="371"/>
      <c r="I40" s="178" t="s">
        <v>146</v>
      </c>
      <c r="J40" s="1345">
        <v>43.3</v>
      </c>
      <c r="K40" s="123">
        <v>0</v>
      </c>
      <c r="L40" s="1267">
        <v>0.6</v>
      </c>
      <c r="M40" s="1418" t="s">
        <v>120</v>
      </c>
      <c r="N40" s="1419">
        <v>85</v>
      </c>
      <c r="O40" s="1420">
        <v>8.3000000000000007</v>
      </c>
      <c r="P40" s="1850" t="s">
        <v>745</v>
      </c>
      <c r="Q40" s="1851"/>
    </row>
    <row r="41" spans="1:28" s="341" customFormat="1" ht="15" customHeight="1" x14ac:dyDescent="0.2">
      <c r="A41" s="1235"/>
      <c r="B41" s="374"/>
      <c r="C41" s="369"/>
      <c r="D41" s="1416"/>
      <c r="E41" s="1416"/>
      <c r="F41" s="1925"/>
      <c r="G41" s="309"/>
      <c r="H41" s="371"/>
      <c r="I41" s="186" t="s">
        <v>15</v>
      </c>
      <c r="J41" s="1345">
        <v>3.8</v>
      </c>
      <c r="K41" s="123">
        <v>4.5999999999999996</v>
      </c>
      <c r="L41" s="1267">
        <v>4.4000000000000004</v>
      </c>
      <c r="M41" s="1418"/>
      <c r="N41" s="1419"/>
      <c r="O41" s="1419"/>
      <c r="P41" s="1984"/>
      <c r="Q41" s="1985"/>
    </row>
    <row r="42" spans="1:28" s="341" customFormat="1" ht="12.75" customHeight="1" thickBot="1" x14ac:dyDescent="0.25">
      <c r="A42" s="1235"/>
      <c r="B42" s="374"/>
      <c r="C42" s="369"/>
      <c r="D42" s="1417"/>
      <c r="E42" s="1417"/>
      <c r="F42" s="1988"/>
      <c r="G42" s="309"/>
      <c r="H42" s="371"/>
      <c r="I42" s="177" t="s">
        <v>3</v>
      </c>
      <c r="J42" s="1345">
        <v>3.8</v>
      </c>
      <c r="K42" s="123">
        <v>3.8</v>
      </c>
      <c r="L42" s="1267">
        <v>3.6</v>
      </c>
      <c r="M42" s="1421"/>
      <c r="N42" s="1422"/>
      <c r="O42" s="1422"/>
      <c r="P42" s="1852"/>
      <c r="Q42" s="1853"/>
    </row>
    <row r="43" spans="1:28" s="341" customFormat="1" ht="17.25" customHeight="1" x14ac:dyDescent="0.2">
      <c r="A43" s="1246"/>
      <c r="B43" s="368"/>
      <c r="C43" s="375"/>
      <c r="D43" s="379" t="s">
        <v>5</v>
      </c>
      <c r="E43" s="370"/>
      <c r="F43" s="1989" t="s">
        <v>158</v>
      </c>
      <c r="G43" s="319"/>
      <c r="H43" s="409"/>
      <c r="I43" s="532" t="s">
        <v>15</v>
      </c>
      <c r="J43" s="1358">
        <v>430.5</v>
      </c>
      <c r="K43" s="75">
        <f>434.3+0.5</f>
        <v>434.8</v>
      </c>
      <c r="L43" s="1548">
        <v>434.6</v>
      </c>
      <c r="M43" s="1058" t="s">
        <v>156</v>
      </c>
      <c r="N43" s="96">
        <v>150</v>
      </c>
      <c r="O43" s="96">
        <v>152</v>
      </c>
      <c r="P43" s="1167"/>
      <c r="Q43" s="1372"/>
    </row>
    <row r="44" spans="1:28" s="341" customFormat="1" x14ac:dyDescent="0.2">
      <c r="A44" s="1246"/>
      <c r="B44" s="368"/>
      <c r="C44" s="375"/>
      <c r="D44" s="379"/>
      <c r="E44" s="370"/>
      <c r="F44" s="1990"/>
      <c r="G44" s="319"/>
      <c r="H44" s="389"/>
      <c r="I44" s="532" t="s">
        <v>45</v>
      </c>
      <c r="J44" s="1359">
        <v>39.6</v>
      </c>
      <c r="K44" s="472">
        <v>39.6</v>
      </c>
      <c r="L44" s="1548">
        <v>40</v>
      </c>
      <c r="M44" s="1055"/>
      <c r="N44" s="413"/>
      <c r="O44" s="413"/>
      <c r="P44" s="1451"/>
      <c r="Q44" s="1378"/>
    </row>
    <row r="45" spans="1:28" s="341" customFormat="1" ht="28.5" customHeight="1" x14ac:dyDescent="0.2">
      <c r="A45" s="1246"/>
      <c r="B45" s="368"/>
      <c r="C45" s="375"/>
      <c r="D45" s="376" t="s">
        <v>237</v>
      </c>
      <c r="E45" s="377"/>
      <c r="F45" s="1135" t="s">
        <v>159</v>
      </c>
      <c r="G45" s="309"/>
      <c r="H45" s="371"/>
      <c r="I45" s="203" t="s">
        <v>15</v>
      </c>
      <c r="J45" s="1199">
        <v>218.5</v>
      </c>
      <c r="K45" s="76">
        <v>219.4</v>
      </c>
      <c r="L45" s="1548">
        <v>219.2</v>
      </c>
      <c r="M45" s="221" t="s">
        <v>238</v>
      </c>
      <c r="N45" s="91">
        <v>695</v>
      </c>
      <c r="O45" s="91">
        <v>781</v>
      </c>
      <c r="P45" s="1565"/>
      <c r="Q45" s="1374"/>
    </row>
    <row r="46" spans="1:28" x14ac:dyDescent="0.2">
      <c r="A46" s="1246"/>
      <c r="B46" s="368"/>
      <c r="C46" s="375"/>
      <c r="D46" s="379"/>
      <c r="E46" s="370"/>
      <c r="F46" s="1141"/>
      <c r="G46" s="309"/>
      <c r="H46" s="371"/>
      <c r="I46" s="177" t="s">
        <v>45</v>
      </c>
      <c r="J46" s="1201">
        <v>32</v>
      </c>
      <c r="K46" s="1309">
        <v>32</v>
      </c>
      <c r="L46" s="1528">
        <v>26.3</v>
      </c>
      <c r="M46" s="49" t="s">
        <v>239</v>
      </c>
      <c r="N46" s="97">
        <v>20</v>
      </c>
      <c r="O46" s="97">
        <v>20</v>
      </c>
      <c r="P46" s="1571"/>
      <c r="Q46" s="1373"/>
    </row>
    <row r="47" spans="1:28" ht="31.15" customHeight="1" thickBot="1" x14ac:dyDescent="0.25">
      <c r="A47" s="1246"/>
      <c r="B47" s="368"/>
      <c r="C47" s="375"/>
      <c r="D47" s="414"/>
      <c r="E47" s="370"/>
      <c r="F47" s="1141"/>
      <c r="G47" s="309"/>
      <c r="H47" s="371"/>
      <c r="I47" s="203"/>
      <c r="J47" s="1362"/>
      <c r="K47" s="480"/>
      <c r="L47" s="1275"/>
      <c r="M47" s="215" t="s">
        <v>160</v>
      </c>
      <c r="N47" s="101">
        <v>15000</v>
      </c>
      <c r="O47" s="101" t="s">
        <v>414</v>
      </c>
      <c r="P47" s="1567"/>
      <c r="Q47" s="1375"/>
    </row>
    <row r="48" spans="1:28" ht="27.75" customHeight="1" x14ac:dyDescent="0.2">
      <c r="A48" s="1246"/>
      <c r="B48" s="368"/>
      <c r="C48" s="375"/>
      <c r="D48" s="379" t="s">
        <v>240</v>
      </c>
      <c r="E48" s="377"/>
      <c r="F48" s="1923" t="s">
        <v>241</v>
      </c>
      <c r="G48" s="309"/>
      <c r="H48" s="417"/>
      <c r="I48" s="55" t="s">
        <v>15</v>
      </c>
      <c r="J48" s="1203">
        <v>10.1</v>
      </c>
      <c r="K48" s="550">
        <v>10.1</v>
      </c>
      <c r="L48" s="1274">
        <v>10.1</v>
      </c>
      <c r="M48" s="1256" t="s">
        <v>161</v>
      </c>
      <c r="N48" s="95">
        <v>158</v>
      </c>
      <c r="O48" s="1493">
        <v>158</v>
      </c>
      <c r="P48" s="1535"/>
      <c r="Q48" s="1536"/>
    </row>
    <row r="49" spans="1:17" ht="13.5" customHeight="1" thickBot="1" x14ac:dyDescent="0.25">
      <c r="A49" s="1246"/>
      <c r="B49" s="368"/>
      <c r="C49" s="375"/>
      <c r="D49" s="379"/>
      <c r="E49" s="370"/>
      <c r="F49" s="1924"/>
      <c r="G49" s="212"/>
      <c r="H49" s="417"/>
      <c r="I49" s="1194"/>
      <c r="J49" s="1362"/>
      <c r="K49" s="480"/>
      <c r="L49" s="1275"/>
      <c r="M49" s="1257" t="s">
        <v>162</v>
      </c>
      <c r="N49" s="226">
        <v>9</v>
      </c>
      <c r="O49" s="1404">
        <v>9</v>
      </c>
      <c r="P49" s="1537"/>
      <c r="Q49" s="1538"/>
    </row>
    <row r="50" spans="1:17" ht="44.25" customHeight="1" x14ac:dyDescent="0.2">
      <c r="A50" s="1243"/>
      <c r="B50" s="368"/>
      <c r="C50" s="375"/>
      <c r="D50" s="1581" t="s">
        <v>242</v>
      </c>
      <c r="E50" s="1582"/>
      <c r="F50" s="1991" t="s">
        <v>243</v>
      </c>
      <c r="G50" s="309"/>
      <c r="H50" s="417"/>
      <c r="I50" s="55" t="s">
        <v>15</v>
      </c>
      <c r="J50" s="1348">
        <v>7</v>
      </c>
      <c r="K50" s="122">
        <v>0</v>
      </c>
      <c r="L50" s="1242">
        <v>0</v>
      </c>
      <c r="M50" s="1584" t="s">
        <v>244</v>
      </c>
      <c r="N50" s="1585">
        <v>1</v>
      </c>
      <c r="O50" s="1585">
        <v>0</v>
      </c>
      <c r="P50" s="2003" t="s">
        <v>730</v>
      </c>
      <c r="Q50" s="2004"/>
    </row>
    <row r="51" spans="1:17" x14ac:dyDescent="0.2">
      <c r="A51" s="1243"/>
      <c r="B51" s="368"/>
      <c r="C51" s="375"/>
      <c r="D51" s="1583"/>
      <c r="E51" s="1441"/>
      <c r="F51" s="1992"/>
      <c r="G51" s="309"/>
      <c r="H51" s="417"/>
      <c r="I51" s="83"/>
      <c r="J51" s="1347"/>
      <c r="K51" s="126"/>
      <c r="L51" s="1268"/>
      <c r="M51" s="1586" t="s">
        <v>245</v>
      </c>
      <c r="N51" s="1587">
        <v>5</v>
      </c>
      <c r="O51" s="1587">
        <v>0</v>
      </c>
      <c r="P51" s="1848" t="s">
        <v>719</v>
      </c>
      <c r="Q51" s="1849"/>
    </row>
    <row r="52" spans="1:17" ht="39" thickBot="1" x14ac:dyDescent="0.25">
      <c r="A52" s="1243"/>
      <c r="B52" s="368"/>
      <c r="C52" s="375"/>
      <c r="D52" s="376" t="s">
        <v>246</v>
      </c>
      <c r="E52" s="377"/>
      <c r="F52" s="1245" t="s">
        <v>163</v>
      </c>
      <c r="G52" s="212"/>
      <c r="H52" s="417"/>
      <c r="I52" s="1194"/>
      <c r="J52" s="1366"/>
      <c r="K52" s="1367"/>
      <c r="L52" s="1368"/>
      <c r="M52" s="1055"/>
      <c r="N52" s="97"/>
      <c r="O52" s="97"/>
      <c r="P52" s="1162"/>
      <c r="Q52" s="1373"/>
    </row>
    <row r="53" spans="1:17" ht="41.25" customHeight="1" x14ac:dyDescent="0.2">
      <c r="A53" s="1243"/>
      <c r="B53" s="368"/>
      <c r="C53" s="375"/>
      <c r="D53" s="379"/>
      <c r="E53" s="377" t="s">
        <v>14</v>
      </c>
      <c r="F53" s="1136" t="s">
        <v>164</v>
      </c>
      <c r="G53" s="309"/>
      <c r="H53" s="417"/>
      <c r="I53" s="203" t="s">
        <v>15</v>
      </c>
      <c r="J53" s="1348">
        <v>10.7</v>
      </c>
      <c r="K53" s="122">
        <v>32.200000000000003</v>
      </c>
      <c r="L53" s="1242">
        <v>23.2</v>
      </c>
      <c r="M53" s="1258" t="s">
        <v>712</v>
      </c>
      <c r="N53" s="95">
        <v>93</v>
      </c>
      <c r="O53" s="95">
        <v>81</v>
      </c>
      <c r="P53" s="2007" t="s">
        <v>747</v>
      </c>
      <c r="Q53" s="2005" t="s">
        <v>748</v>
      </c>
    </row>
    <row r="54" spans="1:17" x14ac:dyDescent="0.2">
      <c r="A54" s="1243"/>
      <c r="B54" s="368"/>
      <c r="C54" s="375"/>
      <c r="D54" s="379"/>
      <c r="E54" s="370"/>
      <c r="F54" s="1137"/>
      <c r="G54" s="309"/>
      <c r="H54" s="417"/>
      <c r="I54" s="178"/>
      <c r="J54" s="1363"/>
      <c r="K54" s="1285"/>
      <c r="L54" s="1270"/>
      <c r="M54" s="1055" t="s">
        <v>248</v>
      </c>
      <c r="N54" s="97">
        <v>71</v>
      </c>
      <c r="O54" s="97">
        <v>71</v>
      </c>
      <c r="P54" s="1900"/>
      <c r="Q54" s="2006"/>
    </row>
    <row r="55" spans="1:17" ht="30" customHeight="1" thickBot="1" x14ac:dyDescent="0.25">
      <c r="A55" s="1243"/>
      <c r="B55" s="368"/>
      <c r="C55" s="375"/>
      <c r="D55" s="379"/>
      <c r="E55" s="435" t="s">
        <v>17</v>
      </c>
      <c r="F55" s="57" t="s">
        <v>165</v>
      </c>
      <c r="G55" s="309"/>
      <c r="H55" s="417"/>
      <c r="I55" s="203" t="s">
        <v>15</v>
      </c>
      <c r="J55" s="1345">
        <v>31.5</v>
      </c>
      <c r="K55" s="123">
        <v>31.5</v>
      </c>
      <c r="L55" s="1548">
        <v>26.4</v>
      </c>
      <c r="M55" s="1259" t="s">
        <v>148</v>
      </c>
      <c r="N55" s="226">
        <v>2</v>
      </c>
      <c r="O55" s="226">
        <v>2</v>
      </c>
      <c r="P55" s="2008" t="s">
        <v>731</v>
      </c>
      <c r="Q55" s="2009"/>
    </row>
    <row r="56" spans="1:17" ht="25.5" x14ac:dyDescent="0.2">
      <c r="A56" s="1243"/>
      <c r="B56" s="368"/>
      <c r="C56" s="375"/>
      <c r="D56" s="379"/>
      <c r="E56" s="377" t="s">
        <v>19</v>
      </c>
      <c r="F56" s="1135" t="s">
        <v>249</v>
      </c>
      <c r="G56" s="314" t="s">
        <v>194</v>
      </c>
      <c r="H56" s="417"/>
      <c r="I56" s="55"/>
      <c r="J56" s="1364"/>
      <c r="K56" s="64"/>
      <c r="L56" s="1272"/>
      <c r="M56" s="1058"/>
      <c r="N56" s="96"/>
      <c r="O56" s="96"/>
      <c r="P56" s="1167"/>
      <c r="Q56" s="1168"/>
    </row>
    <row r="57" spans="1:17" ht="28.5" customHeight="1" x14ac:dyDescent="0.2">
      <c r="A57" s="1243"/>
      <c r="B57" s="368"/>
      <c r="C57" s="375"/>
      <c r="D57" s="379"/>
      <c r="E57" s="370"/>
      <c r="F57" s="1878" t="s">
        <v>250</v>
      </c>
      <c r="G57" s="214"/>
      <c r="H57" s="417"/>
      <c r="I57" s="83" t="s">
        <v>15</v>
      </c>
      <c r="J57" s="1365">
        <v>21</v>
      </c>
      <c r="K57" s="66">
        <f>33.8+15</f>
        <v>48.8</v>
      </c>
      <c r="L57" s="1271">
        <v>50</v>
      </c>
      <c r="M57" s="1056" t="s">
        <v>153</v>
      </c>
      <c r="N57" s="109">
        <v>72</v>
      </c>
      <c r="O57" s="109">
        <v>88</v>
      </c>
      <c r="P57" s="1856" t="s">
        <v>749</v>
      </c>
      <c r="Q57" s="1857"/>
    </row>
    <row r="58" spans="1:17" ht="28.5" customHeight="1" x14ac:dyDescent="0.2">
      <c r="A58" s="1243"/>
      <c r="B58" s="368"/>
      <c r="C58" s="375"/>
      <c r="D58" s="379"/>
      <c r="E58" s="370"/>
      <c r="F58" s="1924"/>
      <c r="G58" s="214"/>
      <c r="H58" s="417"/>
      <c r="I58" s="1194"/>
      <c r="J58" s="1346"/>
      <c r="K58" s="1286"/>
      <c r="L58" s="1273"/>
      <c r="M58" s="1055" t="s">
        <v>251</v>
      </c>
      <c r="N58" s="97">
        <v>8</v>
      </c>
      <c r="O58" s="97">
        <v>5</v>
      </c>
      <c r="P58" s="1792" t="s">
        <v>750</v>
      </c>
      <c r="Q58" s="1793"/>
    </row>
    <row r="59" spans="1:17" ht="28.5" customHeight="1" thickBot="1" x14ac:dyDescent="0.25">
      <c r="A59" s="1243"/>
      <c r="B59" s="368"/>
      <c r="C59" s="375"/>
      <c r="D59" s="379"/>
      <c r="E59" s="698"/>
      <c r="F59" s="57" t="s">
        <v>252</v>
      </c>
      <c r="G59" s="103"/>
      <c r="H59" s="1512"/>
      <c r="I59" s="1194" t="s">
        <v>15</v>
      </c>
      <c r="J59" s="1358">
        <v>50</v>
      </c>
      <c r="K59" s="75">
        <f>50</f>
        <v>50</v>
      </c>
      <c r="L59" s="133"/>
      <c r="M59" s="1259" t="s">
        <v>253</v>
      </c>
      <c r="N59" s="226">
        <v>2</v>
      </c>
      <c r="O59" s="226">
        <v>2</v>
      </c>
      <c r="P59" s="423"/>
      <c r="Q59" s="1538"/>
    </row>
    <row r="60" spans="1:17" ht="14.25" customHeight="1" x14ac:dyDescent="0.2">
      <c r="A60" s="1244"/>
      <c r="B60" s="425"/>
      <c r="C60" s="426"/>
      <c r="D60" s="379"/>
      <c r="E60" s="598" t="s">
        <v>21</v>
      </c>
      <c r="F60" s="1923" t="s">
        <v>254</v>
      </c>
      <c r="G60" s="2010" t="s">
        <v>57</v>
      </c>
      <c r="H60" s="401"/>
      <c r="I60" s="203" t="s">
        <v>15</v>
      </c>
      <c r="J60" s="1348">
        <v>41</v>
      </c>
      <c r="K60" s="122">
        <f>41-7.1</f>
        <v>33.9</v>
      </c>
      <c r="L60" s="1549">
        <v>33.700000000000003</v>
      </c>
      <c r="M60" s="1256" t="s">
        <v>148</v>
      </c>
      <c r="N60" s="95">
        <v>4</v>
      </c>
      <c r="O60" s="95">
        <v>4</v>
      </c>
      <c r="P60" s="220"/>
      <c r="Q60" s="1379"/>
    </row>
    <row r="61" spans="1:17" ht="28.5" customHeight="1" x14ac:dyDescent="0.2">
      <c r="A61" s="1244"/>
      <c r="B61" s="425"/>
      <c r="C61" s="426"/>
      <c r="D61" s="379"/>
      <c r="E61" s="698"/>
      <c r="F61" s="1924"/>
      <c r="G61" s="2011"/>
      <c r="H61" s="401"/>
      <c r="I61" s="178"/>
      <c r="J61" s="1363"/>
      <c r="K61" s="1285"/>
      <c r="L61" s="1270"/>
      <c r="M61" s="1165" t="s">
        <v>153</v>
      </c>
      <c r="N61" s="109">
        <v>44</v>
      </c>
      <c r="O61" s="97">
        <v>35</v>
      </c>
      <c r="P61" s="1792" t="s">
        <v>722</v>
      </c>
      <c r="Q61" s="1793"/>
    </row>
    <row r="62" spans="1:17" ht="25.5" x14ac:dyDescent="0.2">
      <c r="A62" s="1243"/>
      <c r="B62" s="368"/>
      <c r="C62" s="375"/>
      <c r="D62" s="379"/>
      <c r="E62" s="598" t="s">
        <v>22</v>
      </c>
      <c r="F62" s="1138" t="s">
        <v>255</v>
      </c>
      <c r="G62" s="1513"/>
      <c r="H62" s="1512"/>
      <c r="I62" s="203" t="s">
        <v>15</v>
      </c>
      <c r="J62" s="1348">
        <v>28.4</v>
      </c>
      <c r="K62" s="122">
        <v>28.4</v>
      </c>
      <c r="L62" s="1549">
        <f>SUM(L63:L63)+28.4</f>
        <v>28.4</v>
      </c>
      <c r="M62" s="1254" t="s">
        <v>256</v>
      </c>
      <c r="N62" s="109">
        <v>1</v>
      </c>
      <c r="O62" s="1514">
        <v>1</v>
      </c>
      <c r="P62" s="1164"/>
      <c r="Q62" s="1376"/>
    </row>
    <row r="63" spans="1:17" ht="16.5" customHeight="1" thickBot="1" x14ac:dyDescent="0.25">
      <c r="A63" s="1243"/>
      <c r="B63" s="368"/>
      <c r="C63" s="375"/>
      <c r="D63" s="414"/>
      <c r="E63" s="698"/>
      <c r="F63" s="1137"/>
      <c r="G63" s="1513"/>
      <c r="H63" s="1512"/>
      <c r="I63" s="203"/>
      <c r="J63" s="1363"/>
      <c r="K63" s="1285"/>
      <c r="L63" s="1270"/>
      <c r="M63" s="1257" t="s">
        <v>257</v>
      </c>
      <c r="N63" s="428">
        <v>1.26</v>
      </c>
      <c r="O63" s="1515">
        <v>1.26</v>
      </c>
      <c r="P63" s="1539"/>
      <c r="Q63" s="1380"/>
    </row>
    <row r="64" spans="1:17" ht="41.25" customHeight="1" x14ac:dyDescent="0.2">
      <c r="A64" s="1211"/>
      <c r="B64" s="431"/>
      <c r="C64" s="432"/>
      <c r="D64" s="370" t="s">
        <v>258</v>
      </c>
      <c r="E64" s="598"/>
      <c r="F64" s="1136" t="s">
        <v>121</v>
      </c>
      <c r="G64" s="233"/>
      <c r="H64" s="433"/>
      <c r="I64" s="111" t="s">
        <v>15</v>
      </c>
      <c r="J64" s="1359">
        <v>564</v>
      </c>
      <c r="K64" s="472">
        <v>591.29999999999995</v>
      </c>
      <c r="L64" s="1995">
        <v>645.9</v>
      </c>
      <c r="M64" s="128" t="s">
        <v>725</v>
      </c>
      <c r="N64" s="240">
        <v>473</v>
      </c>
      <c r="O64" s="1516">
        <v>473</v>
      </c>
      <c r="P64" s="1540"/>
      <c r="Q64" s="1541"/>
    </row>
    <row r="65" spans="1:22" ht="30" customHeight="1" x14ac:dyDescent="0.2">
      <c r="A65" s="1211"/>
      <c r="B65" s="431"/>
      <c r="C65" s="432"/>
      <c r="D65" s="370"/>
      <c r="E65" s="370"/>
      <c r="F65" s="1138"/>
      <c r="G65" s="235"/>
      <c r="H65" s="433"/>
      <c r="I65" s="187" t="s">
        <v>15</v>
      </c>
      <c r="J65" s="1201">
        <v>49.5</v>
      </c>
      <c r="K65" s="1309">
        <v>57.8</v>
      </c>
      <c r="L65" s="1996"/>
      <c r="M65" s="1260" t="s">
        <v>167</v>
      </c>
      <c r="N65" s="1330">
        <v>14.5</v>
      </c>
      <c r="O65" s="1408">
        <v>10.5</v>
      </c>
      <c r="P65" s="2012" t="s">
        <v>751</v>
      </c>
      <c r="Q65" s="2013"/>
    </row>
    <row r="66" spans="1:22" ht="54.75" customHeight="1" x14ac:dyDescent="0.2">
      <c r="A66" s="1211"/>
      <c r="B66" s="431"/>
      <c r="C66" s="432"/>
      <c r="D66" s="370"/>
      <c r="E66" s="370"/>
      <c r="F66" s="1138"/>
      <c r="G66" s="235"/>
      <c r="H66" s="433"/>
      <c r="I66" s="1045"/>
      <c r="J66" s="1362"/>
      <c r="K66" s="480"/>
      <c r="L66" s="1275"/>
      <c r="M66" s="1260" t="s">
        <v>746</v>
      </c>
      <c r="N66" s="240">
        <v>72</v>
      </c>
      <c r="O66" s="240">
        <v>44</v>
      </c>
      <c r="P66" s="1993" t="s">
        <v>752</v>
      </c>
      <c r="Q66" s="1994"/>
    </row>
    <row r="67" spans="1:22" ht="18" customHeight="1" x14ac:dyDescent="0.2">
      <c r="A67" s="1211"/>
      <c r="B67" s="431"/>
      <c r="C67" s="740"/>
      <c r="D67" s="435" t="s">
        <v>701</v>
      </c>
      <c r="E67" s="435"/>
      <c r="F67" s="57" t="s">
        <v>66</v>
      </c>
      <c r="G67" s="1062"/>
      <c r="H67" s="403"/>
      <c r="I67" s="1050"/>
      <c r="J67" s="1359"/>
      <c r="K67" s="472"/>
      <c r="L67" s="1214"/>
      <c r="M67" s="1261" t="s">
        <v>168</v>
      </c>
      <c r="N67" s="92">
        <v>17</v>
      </c>
      <c r="O67" s="92">
        <v>17</v>
      </c>
      <c r="P67" s="323"/>
      <c r="Q67" s="1374"/>
    </row>
    <row r="68" spans="1:22" ht="18" customHeight="1" x14ac:dyDescent="0.2">
      <c r="A68" s="1211"/>
      <c r="B68" s="431"/>
      <c r="C68" s="426"/>
      <c r="D68" s="379" t="s">
        <v>260</v>
      </c>
      <c r="E68" s="370"/>
      <c r="F68" s="1137" t="s">
        <v>122</v>
      </c>
      <c r="G68" s="183"/>
      <c r="H68" s="441"/>
      <c r="I68" s="708" t="s">
        <v>15</v>
      </c>
      <c r="J68" s="1359">
        <v>314.39999999999998</v>
      </c>
      <c r="K68" s="472">
        <v>314.39999999999998</v>
      </c>
      <c r="L68" s="1548">
        <v>312.60000000000002</v>
      </c>
      <c r="M68" s="1260" t="s">
        <v>149</v>
      </c>
      <c r="N68" s="101">
        <v>1166</v>
      </c>
      <c r="O68" s="101" t="s">
        <v>426</v>
      </c>
      <c r="P68" s="1567"/>
      <c r="Q68" s="1375"/>
    </row>
    <row r="69" spans="1:22" ht="16.149999999999999" customHeight="1" x14ac:dyDescent="0.2">
      <c r="A69" s="1211"/>
      <c r="B69" s="431"/>
      <c r="C69" s="426"/>
      <c r="D69" s="376" t="s">
        <v>261</v>
      </c>
      <c r="E69" s="377"/>
      <c r="F69" s="1923" t="s">
        <v>263</v>
      </c>
      <c r="G69" s="183"/>
      <c r="H69" s="441"/>
      <c r="I69" s="1360"/>
      <c r="J69" s="1203"/>
      <c r="K69" s="550"/>
      <c r="L69" s="1274"/>
      <c r="M69" s="234" t="s">
        <v>148</v>
      </c>
      <c r="N69" s="1588">
        <v>1</v>
      </c>
      <c r="O69" s="1403">
        <v>1</v>
      </c>
      <c r="P69" s="1414"/>
      <c r="Q69" s="1410"/>
    </row>
    <row r="70" spans="1:22" s="341" customFormat="1" ht="16.149999999999999" customHeight="1" x14ac:dyDescent="0.2">
      <c r="A70" s="1211"/>
      <c r="B70" s="431"/>
      <c r="C70" s="426"/>
      <c r="D70" s="414"/>
      <c r="E70" s="406"/>
      <c r="F70" s="1924"/>
      <c r="G70" s="183"/>
      <c r="H70" s="441"/>
      <c r="I70" s="1361"/>
      <c r="J70" s="1362"/>
      <c r="K70" s="480"/>
      <c r="L70" s="1275"/>
      <c r="M70" s="234" t="s">
        <v>149</v>
      </c>
      <c r="N70" s="1588">
        <v>9</v>
      </c>
      <c r="O70" s="1589">
        <v>4</v>
      </c>
      <c r="P70" s="2012" t="s">
        <v>716</v>
      </c>
      <c r="Q70" s="2013"/>
      <c r="S70" s="136"/>
    </row>
    <row r="71" spans="1:22" ht="15" customHeight="1" x14ac:dyDescent="0.2">
      <c r="A71" s="1179"/>
      <c r="B71" s="431"/>
      <c r="C71" s="432"/>
      <c r="D71" s="370" t="s">
        <v>262</v>
      </c>
      <c r="E71" s="370"/>
      <c r="F71" s="1923" t="s">
        <v>169</v>
      </c>
      <c r="G71" s="307"/>
      <c r="H71" s="403"/>
      <c r="I71" s="189" t="s">
        <v>15</v>
      </c>
      <c r="J71" s="1203">
        <v>70</v>
      </c>
      <c r="K71" s="550">
        <f>57.2-0.7</f>
        <v>56.5</v>
      </c>
      <c r="L71" s="1528">
        <v>56.1</v>
      </c>
      <c r="M71" s="104" t="s">
        <v>148</v>
      </c>
      <c r="N71" s="97">
        <v>92</v>
      </c>
      <c r="O71" s="97">
        <v>92</v>
      </c>
      <c r="P71" s="1162"/>
      <c r="Q71" s="1373"/>
    </row>
    <row r="72" spans="1:22" ht="13.5" thickBot="1" x14ac:dyDescent="0.25">
      <c r="A72" s="1241"/>
      <c r="B72" s="456"/>
      <c r="C72" s="457"/>
      <c r="D72" s="458"/>
      <c r="E72" s="388"/>
      <c r="F72" s="1879"/>
      <c r="G72" s="1986" t="s">
        <v>64</v>
      </c>
      <c r="H72" s="1987"/>
      <c r="I72" s="1987"/>
      <c r="J72" s="184">
        <f>SUM(J15:J71)</f>
        <v>78482.3</v>
      </c>
      <c r="K72" s="459">
        <f>SUM(K15:K71)</f>
        <v>80022.8</v>
      </c>
      <c r="L72" s="502">
        <f>SUM(L15:L71)</f>
        <v>76945.7</v>
      </c>
      <c r="M72" s="1063"/>
      <c r="N72" s="1351"/>
      <c r="O72" s="1351"/>
      <c r="P72" s="1484"/>
      <c r="Q72" s="1381"/>
    </row>
    <row r="73" spans="1:22" ht="25.5" x14ac:dyDescent="0.2">
      <c r="A73" s="1189" t="s">
        <v>14</v>
      </c>
      <c r="B73" s="464" t="s">
        <v>14</v>
      </c>
      <c r="C73" s="465" t="s">
        <v>17</v>
      </c>
      <c r="D73" s="466"/>
      <c r="E73" s="466"/>
      <c r="F73" s="1149" t="s">
        <v>123</v>
      </c>
      <c r="G73" s="303"/>
      <c r="H73" s="467">
        <v>2</v>
      </c>
      <c r="I73" s="468"/>
      <c r="J73" s="202"/>
      <c r="K73" s="469"/>
      <c r="L73" s="1281"/>
      <c r="M73" s="142"/>
      <c r="N73" s="443"/>
      <c r="O73" s="443"/>
      <c r="P73" s="1167"/>
      <c r="Q73" s="1372"/>
    </row>
    <row r="74" spans="1:22" ht="38.25" x14ac:dyDescent="0.2">
      <c r="A74" s="1211"/>
      <c r="B74" s="431"/>
      <c r="C74" s="432"/>
      <c r="D74" s="435" t="s">
        <v>14</v>
      </c>
      <c r="E74" s="435"/>
      <c r="F74" s="174" t="s">
        <v>124</v>
      </c>
      <c r="G74" s="307"/>
      <c r="H74" s="403"/>
      <c r="I74" s="1050" t="s">
        <v>18</v>
      </c>
      <c r="J74" s="471">
        <v>205.4</v>
      </c>
      <c r="K74" s="472">
        <v>205.4</v>
      </c>
      <c r="L74" s="1550">
        <v>204.3</v>
      </c>
      <c r="M74" s="234" t="s">
        <v>149</v>
      </c>
      <c r="N74" s="92">
        <v>2692</v>
      </c>
      <c r="O74" s="92" t="s">
        <v>476</v>
      </c>
      <c r="P74" s="323"/>
      <c r="Q74" s="1374"/>
      <c r="V74" s="338" t="s">
        <v>125</v>
      </c>
    </row>
    <row r="75" spans="1:22" s="341" customFormat="1" ht="14.25" customHeight="1" x14ac:dyDescent="0.2">
      <c r="A75" s="1211"/>
      <c r="B75" s="431"/>
      <c r="C75" s="432"/>
      <c r="D75" s="476" t="s">
        <v>17</v>
      </c>
      <c r="E75" s="476"/>
      <c r="F75" s="1144" t="s">
        <v>65</v>
      </c>
      <c r="G75" s="307"/>
      <c r="H75" s="403"/>
      <c r="I75" s="708" t="s">
        <v>15</v>
      </c>
      <c r="J75" s="2055">
        <f>70+30</f>
        <v>100</v>
      </c>
      <c r="K75" s="550">
        <v>99.8</v>
      </c>
      <c r="L75" s="1551">
        <v>99.7</v>
      </c>
      <c r="M75" s="1829" t="s">
        <v>83</v>
      </c>
      <c r="N75" s="2066">
        <v>4800</v>
      </c>
      <c r="O75" s="1331" t="s">
        <v>485</v>
      </c>
      <c r="P75" s="1854" t="s">
        <v>753</v>
      </c>
      <c r="Q75" s="1855"/>
      <c r="R75" s="136"/>
    </row>
    <row r="76" spans="1:22" s="341" customFormat="1" ht="14.25" customHeight="1" x14ac:dyDescent="0.2">
      <c r="A76" s="1211"/>
      <c r="B76" s="431"/>
      <c r="C76" s="432"/>
      <c r="D76" s="476"/>
      <c r="E76" s="476"/>
      <c r="F76" s="1145"/>
      <c r="G76" s="307"/>
      <c r="H76" s="547"/>
      <c r="I76" s="1240"/>
      <c r="J76" s="2055"/>
      <c r="K76" s="480"/>
      <c r="L76" s="1283"/>
      <c r="M76" s="1829"/>
      <c r="N76" s="2066"/>
      <c r="O76" s="1331"/>
      <c r="P76" s="1856"/>
      <c r="Q76" s="1857"/>
      <c r="R76" s="136"/>
    </row>
    <row r="77" spans="1:22" ht="38.25" x14ac:dyDescent="0.2">
      <c r="A77" s="1239"/>
      <c r="B77" s="431"/>
      <c r="C77" s="432"/>
      <c r="D77" s="435" t="s">
        <v>19</v>
      </c>
      <c r="E77" s="435"/>
      <c r="F77" s="174" t="s">
        <v>126</v>
      </c>
      <c r="G77" s="307"/>
      <c r="H77" s="441"/>
      <c r="I77" s="1050" t="s">
        <v>15</v>
      </c>
      <c r="J77" s="471">
        <v>55.9</v>
      </c>
      <c r="K77" s="472">
        <v>53.2</v>
      </c>
      <c r="L77" s="1552">
        <v>52</v>
      </c>
      <c r="M77" s="234" t="s">
        <v>170</v>
      </c>
      <c r="N77" s="92">
        <v>25</v>
      </c>
      <c r="O77" s="1371">
        <v>34</v>
      </c>
      <c r="P77" s="323"/>
      <c r="Q77" s="1374"/>
      <c r="R77" s="104"/>
    </row>
    <row r="78" spans="1:22" ht="12.75" customHeight="1" x14ac:dyDescent="0.2">
      <c r="A78" s="1239"/>
      <c r="B78" s="431"/>
      <c r="C78" s="432"/>
      <c r="D78" s="476" t="s">
        <v>21</v>
      </c>
      <c r="E78" s="476"/>
      <c r="F78" s="1874" t="s">
        <v>98</v>
      </c>
      <c r="G78" s="307"/>
      <c r="H78" s="441"/>
      <c r="I78" s="189" t="s">
        <v>97</v>
      </c>
      <c r="J78" s="410">
        <v>158.80000000000001</v>
      </c>
      <c r="K78" s="411">
        <v>889.1</v>
      </c>
      <c r="L78" s="1552">
        <v>774.9</v>
      </c>
      <c r="M78" s="1066" t="s">
        <v>170</v>
      </c>
      <c r="N78" s="240">
        <v>100</v>
      </c>
      <c r="O78" s="1134">
        <v>94</v>
      </c>
      <c r="P78" s="1160"/>
      <c r="Q78" s="1375"/>
      <c r="R78" s="104"/>
    </row>
    <row r="79" spans="1:22" ht="13.5" customHeight="1" x14ac:dyDescent="0.2">
      <c r="A79" s="1239"/>
      <c r="B79" s="431"/>
      <c r="C79" s="432"/>
      <c r="D79" s="476"/>
      <c r="E79" s="476"/>
      <c r="F79" s="1886"/>
      <c r="G79" s="307"/>
      <c r="H79" s="441"/>
      <c r="I79" s="481" t="s">
        <v>265</v>
      </c>
      <c r="J79" s="471">
        <v>0.2</v>
      </c>
      <c r="K79" s="472">
        <v>0.2</v>
      </c>
      <c r="L79" s="1279">
        <v>0</v>
      </c>
      <c r="M79" s="1061"/>
      <c r="N79" s="51"/>
      <c r="O79" s="1490"/>
      <c r="P79" s="1162"/>
      <c r="Q79" s="1373"/>
      <c r="R79" s="104"/>
    </row>
    <row r="80" spans="1:22" ht="13.5" thickBot="1" x14ac:dyDescent="0.25">
      <c r="A80" s="1237"/>
      <c r="B80" s="484"/>
      <c r="C80" s="485"/>
      <c r="D80" s="486"/>
      <c r="E80" s="486"/>
      <c r="F80" s="1861"/>
      <c r="G80" s="304"/>
      <c r="H80" s="487"/>
      <c r="I80" s="190" t="s">
        <v>16</v>
      </c>
      <c r="J80" s="184">
        <f>SUM(J74:J79)</f>
        <v>520.29999999999995</v>
      </c>
      <c r="K80" s="459">
        <f>SUM(K74:K79)</f>
        <v>1247.7</v>
      </c>
      <c r="L80" s="459">
        <f>SUM(L74:L79)</f>
        <v>1130.9000000000001</v>
      </c>
      <c r="M80" s="246"/>
      <c r="N80" s="245"/>
      <c r="O80" s="245"/>
      <c r="P80" s="1169"/>
      <c r="Q80" s="1377"/>
    </row>
    <row r="81" spans="1:17" ht="19.5" customHeight="1" x14ac:dyDescent="0.2">
      <c r="A81" s="1189" t="s">
        <v>14</v>
      </c>
      <c r="B81" s="464" t="s">
        <v>14</v>
      </c>
      <c r="C81" s="465" t="s">
        <v>19</v>
      </c>
      <c r="D81" s="466"/>
      <c r="E81" s="466"/>
      <c r="F81" s="1860" t="s">
        <v>82</v>
      </c>
      <c r="G81" s="307"/>
      <c r="H81" s="433">
        <v>1</v>
      </c>
      <c r="I81" s="444" t="s">
        <v>15</v>
      </c>
      <c r="J81" s="410">
        <v>3.9</v>
      </c>
      <c r="K81" s="480">
        <v>3.9</v>
      </c>
      <c r="L81" s="1280">
        <v>3.9</v>
      </c>
      <c r="M81" s="142" t="s">
        <v>171</v>
      </c>
      <c r="N81" s="443">
        <v>10</v>
      </c>
      <c r="O81" s="443">
        <v>10</v>
      </c>
      <c r="P81" s="1167"/>
      <c r="Q81" s="1372"/>
    </row>
    <row r="82" spans="1:17" ht="14.25" customHeight="1" thickBot="1" x14ac:dyDescent="0.25">
      <c r="A82" s="1219"/>
      <c r="B82" s="456"/>
      <c r="C82" s="485"/>
      <c r="D82" s="486"/>
      <c r="E82" s="486"/>
      <c r="F82" s="1861"/>
      <c r="G82" s="304"/>
      <c r="H82" s="105"/>
      <c r="I82" s="190" t="s">
        <v>16</v>
      </c>
      <c r="J82" s="184">
        <f>J81</f>
        <v>3.9</v>
      </c>
      <c r="K82" s="459">
        <f>K81</f>
        <v>3.9</v>
      </c>
      <c r="L82" s="459">
        <f>L81</f>
        <v>3.9</v>
      </c>
      <c r="M82" s="238" t="s">
        <v>153</v>
      </c>
      <c r="N82" s="240">
        <v>860</v>
      </c>
      <c r="O82" s="240">
        <v>860</v>
      </c>
      <c r="P82" s="1160"/>
      <c r="Q82" s="1375"/>
    </row>
    <row r="83" spans="1:17" ht="18.75" customHeight="1" x14ac:dyDescent="0.2">
      <c r="A83" s="1238" t="s">
        <v>14</v>
      </c>
      <c r="B83" s="464" t="s">
        <v>14</v>
      </c>
      <c r="C83" s="465" t="s">
        <v>21</v>
      </c>
      <c r="D83" s="466"/>
      <c r="E83" s="466"/>
      <c r="F83" s="1860" t="s">
        <v>172</v>
      </c>
      <c r="G83" s="303"/>
      <c r="H83" s="491">
        <v>2</v>
      </c>
      <c r="I83" s="192" t="s">
        <v>15</v>
      </c>
      <c r="J83" s="202">
        <v>17.8</v>
      </c>
      <c r="K83" s="469">
        <v>13.7</v>
      </c>
      <c r="L83" s="1281">
        <v>13.7</v>
      </c>
      <c r="M83" s="1060" t="s">
        <v>173</v>
      </c>
      <c r="N83" s="443">
        <v>39</v>
      </c>
      <c r="O83" s="443">
        <v>39</v>
      </c>
      <c r="P83" s="1167"/>
      <c r="Q83" s="1372"/>
    </row>
    <row r="84" spans="1:17" ht="13.5" thickBot="1" x14ac:dyDescent="0.25">
      <c r="A84" s="1237"/>
      <c r="B84" s="484"/>
      <c r="C84" s="485"/>
      <c r="D84" s="486"/>
      <c r="E84" s="486"/>
      <c r="F84" s="1861"/>
      <c r="G84" s="304"/>
      <c r="H84" s="487"/>
      <c r="I84" s="190" t="s">
        <v>16</v>
      </c>
      <c r="J84" s="184">
        <f>SUM(J83)</f>
        <v>17.8</v>
      </c>
      <c r="K84" s="459">
        <f>SUM(K83)</f>
        <v>13.7</v>
      </c>
      <c r="L84" s="459">
        <f>SUM(L83)</f>
        <v>13.7</v>
      </c>
      <c r="M84" s="1063"/>
      <c r="N84" s="245"/>
      <c r="O84" s="245"/>
      <c r="P84" s="1169"/>
      <c r="Q84" s="1377"/>
    </row>
    <row r="85" spans="1:17" ht="40.5" customHeight="1" x14ac:dyDescent="0.2">
      <c r="A85" s="1234" t="s">
        <v>14</v>
      </c>
      <c r="B85" s="464" t="s">
        <v>14</v>
      </c>
      <c r="C85" s="465" t="s">
        <v>22</v>
      </c>
      <c r="D85" s="466"/>
      <c r="E85" s="466"/>
      <c r="F85" s="1860" t="s">
        <v>174</v>
      </c>
      <c r="G85" s="303" t="s">
        <v>59</v>
      </c>
      <c r="H85" s="491">
        <v>2</v>
      </c>
      <c r="I85" s="1236" t="s">
        <v>15</v>
      </c>
      <c r="J85" s="1265">
        <v>52</v>
      </c>
      <c r="K85" s="1287">
        <v>52</v>
      </c>
      <c r="L85" s="1997">
        <v>65</v>
      </c>
      <c r="M85" s="281" t="s">
        <v>128</v>
      </c>
      <c r="N85" s="494">
        <v>7800</v>
      </c>
      <c r="O85" s="494" t="s">
        <v>496</v>
      </c>
      <c r="P85" s="220"/>
      <c r="Q85" s="1379"/>
    </row>
    <row r="86" spans="1:17" ht="16.5" customHeight="1" x14ac:dyDescent="0.2">
      <c r="A86" s="1235"/>
      <c r="B86" s="431"/>
      <c r="C86" s="432"/>
      <c r="D86" s="476"/>
      <c r="E86" s="476"/>
      <c r="F86" s="1886"/>
      <c r="G86" s="307"/>
      <c r="H86" s="441"/>
      <c r="I86" s="478" t="s">
        <v>15</v>
      </c>
      <c r="J86" s="115">
        <v>8.5</v>
      </c>
      <c r="K86" s="121">
        <v>8.5</v>
      </c>
      <c r="L86" s="1998"/>
      <c r="M86" s="1828" t="s">
        <v>267</v>
      </c>
      <c r="N86" s="240">
        <v>3</v>
      </c>
      <c r="O86" s="240">
        <v>3</v>
      </c>
      <c r="P86" s="1160"/>
      <c r="Q86" s="1375"/>
    </row>
    <row r="87" spans="1:17" ht="13.5" thickBot="1" x14ac:dyDescent="0.25">
      <c r="A87" s="1233"/>
      <c r="B87" s="484"/>
      <c r="C87" s="485"/>
      <c r="D87" s="486"/>
      <c r="E87" s="486"/>
      <c r="F87" s="1861"/>
      <c r="G87" s="304"/>
      <c r="H87" s="487"/>
      <c r="I87" s="190" t="s">
        <v>16</v>
      </c>
      <c r="J87" s="184">
        <f>SUM(J85:J86)</f>
        <v>60.5</v>
      </c>
      <c r="K87" s="459">
        <f>SUM(K85:K86)</f>
        <v>60.5</v>
      </c>
      <c r="L87" s="459">
        <f>SUM(L85:L86)</f>
        <v>65</v>
      </c>
      <c r="M87" s="1893"/>
      <c r="N87" s="245"/>
      <c r="O87" s="245"/>
      <c r="P87" s="1169"/>
      <c r="Q87" s="1377"/>
    </row>
    <row r="88" spans="1:17" ht="30" customHeight="1" x14ac:dyDescent="0.2">
      <c r="A88" s="1234" t="s">
        <v>14</v>
      </c>
      <c r="B88" s="464" t="s">
        <v>14</v>
      </c>
      <c r="C88" s="465" t="s">
        <v>175</v>
      </c>
      <c r="D88" s="466"/>
      <c r="E88" s="466"/>
      <c r="F88" s="1860" t="s">
        <v>176</v>
      </c>
      <c r="G88" s="303"/>
      <c r="H88" s="498">
        <v>1</v>
      </c>
      <c r="I88" s="189" t="s">
        <v>15</v>
      </c>
      <c r="J88" s="410">
        <v>1.5</v>
      </c>
      <c r="K88" s="411">
        <v>1.5</v>
      </c>
      <c r="L88" s="1280">
        <v>1.1000000000000001</v>
      </c>
      <c r="M88" s="142" t="s">
        <v>177</v>
      </c>
      <c r="N88" s="443">
        <v>1</v>
      </c>
      <c r="O88" s="443">
        <v>1</v>
      </c>
      <c r="P88" s="1167"/>
      <c r="Q88" s="1372"/>
    </row>
    <row r="89" spans="1:17" ht="13.5" thickBot="1" x14ac:dyDescent="0.25">
      <c r="A89" s="1233"/>
      <c r="B89" s="484"/>
      <c r="C89" s="485"/>
      <c r="D89" s="486"/>
      <c r="E89" s="486"/>
      <c r="F89" s="1861"/>
      <c r="G89" s="304"/>
      <c r="H89" s="105"/>
      <c r="I89" s="190" t="s">
        <v>16</v>
      </c>
      <c r="J89" s="184">
        <f>+J88</f>
        <v>1.5</v>
      </c>
      <c r="K89" s="459">
        <f>+K88</f>
        <v>1.5</v>
      </c>
      <c r="L89" s="459">
        <f>+L88</f>
        <v>1.1000000000000001</v>
      </c>
      <c r="M89" s="246"/>
      <c r="N89" s="245"/>
      <c r="O89" s="245"/>
      <c r="P89" s="1169"/>
      <c r="Q89" s="1377"/>
    </row>
    <row r="90" spans="1:17" ht="16.899999999999999" customHeight="1" x14ac:dyDescent="0.2">
      <c r="A90" s="1234" t="s">
        <v>14</v>
      </c>
      <c r="B90" s="464" t="s">
        <v>14</v>
      </c>
      <c r="C90" s="465" t="s">
        <v>178</v>
      </c>
      <c r="D90" s="466"/>
      <c r="E90" s="466"/>
      <c r="F90" s="1860" t="s">
        <v>179</v>
      </c>
      <c r="G90" s="303"/>
      <c r="H90" s="491">
        <v>2</v>
      </c>
      <c r="I90" s="192" t="s">
        <v>15</v>
      </c>
      <c r="J90" s="499">
        <v>6.4</v>
      </c>
      <c r="K90" s="500">
        <v>5.7</v>
      </c>
      <c r="L90" s="1284">
        <v>5.6</v>
      </c>
      <c r="M90" s="1060" t="s">
        <v>148</v>
      </c>
      <c r="N90" s="443">
        <v>89</v>
      </c>
      <c r="O90" s="443">
        <v>94</v>
      </c>
      <c r="P90" s="1777" t="s">
        <v>504</v>
      </c>
      <c r="Q90" s="1778"/>
    </row>
    <row r="91" spans="1:17" ht="13.5" thickBot="1" x14ac:dyDescent="0.25">
      <c r="A91" s="1233"/>
      <c r="B91" s="484"/>
      <c r="C91" s="485"/>
      <c r="D91" s="486"/>
      <c r="E91" s="486"/>
      <c r="F91" s="1861"/>
      <c r="G91" s="304"/>
      <c r="H91" s="487"/>
      <c r="I91" s="190" t="s">
        <v>16</v>
      </c>
      <c r="J91" s="184">
        <f>SUM(J90)</f>
        <v>6.4</v>
      </c>
      <c r="K91" s="459">
        <f>SUM(K90)</f>
        <v>5.7</v>
      </c>
      <c r="L91" s="459">
        <f>SUM(L90)</f>
        <v>5.6</v>
      </c>
      <c r="M91" s="1063"/>
      <c r="N91" s="245"/>
      <c r="O91" s="245"/>
      <c r="P91" s="1779"/>
      <c r="Q91" s="1780"/>
    </row>
    <row r="92" spans="1:17" ht="13.5" customHeight="1" thickBot="1" x14ac:dyDescent="0.25">
      <c r="A92" s="1198" t="s">
        <v>14</v>
      </c>
      <c r="B92" s="504" t="s">
        <v>14</v>
      </c>
      <c r="C92" s="1831" t="s">
        <v>20</v>
      </c>
      <c r="D92" s="1832"/>
      <c r="E92" s="1832"/>
      <c r="F92" s="1832"/>
      <c r="G92" s="1832"/>
      <c r="H92" s="1832"/>
      <c r="I92" s="1832"/>
      <c r="J92" s="729">
        <f>J87+J84+J82+J80+J72+J89+J91</f>
        <v>79092.7</v>
      </c>
      <c r="K92" s="730">
        <f>K87+K84+K82+K80+K72+K89+K91</f>
        <v>81355.8</v>
      </c>
      <c r="L92" s="730">
        <f>L87+L84+L82+L80+L72+L89+L91</f>
        <v>78165.900000000009</v>
      </c>
      <c r="M92" s="506"/>
      <c r="N92" s="507"/>
      <c r="O92" s="1342"/>
      <c r="P92" s="1147"/>
      <c r="Q92" s="1148"/>
    </row>
    <row r="93" spans="1:17" ht="15.75" customHeight="1" thickBot="1" x14ac:dyDescent="0.25">
      <c r="A93" s="1198" t="s">
        <v>14</v>
      </c>
      <c r="B93" s="1833" t="s">
        <v>6</v>
      </c>
      <c r="C93" s="1834"/>
      <c r="D93" s="1834"/>
      <c r="E93" s="1834"/>
      <c r="F93" s="1834"/>
      <c r="G93" s="1834"/>
      <c r="H93" s="1834"/>
      <c r="I93" s="1834"/>
      <c r="J93" s="1266">
        <f>J92</f>
        <v>79092.7</v>
      </c>
      <c r="K93" s="1288">
        <f>K92</f>
        <v>81355.8</v>
      </c>
      <c r="L93" s="1288">
        <f>L92</f>
        <v>78165.900000000009</v>
      </c>
      <c r="M93" s="1599"/>
      <c r="N93" s="1598"/>
      <c r="O93" s="1598"/>
      <c r="P93" s="1595"/>
      <c r="Q93" s="1600"/>
    </row>
    <row r="94" spans="1:17" ht="54" customHeight="1" x14ac:dyDescent="0.2">
      <c r="A94" s="1979" t="s">
        <v>17</v>
      </c>
      <c r="B94" s="1975" t="s">
        <v>36</v>
      </c>
      <c r="C94" s="1976"/>
      <c r="D94" s="1976"/>
      <c r="E94" s="1976"/>
      <c r="F94" s="1976"/>
      <c r="G94" s="1976"/>
      <c r="H94" s="1976"/>
      <c r="I94" s="1976"/>
      <c r="J94" s="1976"/>
      <c r="K94" s="1976"/>
      <c r="L94" s="1976"/>
      <c r="M94" s="1613" t="s">
        <v>180</v>
      </c>
      <c r="N94" s="1615">
        <v>3</v>
      </c>
      <c r="O94" s="1603">
        <v>5</v>
      </c>
      <c r="P94" s="1802" t="s">
        <v>734</v>
      </c>
      <c r="Q94" s="1803"/>
    </row>
    <row r="95" spans="1:17" ht="40.5" customHeight="1" thickBot="1" x14ac:dyDescent="0.25">
      <c r="A95" s="1980"/>
      <c r="B95" s="1977"/>
      <c r="C95" s="1978"/>
      <c r="D95" s="1978"/>
      <c r="E95" s="1978"/>
      <c r="F95" s="1978"/>
      <c r="G95" s="1978"/>
      <c r="H95" s="1978"/>
      <c r="I95" s="1978"/>
      <c r="J95" s="1978"/>
      <c r="K95" s="1978"/>
      <c r="L95" s="1978"/>
      <c r="M95" s="1614" t="s">
        <v>181</v>
      </c>
      <c r="N95" s="1616">
        <v>31</v>
      </c>
      <c r="O95" s="1604">
        <v>31</v>
      </c>
      <c r="P95" s="1601"/>
      <c r="Q95" s="1602"/>
    </row>
    <row r="96" spans="1:17" ht="15" customHeight="1" thickBot="1" x14ac:dyDescent="0.25">
      <c r="A96" s="1232" t="s">
        <v>17</v>
      </c>
      <c r="B96" s="527" t="s">
        <v>14</v>
      </c>
      <c r="C96" s="1957" t="s">
        <v>32</v>
      </c>
      <c r="D96" s="1898"/>
      <c r="E96" s="1898"/>
      <c r="F96" s="1898"/>
      <c r="G96" s="1898"/>
      <c r="H96" s="1898"/>
      <c r="I96" s="1898"/>
      <c r="J96" s="1898"/>
      <c r="K96" s="1898"/>
      <c r="L96" s="1898"/>
      <c r="M96" s="1958"/>
      <c r="N96" s="1958"/>
      <c r="O96" s="1958"/>
      <c r="P96" s="1958"/>
      <c r="Q96" s="1959"/>
    </row>
    <row r="97" spans="1:21" s="13" customFormat="1" ht="41.25" customHeight="1" x14ac:dyDescent="0.2">
      <c r="A97" s="1960" t="s">
        <v>17</v>
      </c>
      <c r="B97" s="1962" t="s">
        <v>14</v>
      </c>
      <c r="C97" s="1964" t="s">
        <v>14</v>
      </c>
      <c r="D97" s="1478"/>
      <c r="E97" s="1478"/>
      <c r="F97" s="1966" t="s">
        <v>268</v>
      </c>
      <c r="G97" s="1968"/>
      <c r="H97" s="529">
        <v>5</v>
      </c>
      <c r="I97" s="530" t="s">
        <v>15</v>
      </c>
      <c r="J97" s="124">
        <v>218.6</v>
      </c>
      <c r="K97" s="363">
        <v>218.6</v>
      </c>
      <c r="L97" s="84">
        <v>0</v>
      </c>
      <c r="M97" s="1970" t="s">
        <v>269</v>
      </c>
      <c r="N97" s="1480">
        <v>6</v>
      </c>
      <c r="O97" s="1481">
        <v>0</v>
      </c>
      <c r="P97" s="1970" t="s">
        <v>732</v>
      </c>
      <c r="Q97" s="1971"/>
    </row>
    <row r="98" spans="1:21" s="13" customFormat="1" ht="13.5" thickBot="1" x14ac:dyDescent="0.25">
      <c r="A98" s="1961"/>
      <c r="B98" s="1963"/>
      <c r="C98" s="1965"/>
      <c r="D98" s="1479"/>
      <c r="E98" s="1479"/>
      <c r="F98" s="1967"/>
      <c r="G98" s="1969"/>
      <c r="H98" s="534"/>
      <c r="I98" s="10" t="s">
        <v>16</v>
      </c>
      <c r="J98" s="150">
        <f>SUM(J97:J97)</f>
        <v>218.6</v>
      </c>
      <c r="K98" s="535">
        <f>SUM(K97:K97)</f>
        <v>218.6</v>
      </c>
      <c r="L98" s="535">
        <f>SUM(L97:L97)</f>
        <v>0</v>
      </c>
      <c r="M98" s="1852"/>
      <c r="N98" s="1422"/>
      <c r="O98" s="1482"/>
      <c r="P98" s="1852"/>
      <c r="Q98" s="1853"/>
    </row>
    <row r="99" spans="1:21" ht="27.75" customHeight="1" x14ac:dyDescent="0.2">
      <c r="A99" s="1189" t="s">
        <v>17</v>
      </c>
      <c r="B99" s="464" t="s">
        <v>14</v>
      </c>
      <c r="C99" s="465" t="s">
        <v>17</v>
      </c>
      <c r="D99" s="360"/>
      <c r="E99" s="360"/>
      <c r="F99" s="1916" t="s">
        <v>182</v>
      </c>
      <c r="G99" s="537" t="s">
        <v>2</v>
      </c>
      <c r="H99" s="467">
        <v>5</v>
      </c>
      <c r="I99" s="538"/>
      <c r="J99" s="202"/>
      <c r="K99" s="469"/>
      <c r="L99" s="1281"/>
      <c r="M99" s="192"/>
      <c r="N99" s="107"/>
      <c r="O99" s="445"/>
      <c r="P99" s="1486"/>
      <c r="Q99" s="1382"/>
      <c r="R99" s="605"/>
      <c r="S99" s="605"/>
    </row>
    <row r="100" spans="1:21" x14ac:dyDescent="0.2">
      <c r="A100" s="1179"/>
      <c r="B100" s="431"/>
      <c r="C100" s="432"/>
      <c r="D100" s="370"/>
      <c r="E100" s="370"/>
      <c r="F100" s="1917"/>
      <c r="G100" s="537"/>
      <c r="H100" s="403"/>
      <c r="I100" s="548"/>
      <c r="J100" s="410"/>
      <c r="K100" s="411"/>
      <c r="L100" s="1280"/>
      <c r="M100" s="189"/>
      <c r="N100" s="544"/>
      <c r="O100" s="1188"/>
      <c r="P100" s="1487"/>
      <c r="Q100" s="1383"/>
      <c r="R100" s="605"/>
      <c r="S100" s="605"/>
    </row>
    <row r="101" spans="1:21" ht="12.75" customHeight="1" x14ac:dyDescent="0.2">
      <c r="A101" s="1179"/>
      <c r="B101" s="431"/>
      <c r="C101" s="432"/>
      <c r="D101" s="1425" t="s">
        <v>14</v>
      </c>
      <c r="E101" s="1425"/>
      <c r="F101" s="1930" t="s">
        <v>711</v>
      </c>
      <c r="G101" s="248"/>
      <c r="H101" s="537"/>
      <c r="I101" s="1333" t="s">
        <v>15</v>
      </c>
      <c r="J101" s="628">
        <f>128.1-65.3</f>
        <v>62.8</v>
      </c>
      <c r="K101" s="629">
        <f>128.1-65.3</f>
        <v>62.8</v>
      </c>
      <c r="L101" s="1553">
        <v>46.5</v>
      </c>
      <c r="M101" s="1972" t="s">
        <v>183</v>
      </c>
      <c r="N101" s="1429">
        <v>5</v>
      </c>
      <c r="O101" s="1430">
        <v>4</v>
      </c>
      <c r="P101" s="1781" t="s">
        <v>733</v>
      </c>
      <c r="Q101" s="1783" t="s">
        <v>676</v>
      </c>
      <c r="R101" s="566"/>
      <c r="S101" s="566"/>
      <c r="T101" s="566"/>
      <c r="U101" s="104"/>
    </row>
    <row r="102" spans="1:21" ht="171" customHeight="1" x14ac:dyDescent="0.2">
      <c r="A102" s="1179"/>
      <c r="B102" s="431"/>
      <c r="C102" s="432"/>
      <c r="D102" s="1416"/>
      <c r="E102" s="1416"/>
      <c r="F102" s="1931"/>
      <c r="G102" s="567"/>
      <c r="H102" s="403"/>
      <c r="I102" s="1334" t="s">
        <v>127</v>
      </c>
      <c r="J102" s="677">
        <v>60.5</v>
      </c>
      <c r="K102" s="678">
        <v>84.5</v>
      </c>
      <c r="L102" s="1550">
        <v>76</v>
      </c>
      <c r="M102" s="1943"/>
      <c r="N102" s="1431"/>
      <c r="O102" s="1432"/>
      <c r="P102" s="1782"/>
      <c r="Q102" s="1785"/>
      <c r="R102" s="566"/>
      <c r="S102" s="566"/>
      <c r="T102" s="566"/>
      <c r="U102" s="104"/>
    </row>
    <row r="103" spans="1:21" ht="15" customHeight="1" x14ac:dyDescent="0.2">
      <c r="A103" s="1179"/>
      <c r="B103" s="431"/>
      <c r="C103" s="432"/>
      <c r="D103" s="1416"/>
      <c r="E103" s="1416"/>
      <c r="F103" s="1931"/>
      <c r="G103" s="567"/>
      <c r="H103" s="403"/>
      <c r="I103" s="558" t="s">
        <v>97</v>
      </c>
      <c r="J103" s="559">
        <v>613.5</v>
      </c>
      <c r="K103" s="560">
        <v>613.5</v>
      </c>
      <c r="L103" s="1554">
        <v>414.5</v>
      </c>
      <c r="M103" s="1972" t="s">
        <v>184</v>
      </c>
      <c r="N103" s="1433">
        <v>5</v>
      </c>
      <c r="O103" s="1434">
        <v>4</v>
      </c>
      <c r="P103" s="1454"/>
      <c r="Q103" s="1783" t="s">
        <v>754</v>
      </c>
      <c r="R103" s="566"/>
      <c r="S103" s="566"/>
      <c r="T103" s="566"/>
      <c r="U103" s="104"/>
    </row>
    <row r="104" spans="1:21" x14ac:dyDescent="0.2">
      <c r="A104" s="1179"/>
      <c r="B104" s="431"/>
      <c r="C104" s="432"/>
      <c r="D104" s="1416"/>
      <c r="E104" s="1416"/>
      <c r="F104" s="1931"/>
      <c r="G104" s="567"/>
      <c r="H104" s="403"/>
      <c r="I104" s="1334" t="s">
        <v>265</v>
      </c>
      <c r="J104" s="677">
        <v>8.1</v>
      </c>
      <c r="K104" s="678">
        <v>8.1</v>
      </c>
      <c r="L104" s="1554">
        <v>6.2</v>
      </c>
      <c r="M104" s="1941"/>
      <c r="N104" s="1433"/>
      <c r="O104" s="1434"/>
      <c r="P104" s="1454"/>
      <c r="Q104" s="1784"/>
      <c r="R104" s="566"/>
      <c r="S104" s="566"/>
      <c r="T104" s="566"/>
      <c r="U104" s="104"/>
    </row>
    <row r="105" spans="1:21" x14ac:dyDescent="0.2">
      <c r="A105" s="1179"/>
      <c r="B105" s="431"/>
      <c r="C105" s="432"/>
      <c r="D105" s="1416"/>
      <c r="E105" s="1416"/>
      <c r="F105" s="1931"/>
      <c r="G105" s="567"/>
      <c r="H105" s="403"/>
      <c r="I105" s="1333" t="s">
        <v>18</v>
      </c>
      <c r="J105" s="628">
        <v>54.1</v>
      </c>
      <c r="K105" s="629">
        <v>54.1</v>
      </c>
      <c r="L105" s="1294">
        <v>36.6</v>
      </c>
      <c r="M105" s="1941"/>
      <c r="N105" s="1436"/>
      <c r="O105" s="1437"/>
      <c r="P105" s="1488"/>
      <c r="Q105" s="1784"/>
      <c r="R105" s="566"/>
      <c r="S105" s="566"/>
      <c r="T105" s="566"/>
      <c r="U105" s="104"/>
    </row>
    <row r="106" spans="1:21" x14ac:dyDescent="0.2">
      <c r="A106" s="1179"/>
      <c r="B106" s="431"/>
      <c r="C106" s="740"/>
      <c r="D106" s="1417"/>
      <c r="E106" s="1417"/>
      <c r="F106" s="1428"/>
      <c r="G106" s="1231"/>
      <c r="H106" s="1230"/>
      <c r="I106" s="1334" t="s">
        <v>270</v>
      </c>
      <c r="J106" s="677">
        <v>0.7</v>
      </c>
      <c r="K106" s="678">
        <v>0.7</v>
      </c>
      <c r="L106" s="1295">
        <v>0.6</v>
      </c>
      <c r="M106" s="1438"/>
      <c r="N106" s="1439"/>
      <c r="O106" s="1440"/>
      <c r="P106" s="1428"/>
      <c r="Q106" s="1785"/>
      <c r="R106" s="566"/>
      <c r="S106" s="566"/>
      <c r="T106" s="566"/>
      <c r="U106" s="104"/>
    </row>
    <row r="107" spans="1:21" ht="54.6" customHeight="1" x14ac:dyDescent="0.2">
      <c r="A107" s="1179"/>
      <c r="B107" s="431"/>
      <c r="C107" s="432"/>
      <c r="D107" s="370" t="s">
        <v>17</v>
      </c>
      <c r="E107" s="370"/>
      <c r="F107" s="1878" t="s">
        <v>710</v>
      </c>
      <c r="G107" s="578"/>
      <c r="H107" s="433"/>
      <c r="I107" s="558" t="s">
        <v>15</v>
      </c>
      <c r="J107" s="559">
        <v>14.2</v>
      </c>
      <c r="K107" s="560">
        <v>14.2</v>
      </c>
      <c r="L107" s="1296">
        <v>0</v>
      </c>
      <c r="M107" s="1921" t="s">
        <v>709</v>
      </c>
      <c r="N107" s="1338"/>
      <c r="O107" s="1221"/>
      <c r="P107" s="1456"/>
      <c r="Q107" s="1973" t="s">
        <v>755</v>
      </c>
      <c r="R107" s="1955"/>
      <c r="S107" s="1955"/>
      <c r="T107" s="104"/>
      <c r="U107" s="104"/>
    </row>
    <row r="108" spans="1:21" ht="83.25" customHeight="1" x14ac:dyDescent="0.2">
      <c r="A108" s="1179"/>
      <c r="B108" s="431"/>
      <c r="C108" s="432"/>
      <c r="D108" s="370"/>
      <c r="E108" s="370"/>
      <c r="F108" s="1878"/>
      <c r="G108" s="578"/>
      <c r="H108" s="433"/>
      <c r="I108" s="1333" t="s">
        <v>127</v>
      </c>
      <c r="J108" s="628">
        <v>35</v>
      </c>
      <c r="K108" s="629">
        <v>11</v>
      </c>
      <c r="L108" s="1294">
        <v>0</v>
      </c>
      <c r="M108" s="1921"/>
      <c r="N108" s="1338"/>
      <c r="O108" s="1221"/>
      <c r="P108" s="1456"/>
      <c r="Q108" s="1974"/>
      <c r="R108" s="566"/>
      <c r="S108" s="566"/>
      <c r="T108" s="104"/>
      <c r="U108" s="104"/>
    </row>
    <row r="109" spans="1:21" ht="80.25" customHeight="1" x14ac:dyDescent="0.2">
      <c r="A109" s="1211"/>
      <c r="B109" s="431"/>
      <c r="C109" s="432"/>
      <c r="D109" s="1425" t="s">
        <v>19</v>
      </c>
      <c r="E109" s="1425"/>
      <c r="F109" s="1930" t="s">
        <v>186</v>
      </c>
      <c r="G109" s="578"/>
      <c r="H109" s="433"/>
      <c r="I109" s="1229" t="s">
        <v>15</v>
      </c>
      <c r="J109" s="1289"/>
      <c r="K109" s="1228">
        <v>306.8</v>
      </c>
      <c r="L109" s="1554">
        <v>0</v>
      </c>
      <c r="M109" s="1521" t="s">
        <v>75</v>
      </c>
      <c r="N109" s="1522">
        <v>5</v>
      </c>
      <c r="O109" s="1523">
        <v>0</v>
      </c>
      <c r="P109" s="1452"/>
      <c r="Q109" s="1783" t="s">
        <v>758</v>
      </c>
      <c r="R109" s="566"/>
      <c r="S109" s="104"/>
      <c r="T109" s="104"/>
      <c r="U109" s="104"/>
    </row>
    <row r="110" spans="1:21" x14ac:dyDescent="0.2">
      <c r="A110" s="1211"/>
      <c r="B110" s="431"/>
      <c r="C110" s="432"/>
      <c r="D110" s="1416"/>
      <c r="E110" s="1416"/>
      <c r="F110" s="1931"/>
      <c r="G110" s="578"/>
      <c r="H110" s="433"/>
      <c r="I110" s="1229" t="s">
        <v>127</v>
      </c>
      <c r="J110" s="1289"/>
      <c r="K110" s="1228">
        <v>103.8</v>
      </c>
      <c r="L110" s="1554">
        <v>35.799999999999997</v>
      </c>
      <c r="M110" s="1524"/>
      <c r="N110" s="1525"/>
      <c r="O110" s="1526"/>
      <c r="P110" s="1454"/>
      <c r="Q110" s="1784"/>
      <c r="R110" s="566"/>
      <c r="S110" s="104"/>
      <c r="T110" s="104"/>
      <c r="U110" s="104"/>
    </row>
    <row r="111" spans="1:21" x14ac:dyDescent="0.2">
      <c r="A111" s="1211"/>
      <c r="B111" s="431"/>
      <c r="C111" s="432"/>
      <c r="D111" s="1417"/>
      <c r="E111" s="1417"/>
      <c r="F111" s="1932"/>
      <c r="G111" s="578"/>
      <c r="H111" s="433"/>
      <c r="I111" s="1229" t="s">
        <v>271</v>
      </c>
      <c r="J111" s="1289">
        <v>2900</v>
      </c>
      <c r="K111" s="1228">
        <v>96.2</v>
      </c>
      <c r="L111" s="1552">
        <v>96.2</v>
      </c>
      <c r="M111" s="1527"/>
      <c r="N111" s="1474"/>
      <c r="O111" s="1475"/>
      <c r="P111" s="1453"/>
      <c r="Q111" s="1785"/>
      <c r="R111" s="566"/>
      <c r="S111" s="104"/>
      <c r="T111" s="104"/>
      <c r="U111" s="104"/>
    </row>
    <row r="112" spans="1:21" ht="27.75" customHeight="1" x14ac:dyDescent="0.2">
      <c r="A112" s="1211"/>
      <c r="B112" s="431"/>
      <c r="C112" s="740"/>
      <c r="D112" s="1477" t="s">
        <v>21</v>
      </c>
      <c r="E112" s="1477"/>
      <c r="F112" s="1520" t="s">
        <v>708</v>
      </c>
      <c r="G112" s="1227"/>
      <c r="H112" s="1217"/>
      <c r="I112" s="1335" t="s">
        <v>15</v>
      </c>
      <c r="J112" s="686">
        <v>20</v>
      </c>
      <c r="K112" s="687">
        <v>20</v>
      </c>
      <c r="L112" s="1297">
        <v>0</v>
      </c>
      <c r="M112" s="1517" t="s">
        <v>134</v>
      </c>
      <c r="N112" s="1518">
        <v>10</v>
      </c>
      <c r="O112" s="1519">
        <v>0</v>
      </c>
      <c r="P112" s="1790" t="s">
        <v>756</v>
      </c>
      <c r="Q112" s="1791"/>
      <c r="R112" s="1956"/>
      <c r="S112" s="1956"/>
    </row>
    <row r="113" spans="1:21" ht="21.75" customHeight="1" x14ac:dyDescent="0.2">
      <c r="A113" s="1211"/>
      <c r="B113" s="431"/>
      <c r="C113" s="432"/>
      <c r="D113" s="598" t="s">
        <v>22</v>
      </c>
      <c r="E113" s="598"/>
      <c r="F113" s="1878" t="s">
        <v>273</v>
      </c>
      <c r="G113" s="578"/>
      <c r="H113" s="433"/>
      <c r="I113" s="558" t="s">
        <v>127</v>
      </c>
      <c r="J113" s="559">
        <v>2.8</v>
      </c>
      <c r="K113" s="560">
        <v>2.8</v>
      </c>
      <c r="L113" s="1296">
        <v>0</v>
      </c>
      <c r="M113" s="1921" t="s">
        <v>274</v>
      </c>
      <c r="N113" s="1337">
        <v>100</v>
      </c>
      <c r="O113" s="1180">
        <v>0</v>
      </c>
      <c r="P113" s="1786" t="s">
        <v>699</v>
      </c>
      <c r="Q113" s="1787"/>
      <c r="R113" s="566"/>
      <c r="S113" s="566"/>
      <c r="T113" s="104"/>
      <c r="U113" s="104"/>
    </row>
    <row r="114" spans="1:21" ht="21.75" customHeight="1" thickBot="1" x14ac:dyDescent="0.25">
      <c r="A114" s="1211"/>
      <c r="B114" s="431"/>
      <c r="C114" s="432"/>
      <c r="D114" s="598"/>
      <c r="E114" s="598"/>
      <c r="F114" s="1878"/>
      <c r="G114" s="578"/>
      <c r="H114" s="433"/>
      <c r="I114" s="1335"/>
      <c r="J114" s="1290"/>
      <c r="K114" s="1306"/>
      <c r="L114" s="1298"/>
      <c r="M114" s="1922"/>
      <c r="N114" s="1337"/>
      <c r="O114" s="1180"/>
      <c r="P114" s="1788"/>
      <c r="Q114" s="1789"/>
      <c r="R114" s="566"/>
      <c r="S114" s="566"/>
      <c r="T114" s="104"/>
      <c r="U114" s="104"/>
    </row>
    <row r="115" spans="1:21" s="104" customFormat="1" ht="54" customHeight="1" thickBot="1" x14ac:dyDescent="0.25">
      <c r="A115" s="1211"/>
      <c r="B115" s="431"/>
      <c r="C115" s="587"/>
      <c r="D115" s="1446" t="s">
        <v>175</v>
      </c>
      <c r="E115" s="1447"/>
      <c r="F115" s="1445" t="s">
        <v>275</v>
      </c>
      <c r="G115" s="590"/>
      <c r="H115" s="498">
        <v>6</v>
      </c>
      <c r="I115" s="1250" t="s">
        <v>15</v>
      </c>
      <c r="J115" s="1395">
        <v>11.5</v>
      </c>
      <c r="K115" s="1396">
        <v>11.5</v>
      </c>
      <c r="L115" s="1397">
        <v>0</v>
      </c>
      <c r="M115" s="1448" t="s">
        <v>74</v>
      </c>
      <c r="N115" s="1449">
        <v>1</v>
      </c>
      <c r="O115" s="1450">
        <v>0</v>
      </c>
      <c r="P115" s="1796" t="s">
        <v>757</v>
      </c>
      <c r="Q115" s="1797"/>
      <c r="R115" s="551"/>
      <c r="S115" s="551"/>
      <c r="T115" s="551"/>
    </row>
    <row r="116" spans="1:21" ht="54.75" customHeight="1" x14ac:dyDescent="0.2">
      <c r="A116" s="1211"/>
      <c r="B116" s="431"/>
      <c r="C116" s="426"/>
      <c r="D116" s="376" t="s">
        <v>178</v>
      </c>
      <c r="E116" s="602"/>
      <c r="F116" s="1923" t="s">
        <v>759</v>
      </c>
      <c r="G116" s="603"/>
      <c r="H116" s="371"/>
      <c r="I116" s="144" t="s">
        <v>15</v>
      </c>
      <c r="J116" s="50">
        <v>770.2</v>
      </c>
      <c r="K116" s="66">
        <v>716.3</v>
      </c>
      <c r="L116" s="1555">
        <v>696</v>
      </c>
      <c r="M116" s="256" t="s">
        <v>188</v>
      </c>
      <c r="N116" s="96">
        <v>3</v>
      </c>
      <c r="O116" s="96">
        <v>5</v>
      </c>
      <c r="P116" s="1953" t="s">
        <v>734</v>
      </c>
      <c r="Q116" s="1954"/>
      <c r="R116" s="604"/>
      <c r="S116" s="605"/>
      <c r="T116" s="605"/>
    </row>
    <row r="117" spans="1:21" ht="51" customHeight="1" x14ac:dyDescent="0.2">
      <c r="A117" s="1211"/>
      <c r="B117" s="431"/>
      <c r="C117" s="751"/>
      <c r="D117" s="414"/>
      <c r="E117" s="606"/>
      <c r="F117" s="1924"/>
      <c r="G117" s="1226"/>
      <c r="H117" s="1332"/>
      <c r="I117" s="12" t="s">
        <v>127</v>
      </c>
      <c r="J117" s="117">
        <v>172.5</v>
      </c>
      <c r="K117" s="123">
        <v>172.5</v>
      </c>
      <c r="L117" s="1552">
        <v>172.5</v>
      </c>
      <c r="M117" s="221" t="s">
        <v>189</v>
      </c>
      <c r="N117" s="91">
        <v>1</v>
      </c>
      <c r="O117" s="91">
        <v>1</v>
      </c>
      <c r="P117" s="1491" t="s">
        <v>760</v>
      </c>
      <c r="Q117" s="1163" t="s">
        <v>735</v>
      </c>
      <c r="R117" s="605"/>
      <c r="S117" s="605"/>
      <c r="T117" s="605"/>
    </row>
    <row r="118" spans="1:21" ht="20.25" customHeight="1" x14ac:dyDescent="0.2">
      <c r="A118" s="1179"/>
      <c r="B118" s="431"/>
      <c r="C118" s="369"/>
      <c r="D118" s="1416" t="s">
        <v>235</v>
      </c>
      <c r="E118" s="1416"/>
      <c r="F118" s="1925" t="s">
        <v>190</v>
      </c>
      <c r="G118" s="401"/>
      <c r="H118" s="401"/>
      <c r="I118" s="83" t="s">
        <v>15</v>
      </c>
      <c r="J118" s="124">
        <v>385</v>
      </c>
      <c r="K118" s="126">
        <v>385</v>
      </c>
      <c r="L118" s="1552">
        <v>120.9</v>
      </c>
      <c r="M118" s="1443" t="s">
        <v>76</v>
      </c>
      <c r="N118" s="1444">
        <v>50</v>
      </c>
      <c r="O118" s="1444">
        <v>30</v>
      </c>
      <c r="P118" s="1947" t="s">
        <v>761</v>
      </c>
      <c r="Q118" s="1948"/>
      <c r="R118" s="341"/>
    </row>
    <row r="119" spans="1:21" ht="15.75" customHeight="1" x14ac:dyDescent="0.2">
      <c r="A119" s="1179"/>
      <c r="B119" s="431"/>
      <c r="C119" s="369"/>
      <c r="D119" s="1416"/>
      <c r="E119" s="1416"/>
      <c r="F119" s="1925"/>
      <c r="G119" s="401"/>
      <c r="H119" s="401"/>
      <c r="I119" s="55" t="s">
        <v>127</v>
      </c>
      <c r="J119" s="116">
        <v>130</v>
      </c>
      <c r="K119" s="122">
        <v>130</v>
      </c>
      <c r="L119" s="1278">
        <v>130</v>
      </c>
      <c r="M119" s="1443"/>
      <c r="N119" s="1444"/>
      <c r="O119" s="1444"/>
      <c r="P119" s="1949"/>
      <c r="Q119" s="1950"/>
      <c r="R119" s="341"/>
    </row>
    <row r="120" spans="1:21" ht="13.5" thickBot="1" x14ac:dyDescent="0.25">
      <c r="A120" s="1190"/>
      <c r="B120" s="484"/>
      <c r="C120" s="614"/>
      <c r="D120" s="1442"/>
      <c r="E120" s="1442"/>
      <c r="F120" s="1926"/>
      <c r="G120" s="1927" t="s">
        <v>64</v>
      </c>
      <c r="H120" s="1928"/>
      <c r="I120" s="1929"/>
      <c r="J120" s="150">
        <f>SUM(J99:J119)</f>
        <v>5240.9000000000005</v>
      </c>
      <c r="K120" s="535">
        <f>SUM(K99:K119)</f>
        <v>2793.8</v>
      </c>
      <c r="L120" s="535">
        <f>SUM(L99:L119)</f>
        <v>1831.8000000000002</v>
      </c>
      <c r="M120" s="1605"/>
      <c r="N120" s="1422"/>
      <c r="O120" s="1422"/>
      <c r="P120" s="1951"/>
      <c r="Q120" s="1952"/>
    </row>
    <row r="121" spans="1:21" ht="27" customHeight="1" x14ac:dyDescent="0.2">
      <c r="A121" s="1189" t="s">
        <v>17</v>
      </c>
      <c r="B121" s="464" t="s">
        <v>14</v>
      </c>
      <c r="C121" s="359" t="s">
        <v>19</v>
      </c>
      <c r="D121" s="360"/>
      <c r="E121" s="360"/>
      <c r="F121" s="1568" t="s">
        <v>191</v>
      </c>
      <c r="G121" s="30" t="s">
        <v>2</v>
      </c>
      <c r="H121" s="620">
        <v>5</v>
      </c>
      <c r="I121" s="144"/>
      <c r="J121" s="621"/>
      <c r="K121" s="622"/>
      <c r="L121" s="1299"/>
      <c r="M121" s="206"/>
      <c r="N121" s="107"/>
      <c r="O121" s="445"/>
      <c r="P121" s="1486"/>
      <c r="Q121" s="1382"/>
      <c r="R121" s="605"/>
      <c r="S121" s="605"/>
      <c r="T121" s="605"/>
    </row>
    <row r="122" spans="1:21" ht="81.75" customHeight="1" x14ac:dyDescent="0.2">
      <c r="A122" s="1179"/>
      <c r="B122" s="431"/>
      <c r="C122" s="432"/>
      <c r="D122" s="1425" t="s">
        <v>14</v>
      </c>
      <c r="E122" s="1425"/>
      <c r="F122" s="1427" t="s">
        <v>277</v>
      </c>
      <c r="G122" s="248"/>
      <c r="H122" s="537"/>
      <c r="I122" s="1333" t="s">
        <v>127</v>
      </c>
      <c r="J122" s="628">
        <v>60</v>
      </c>
      <c r="K122" s="629">
        <v>56.6</v>
      </c>
      <c r="L122" s="1556">
        <v>25.3</v>
      </c>
      <c r="M122" s="1426" t="s">
        <v>134</v>
      </c>
      <c r="N122" s="1423">
        <v>1</v>
      </c>
      <c r="O122" s="1617">
        <v>0.8</v>
      </c>
      <c r="P122" s="1798" t="s">
        <v>762</v>
      </c>
      <c r="Q122" s="1799"/>
      <c r="R122" s="566"/>
      <c r="S122" s="566"/>
      <c r="T122" s="566"/>
      <c r="U122" s="104"/>
    </row>
    <row r="123" spans="1:21" ht="83.25" customHeight="1" x14ac:dyDescent="0.2">
      <c r="A123" s="1179"/>
      <c r="B123" s="431"/>
      <c r="C123" s="369"/>
      <c r="D123" s="1425" t="s">
        <v>17</v>
      </c>
      <c r="E123" s="1425"/>
      <c r="F123" s="1930" t="s">
        <v>707</v>
      </c>
      <c r="G123" s="255"/>
      <c r="H123" s="401"/>
      <c r="I123" s="624" t="s">
        <v>15</v>
      </c>
      <c r="J123" s="1224">
        <v>206.6</v>
      </c>
      <c r="K123" s="1307">
        <v>206.6</v>
      </c>
      <c r="L123" s="1300">
        <v>0</v>
      </c>
      <c r="M123" s="1459" t="s">
        <v>134</v>
      </c>
      <c r="N123" s="1460">
        <v>1</v>
      </c>
      <c r="O123" s="1461">
        <v>0.8</v>
      </c>
      <c r="P123" s="1937" t="s">
        <v>763</v>
      </c>
      <c r="Q123" s="1938"/>
      <c r="R123" s="566"/>
      <c r="S123" s="566"/>
      <c r="T123" s="566"/>
    </row>
    <row r="124" spans="1:21" ht="27.75" customHeight="1" x14ac:dyDescent="0.2">
      <c r="A124" s="1179"/>
      <c r="B124" s="431"/>
      <c r="C124" s="369"/>
      <c r="D124" s="1416"/>
      <c r="E124" s="1416"/>
      <c r="F124" s="1931"/>
      <c r="G124" s="255"/>
      <c r="H124" s="401"/>
      <c r="I124" s="633" t="s">
        <v>127</v>
      </c>
      <c r="J124" s="559">
        <v>29.5</v>
      </c>
      <c r="K124" s="560">
        <v>32.9</v>
      </c>
      <c r="L124" s="674">
        <v>24.5</v>
      </c>
      <c r="M124" s="1462" t="s">
        <v>706</v>
      </c>
      <c r="N124" s="1463">
        <v>15</v>
      </c>
      <c r="O124" s="1464">
        <v>0</v>
      </c>
      <c r="P124" s="1933" t="s">
        <v>736</v>
      </c>
      <c r="Q124" s="1934"/>
      <c r="R124" s="566"/>
      <c r="S124" s="566"/>
      <c r="T124" s="566"/>
    </row>
    <row r="125" spans="1:21" ht="27.75" customHeight="1" x14ac:dyDescent="0.2">
      <c r="A125" s="1179"/>
      <c r="B125" s="431"/>
      <c r="C125" s="369"/>
      <c r="D125" s="1417"/>
      <c r="E125" s="1417"/>
      <c r="F125" s="1932"/>
      <c r="G125" s="255"/>
      <c r="H125" s="401"/>
      <c r="I125" s="624" t="s">
        <v>97</v>
      </c>
      <c r="J125" s="677">
        <v>90</v>
      </c>
      <c r="K125" s="678">
        <v>0</v>
      </c>
      <c r="L125" s="1301">
        <v>0</v>
      </c>
      <c r="M125" s="1465"/>
      <c r="N125" s="1466"/>
      <c r="O125" s="1467"/>
      <c r="P125" s="1935"/>
      <c r="Q125" s="1936"/>
      <c r="R125" s="566"/>
      <c r="S125" s="566"/>
      <c r="T125" s="566"/>
    </row>
    <row r="126" spans="1:21" ht="14.25" customHeight="1" x14ac:dyDescent="0.2">
      <c r="A126" s="1179"/>
      <c r="B126" s="431"/>
      <c r="C126" s="432"/>
      <c r="D126" s="370" t="s">
        <v>19</v>
      </c>
      <c r="E126" s="370"/>
      <c r="F126" s="1923" t="s">
        <v>279</v>
      </c>
      <c r="G126" s="255"/>
      <c r="H126" s="401"/>
      <c r="I126" s="633" t="s">
        <v>15</v>
      </c>
      <c r="J126" s="672">
        <f>31.9-7</f>
        <v>24.9</v>
      </c>
      <c r="K126" s="673">
        <f>31.9-7</f>
        <v>24.9</v>
      </c>
      <c r="L126" s="1552">
        <v>16.3</v>
      </c>
      <c r="M126" s="1786" t="s">
        <v>134</v>
      </c>
      <c r="N126" s="1339">
        <v>2</v>
      </c>
      <c r="O126" s="1596">
        <v>2</v>
      </c>
      <c r="P126" s="1800" t="s">
        <v>766</v>
      </c>
      <c r="Q126" s="1384"/>
      <c r="R126" s="566"/>
      <c r="S126" s="566"/>
      <c r="T126" s="566"/>
      <c r="U126" s="198"/>
    </row>
    <row r="127" spans="1:21" ht="14.25" customHeight="1" x14ac:dyDescent="0.2">
      <c r="A127" s="1211"/>
      <c r="B127" s="431"/>
      <c r="C127" s="432"/>
      <c r="D127" s="370"/>
      <c r="E127" s="370"/>
      <c r="F127" s="1924"/>
      <c r="G127" s="255"/>
      <c r="H127" s="97"/>
      <c r="I127" s="627" t="s">
        <v>127</v>
      </c>
      <c r="J127" s="1223">
        <v>15.8</v>
      </c>
      <c r="K127" s="1308">
        <v>15.8</v>
      </c>
      <c r="L127" s="1552">
        <v>15.8</v>
      </c>
      <c r="M127" s="1922"/>
      <c r="N127" s="1340"/>
      <c r="O127" s="1597"/>
      <c r="P127" s="1801"/>
      <c r="Q127" s="1483"/>
      <c r="S127" s="1222"/>
      <c r="T127" s="198"/>
      <c r="U127" s="198"/>
    </row>
    <row r="128" spans="1:21" ht="12.75" customHeight="1" x14ac:dyDescent="0.2">
      <c r="A128" s="1179"/>
      <c r="B128" s="431"/>
      <c r="C128" s="432"/>
      <c r="D128" s="377" t="s">
        <v>21</v>
      </c>
      <c r="E128" s="377"/>
      <c r="F128" s="1874" t="s">
        <v>281</v>
      </c>
      <c r="G128" s="567"/>
      <c r="H128" s="403"/>
      <c r="I128" s="624" t="s">
        <v>15</v>
      </c>
      <c r="J128" s="672">
        <v>1.4</v>
      </c>
      <c r="K128" s="673">
        <v>1.4</v>
      </c>
      <c r="L128" s="1302">
        <v>1.4</v>
      </c>
      <c r="M128" s="1945" t="s">
        <v>74</v>
      </c>
      <c r="N128" s="1341">
        <v>1</v>
      </c>
      <c r="O128" s="1220">
        <v>1</v>
      </c>
      <c r="P128" s="1455" t="s">
        <v>546</v>
      </c>
      <c r="Q128" s="1387"/>
      <c r="R128" s="659"/>
    </row>
    <row r="129" spans="1:22" x14ac:dyDescent="0.2">
      <c r="A129" s="1211"/>
      <c r="B129" s="431"/>
      <c r="C129" s="660"/>
      <c r="D129" s="370"/>
      <c r="E129" s="370"/>
      <c r="F129" s="1886"/>
      <c r="G129" s="567"/>
      <c r="H129" s="403"/>
      <c r="I129" s="627" t="s">
        <v>127</v>
      </c>
      <c r="J129" s="677">
        <v>20</v>
      </c>
      <c r="K129" s="678">
        <v>20</v>
      </c>
      <c r="L129" s="1552">
        <v>19.600000000000001</v>
      </c>
      <c r="M129" s="1921"/>
      <c r="N129" s="1338"/>
      <c r="O129" s="1221"/>
      <c r="P129" s="1456"/>
      <c r="Q129" s="1385"/>
      <c r="R129" s="659"/>
    </row>
    <row r="130" spans="1:22" ht="13.5" thickBot="1" x14ac:dyDescent="0.25">
      <c r="A130" s="1190"/>
      <c r="B130" s="484"/>
      <c r="C130" s="485"/>
      <c r="D130" s="388"/>
      <c r="E130" s="388"/>
      <c r="F130" s="1139"/>
      <c r="G130" s="1909" t="s">
        <v>64</v>
      </c>
      <c r="H130" s="1910"/>
      <c r="I130" s="1911"/>
      <c r="J130" s="184">
        <f>SUM(J122:J129)</f>
        <v>448.2</v>
      </c>
      <c r="K130" s="459">
        <f>SUM(K122:K129)</f>
        <v>358.19999999999993</v>
      </c>
      <c r="L130" s="459">
        <f>SUM(L122:L129)</f>
        <v>102.9</v>
      </c>
      <c r="M130" s="1218"/>
      <c r="N130" s="245"/>
      <c r="O130" s="420"/>
      <c r="P130" s="1140"/>
      <c r="Q130" s="1170"/>
      <c r="R130" s="605"/>
      <c r="S130" s="605"/>
      <c r="T130" s="605"/>
      <c r="U130" s="127"/>
      <c r="V130" s="1915"/>
    </row>
    <row r="131" spans="1:22" ht="25.5" x14ac:dyDescent="0.2">
      <c r="A131" s="1189" t="s">
        <v>17</v>
      </c>
      <c r="B131" s="464" t="s">
        <v>14</v>
      </c>
      <c r="C131" s="465" t="s">
        <v>21</v>
      </c>
      <c r="D131" s="360"/>
      <c r="E131" s="360"/>
      <c r="F131" s="1916" t="s">
        <v>192</v>
      </c>
      <c r="G131" s="22" t="s">
        <v>2</v>
      </c>
      <c r="H131" s="671">
        <v>5</v>
      </c>
      <c r="I131" s="149"/>
      <c r="J131" s="130"/>
      <c r="K131" s="131"/>
      <c r="L131" s="1303"/>
      <c r="M131" s="1060"/>
      <c r="N131" s="107"/>
      <c r="O131" s="445"/>
      <c r="P131" s="1486"/>
      <c r="Q131" s="1382"/>
      <c r="S131" s="127"/>
      <c r="T131" s="127"/>
      <c r="U131" s="127"/>
      <c r="V131" s="1915"/>
    </row>
    <row r="132" spans="1:22" x14ac:dyDescent="0.2">
      <c r="A132" s="1179"/>
      <c r="B132" s="431"/>
      <c r="C132" s="432"/>
      <c r="D132" s="370"/>
      <c r="E132" s="370"/>
      <c r="F132" s="1917"/>
      <c r="G132" s="258"/>
      <c r="H132" s="537"/>
      <c r="I132" s="1048"/>
      <c r="J132" s="114"/>
      <c r="K132" s="120"/>
      <c r="L132" s="1293"/>
      <c r="M132" s="1061"/>
      <c r="N132" s="544"/>
      <c r="O132" s="1188"/>
      <c r="P132" s="1487"/>
      <c r="Q132" s="1383"/>
      <c r="S132" s="1057"/>
      <c r="T132" s="1047"/>
      <c r="U132" s="1047"/>
      <c r="V132" s="1047"/>
    </row>
    <row r="133" spans="1:22" ht="32.450000000000003" customHeight="1" x14ac:dyDescent="0.2">
      <c r="A133" s="1179"/>
      <c r="B133" s="431"/>
      <c r="C133" s="432"/>
      <c r="D133" s="1425" t="s">
        <v>14</v>
      </c>
      <c r="E133" s="1425"/>
      <c r="F133" s="1918" t="s">
        <v>705</v>
      </c>
      <c r="G133" s="567"/>
      <c r="H133" s="403"/>
      <c r="I133" s="675" t="s">
        <v>15</v>
      </c>
      <c r="J133" s="1224">
        <f>225.9-45.1</f>
        <v>180.8</v>
      </c>
      <c r="K133" s="1307">
        <f>225.9-45.1</f>
        <v>180.8</v>
      </c>
      <c r="L133" s="1304">
        <v>0.6</v>
      </c>
      <c r="M133" s="1468" t="s">
        <v>704</v>
      </c>
      <c r="N133" s="1469">
        <v>100</v>
      </c>
      <c r="O133" s="1470">
        <v>0</v>
      </c>
      <c r="P133" s="1939" t="s">
        <v>737</v>
      </c>
      <c r="Q133" s="1940"/>
      <c r="R133" s="605"/>
      <c r="S133" s="605"/>
      <c r="T133" s="605"/>
      <c r="U133" s="1047"/>
      <c r="V133" s="1047"/>
    </row>
    <row r="134" spans="1:22" x14ac:dyDescent="0.2">
      <c r="A134" s="1211"/>
      <c r="B134" s="431"/>
      <c r="C134" s="660"/>
      <c r="D134" s="1416"/>
      <c r="E134" s="1416"/>
      <c r="F134" s="1919"/>
      <c r="G134" s="567"/>
      <c r="H134" s="403"/>
      <c r="I134" s="675" t="s">
        <v>97</v>
      </c>
      <c r="J134" s="1224">
        <v>423.6</v>
      </c>
      <c r="K134" s="1307">
        <v>2.5</v>
      </c>
      <c r="L134" s="1304">
        <v>1.3</v>
      </c>
      <c r="M134" s="1468" t="s">
        <v>703</v>
      </c>
      <c r="N134" s="1471">
        <v>100</v>
      </c>
      <c r="O134" s="1472">
        <v>0</v>
      </c>
      <c r="P134" s="1941"/>
      <c r="Q134" s="1942"/>
      <c r="R134" s="605"/>
      <c r="S134" s="605"/>
      <c r="T134" s="605"/>
      <c r="U134" s="1047"/>
      <c r="V134" s="1047"/>
    </row>
    <row r="135" spans="1:22" x14ac:dyDescent="0.2">
      <c r="A135" s="1211"/>
      <c r="B135" s="431"/>
      <c r="C135" s="660"/>
      <c r="D135" s="1417"/>
      <c r="E135" s="1417"/>
      <c r="F135" s="1920"/>
      <c r="G135" s="567"/>
      <c r="H135" s="403"/>
      <c r="I135" s="675" t="s">
        <v>265</v>
      </c>
      <c r="J135" s="686">
        <v>3.1</v>
      </c>
      <c r="K135" s="687">
        <v>3.1</v>
      </c>
      <c r="L135" s="1297">
        <v>0.6</v>
      </c>
      <c r="M135" s="1473"/>
      <c r="N135" s="1474"/>
      <c r="O135" s="1475"/>
      <c r="P135" s="1943"/>
      <c r="Q135" s="1944"/>
      <c r="R135" s="605"/>
      <c r="S135" s="605"/>
      <c r="T135" s="605"/>
      <c r="U135" s="1047"/>
      <c r="V135" s="1047"/>
    </row>
    <row r="136" spans="1:22" ht="28.5" customHeight="1" x14ac:dyDescent="0.2">
      <c r="A136" s="1179"/>
      <c r="B136" s="431"/>
      <c r="C136" s="432"/>
      <c r="D136" s="598" t="s">
        <v>17</v>
      </c>
      <c r="E136" s="598"/>
      <c r="F136" s="1886" t="s">
        <v>193</v>
      </c>
      <c r="G136" s="567"/>
      <c r="H136" s="403"/>
      <c r="I136" s="633" t="s">
        <v>127</v>
      </c>
      <c r="J136" s="686">
        <v>2.8</v>
      </c>
      <c r="K136" s="687">
        <v>2.8</v>
      </c>
      <c r="L136" s="1297">
        <v>2.8</v>
      </c>
      <c r="M136" s="1800" t="s">
        <v>282</v>
      </c>
      <c r="N136" s="1337">
        <v>100</v>
      </c>
      <c r="O136" s="1180">
        <v>100</v>
      </c>
      <c r="P136" s="1456"/>
      <c r="Q136" s="1385"/>
      <c r="R136" s="605"/>
      <c r="S136" s="605"/>
      <c r="T136" s="605"/>
      <c r="U136" s="1047"/>
      <c r="V136" s="1047"/>
    </row>
    <row r="137" spans="1:22" ht="13.5" thickBot="1" x14ac:dyDescent="0.25">
      <c r="A137" s="1219"/>
      <c r="B137" s="484"/>
      <c r="C137" s="485"/>
      <c r="D137" s="1511"/>
      <c r="E137" s="1511"/>
      <c r="F137" s="1861"/>
      <c r="G137" s="1909" t="s">
        <v>64</v>
      </c>
      <c r="H137" s="1910"/>
      <c r="I137" s="1911"/>
      <c r="J137" s="184">
        <f>SUM(J133:J136)</f>
        <v>610.30000000000007</v>
      </c>
      <c r="K137" s="459">
        <f>SUM(K133:K136)</f>
        <v>189.20000000000002</v>
      </c>
      <c r="L137" s="459">
        <f>SUM(L133:L136)</f>
        <v>5.3</v>
      </c>
      <c r="M137" s="1946"/>
      <c r="N137" s="245"/>
      <c r="O137" s="420"/>
      <c r="P137" s="1140"/>
      <c r="Q137" s="1170"/>
      <c r="R137" s="605"/>
      <c r="S137" s="605"/>
      <c r="T137" s="605"/>
      <c r="U137" s="127"/>
      <c r="V137" s="1915"/>
    </row>
    <row r="138" spans="1:22" ht="25.5" x14ac:dyDescent="0.2">
      <c r="A138" s="1189" t="s">
        <v>17</v>
      </c>
      <c r="B138" s="464" t="s">
        <v>14</v>
      </c>
      <c r="C138" s="465" t="s">
        <v>22</v>
      </c>
      <c r="D138" s="360"/>
      <c r="E138" s="360"/>
      <c r="F138" s="1149" t="s">
        <v>130</v>
      </c>
      <c r="G138" s="199"/>
      <c r="H138" s="199"/>
      <c r="I138" s="149"/>
      <c r="J138" s="130"/>
      <c r="K138" s="131"/>
      <c r="L138" s="1303"/>
      <c r="M138" s="1061"/>
      <c r="N138" s="107"/>
      <c r="O138" s="445"/>
      <c r="P138" s="1486"/>
      <c r="Q138" s="1382"/>
      <c r="S138" s="127"/>
      <c r="T138" s="127"/>
      <c r="U138" s="127"/>
      <c r="V138" s="1915"/>
    </row>
    <row r="139" spans="1:22" ht="12.75" customHeight="1" x14ac:dyDescent="0.2">
      <c r="A139" s="1179"/>
      <c r="B139" s="431"/>
      <c r="C139" s="426"/>
      <c r="D139" s="1507" t="s">
        <v>14</v>
      </c>
      <c r="E139" s="1508"/>
      <c r="F139" s="1874" t="s">
        <v>558</v>
      </c>
      <c r="G139" s="267"/>
      <c r="H139" s="1217">
        <v>2</v>
      </c>
      <c r="I139" s="143" t="s">
        <v>15</v>
      </c>
      <c r="J139" s="1291">
        <v>104</v>
      </c>
      <c r="K139" s="1309">
        <v>104</v>
      </c>
      <c r="L139" s="1528">
        <v>104</v>
      </c>
      <c r="M139" s="1156" t="s">
        <v>148</v>
      </c>
      <c r="N139" s="93">
        <v>7</v>
      </c>
      <c r="O139" s="6">
        <v>7</v>
      </c>
      <c r="P139" s="1136"/>
      <c r="Q139" s="1161"/>
    </row>
    <row r="140" spans="1:22" ht="25.5" customHeight="1" x14ac:dyDescent="0.2">
      <c r="A140" s="1179"/>
      <c r="B140" s="431"/>
      <c r="C140" s="426"/>
      <c r="D140" s="1509"/>
      <c r="E140" s="698"/>
      <c r="F140" s="1875"/>
      <c r="G140" s="267"/>
      <c r="H140" s="433"/>
      <c r="I140" s="1336"/>
      <c r="J140" s="479"/>
      <c r="K140" s="480"/>
      <c r="L140" s="1275"/>
      <c r="M140" s="211"/>
      <c r="N140" s="81"/>
      <c r="O140" s="1216"/>
      <c r="P140" s="1137"/>
      <c r="Q140" s="1166"/>
    </row>
    <row r="141" spans="1:22" ht="42.75" customHeight="1" x14ac:dyDescent="0.2">
      <c r="A141" s="1211"/>
      <c r="B141" s="431"/>
      <c r="C141" s="1215"/>
      <c r="D141" s="698" t="s">
        <v>17</v>
      </c>
      <c r="E141" s="698"/>
      <c r="F141" s="174" t="s">
        <v>284</v>
      </c>
      <c r="G141" s="263"/>
      <c r="H141" s="433"/>
      <c r="I141" s="1336" t="s">
        <v>15</v>
      </c>
      <c r="J141" s="239">
        <v>183.5</v>
      </c>
      <c r="K141" s="1150">
        <v>234.8</v>
      </c>
      <c r="L141" s="1555">
        <v>234.8</v>
      </c>
      <c r="M141" s="1157" t="s">
        <v>148</v>
      </c>
      <c r="N141" s="1331">
        <v>24</v>
      </c>
      <c r="O141" s="17">
        <v>24</v>
      </c>
      <c r="P141" s="1792" t="s">
        <v>765</v>
      </c>
      <c r="Q141" s="1793"/>
    </row>
    <row r="142" spans="1:22" s="13" customFormat="1" ht="30.75" customHeight="1" x14ac:dyDescent="0.2">
      <c r="A142" s="1213"/>
      <c r="B142" s="1579"/>
      <c r="C142" s="262"/>
      <c r="D142" s="196" t="s">
        <v>19</v>
      </c>
      <c r="E142" s="196"/>
      <c r="F142" s="1886" t="s">
        <v>285</v>
      </c>
      <c r="G142" s="263"/>
      <c r="H142" s="37"/>
      <c r="I142" s="1901" t="s">
        <v>15</v>
      </c>
      <c r="J142" s="1903">
        <v>40</v>
      </c>
      <c r="K142" s="1905">
        <v>60</v>
      </c>
      <c r="L142" s="52">
        <v>60</v>
      </c>
      <c r="M142" s="211" t="s">
        <v>286</v>
      </c>
      <c r="N142" s="482">
        <v>757.2</v>
      </c>
      <c r="O142" s="1214">
        <v>685</v>
      </c>
      <c r="P142" s="1542" t="s">
        <v>715</v>
      </c>
      <c r="Q142" s="1388"/>
    </row>
    <row r="143" spans="1:22" s="13" customFormat="1" ht="14.25" customHeight="1" x14ac:dyDescent="0.2">
      <c r="A143" s="1213"/>
      <c r="B143" s="1579"/>
      <c r="C143" s="262"/>
      <c r="D143" s="196"/>
      <c r="E143" s="196"/>
      <c r="F143" s="1875"/>
      <c r="G143" s="263"/>
      <c r="H143" s="37"/>
      <c r="I143" s="1902"/>
      <c r="J143" s="1904"/>
      <c r="K143" s="1906"/>
      <c r="L143" s="1305"/>
      <c r="M143" s="234" t="s">
        <v>197</v>
      </c>
      <c r="N143" s="100">
        <v>20</v>
      </c>
      <c r="O143" s="14">
        <v>20</v>
      </c>
      <c r="P143" s="57" t="s">
        <v>565</v>
      </c>
      <c r="Q143" s="1386"/>
    </row>
    <row r="144" spans="1:22" s="13" customFormat="1" ht="25.5" x14ac:dyDescent="0.2">
      <c r="A144" s="1182"/>
      <c r="B144" s="1579"/>
      <c r="C144" s="1064"/>
      <c r="D144" s="1510" t="s">
        <v>21</v>
      </c>
      <c r="E144" s="1510"/>
      <c r="F144" s="174" t="s">
        <v>287</v>
      </c>
      <c r="G144" s="433"/>
      <c r="H144" s="433"/>
      <c r="I144" s="1048" t="s">
        <v>15</v>
      </c>
      <c r="J144" s="239">
        <v>4.8</v>
      </c>
      <c r="K144" s="1150">
        <v>4.8</v>
      </c>
      <c r="L144" s="43">
        <v>4.8</v>
      </c>
      <c r="M144" s="238" t="s">
        <v>288</v>
      </c>
      <c r="N144" s="171">
        <v>3</v>
      </c>
      <c r="O144" s="146">
        <v>3</v>
      </c>
      <c r="P144" s="1138"/>
      <c r="Q144" s="1163"/>
      <c r="S144" s="127"/>
      <c r="T144" s="127"/>
      <c r="U144" s="127"/>
      <c r="V144" s="1047"/>
    </row>
    <row r="145" spans="1:22" s="13" customFormat="1" ht="14.25" customHeight="1" x14ac:dyDescent="0.2">
      <c r="A145" s="1213"/>
      <c r="B145" s="1579"/>
      <c r="C145" s="23"/>
      <c r="D145" s="196" t="s">
        <v>22</v>
      </c>
      <c r="E145" s="196"/>
      <c r="F145" s="1874" t="s">
        <v>289</v>
      </c>
      <c r="G145" s="600"/>
      <c r="H145" s="433"/>
      <c r="I145" s="1202" t="s">
        <v>15</v>
      </c>
      <c r="J145" s="1291"/>
      <c r="K145" s="1309">
        <v>13.1</v>
      </c>
      <c r="L145" s="52">
        <v>13.1</v>
      </c>
      <c r="M145" s="1907" t="s">
        <v>764</v>
      </c>
      <c r="N145" s="93">
        <v>1</v>
      </c>
      <c r="O145" s="6">
        <v>1</v>
      </c>
      <c r="P145" s="1136"/>
      <c r="Q145" s="1161"/>
      <c r="S145" s="127"/>
      <c r="T145" s="127"/>
      <c r="U145" s="127"/>
      <c r="V145" s="1047"/>
    </row>
    <row r="146" spans="1:22" ht="13.5" thickBot="1" x14ac:dyDescent="0.25">
      <c r="A146" s="1211"/>
      <c r="B146" s="431"/>
      <c r="C146" s="660"/>
      <c r="D146" s="1511"/>
      <c r="E146" s="1511"/>
      <c r="F146" s="1861"/>
      <c r="G146" s="1909" t="s">
        <v>64</v>
      </c>
      <c r="H146" s="1910"/>
      <c r="I146" s="1911"/>
      <c r="J146" s="184">
        <f>SUM(J139:J145)</f>
        <v>332.3</v>
      </c>
      <c r="K146" s="459">
        <f>SUM(K139:K145)</f>
        <v>416.70000000000005</v>
      </c>
      <c r="L146" s="459">
        <f>SUM(L139:L145)</f>
        <v>416.70000000000005</v>
      </c>
      <c r="M146" s="1908"/>
      <c r="N146" s="245"/>
      <c r="O146" s="420"/>
      <c r="P146" s="1140"/>
      <c r="Q146" s="1170"/>
    </row>
    <row r="147" spans="1:22" ht="13.5" customHeight="1" thickBot="1" x14ac:dyDescent="0.25">
      <c r="A147" s="1212" t="s">
        <v>17</v>
      </c>
      <c r="B147" s="703" t="s">
        <v>14</v>
      </c>
      <c r="C147" s="1831" t="s">
        <v>20</v>
      </c>
      <c r="D147" s="1832"/>
      <c r="E147" s="1832"/>
      <c r="F147" s="1832"/>
      <c r="G147" s="1832"/>
      <c r="H147" s="1832"/>
      <c r="I147" s="1832"/>
      <c r="J147" s="505">
        <f>J137+J130+J120+J146+J98</f>
        <v>6850.3000000000011</v>
      </c>
      <c r="K147" s="704">
        <f>K137+K130+K120+K146+K98</f>
        <v>3976.5000000000005</v>
      </c>
      <c r="L147" s="704">
        <f>L137+L130+L120+L146+L98</f>
        <v>2356.7000000000003</v>
      </c>
      <c r="M147" s="1912"/>
      <c r="N147" s="1913"/>
      <c r="O147" s="1913"/>
      <c r="P147" s="1913"/>
      <c r="Q147" s="1914"/>
    </row>
    <row r="148" spans="1:22" ht="15.75" customHeight="1" thickBot="1" x14ac:dyDescent="0.25">
      <c r="A148" s="1211" t="s">
        <v>17</v>
      </c>
      <c r="B148" s="504" t="s">
        <v>17</v>
      </c>
      <c r="C148" s="1897" t="s">
        <v>89</v>
      </c>
      <c r="D148" s="1898"/>
      <c r="E148" s="1898"/>
      <c r="F148" s="1898"/>
      <c r="G148" s="1898"/>
      <c r="H148" s="1898"/>
      <c r="I148" s="1898"/>
      <c r="J148" s="1898"/>
      <c r="K148" s="1898"/>
      <c r="L148" s="1898"/>
      <c r="M148" s="1898"/>
      <c r="N148" s="1898"/>
      <c r="O148" s="1898"/>
      <c r="P148" s="1898"/>
      <c r="Q148" s="1899"/>
    </row>
    <row r="149" spans="1:22" ht="29.45" customHeight="1" x14ac:dyDescent="0.2">
      <c r="A149" s="1210" t="s">
        <v>17</v>
      </c>
      <c r="B149" s="706" t="s">
        <v>17</v>
      </c>
      <c r="C149" s="707" t="s">
        <v>14</v>
      </c>
      <c r="D149" s="588"/>
      <c r="E149" s="588"/>
      <c r="F149" s="1860" t="s">
        <v>195</v>
      </c>
      <c r="G149" s="1051"/>
      <c r="H149" s="491">
        <v>2</v>
      </c>
      <c r="I149" s="468" t="s">
        <v>15</v>
      </c>
      <c r="J149" s="499">
        <v>44</v>
      </c>
      <c r="K149" s="500">
        <v>44</v>
      </c>
      <c r="L149" s="1311">
        <v>44</v>
      </c>
      <c r="M149" s="142" t="s">
        <v>148</v>
      </c>
      <c r="N149" s="94">
        <v>8</v>
      </c>
      <c r="O149" s="1209">
        <v>8</v>
      </c>
      <c r="P149" s="1777" t="s">
        <v>728</v>
      </c>
      <c r="Q149" s="1778"/>
    </row>
    <row r="150" spans="1:22" ht="15" customHeight="1" x14ac:dyDescent="0.2">
      <c r="A150" s="1208"/>
      <c r="B150" s="1207"/>
      <c r="C150" s="1197"/>
      <c r="D150" s="1502"/>
      <c r="E150" s="1502"/>
      <c r="F150" s="1875"/>
      <c r="G150" s="1053"/>
      <c r="H150" s="1206"/>
      <c r="I150" s="1205" t="s">
        <v>16</v>
      </c>
      <c r="J150" s="1204">
        <f>J149</f>
        <v>44</v>
      </c>
      <c r="K150" s="1318">
        <f>K149</f>
        <v>44</v>
      </c>
      <c r="L150" s="1318">
        <f>L149</f>
        <v>44</v>
      </c>
      <c r="M150" s="234" t="s">
        <v>196</v>
      </c>
      <c r="N150" s="100">
        <v>586</v>
      </c>
      <c r="O150" s="14">
        <v>586</v>
      </c>
      <c r="P150" s="1856"/>
      <c r="Q150" s="1857"/>
    </row>
    <row r="151" spans="1:22" ht="15.75" customHeight="1" x14ac:dyDescent="0.2">
      <c r="A151" s="1179" t="s">
        <v>17</v>
      </c>
      <c r="B151" s="431" t="s">
        <v>17</v>
      </c>
      <c r="C151" s="426" t="s">
        <v>17</v>
      </c>
      <c r="D151" s="1503"/>
      <c r="E151" s="598"/>
      <c r="F151" s="1225" t="s">
        <v>131</v>
      </c>
      <c r="G151" s="33"/>
      <c r="H151" s="441">
        <v>2</v>
      </c>
      <c r="I151" s="436"/>
      <c r="J151" s="1317"/>
      <c r="K151" s="1319"/>
      <c r="L151" s="1312"/>
      <c r="M151" s="1152"/>
      <c r="N151" s="1331"/>
      <c r="O151" s="17"/>
      <c r="P151" s="1138"/>
      <c r="Q151" s="1163"/>
    </row>
    <row r="152" spans="1:22" s="13" customFormat="1" x14ac:dyDescent="0.2">
      <c r="A152" s="1182"/>
      <c r="B152" s="1579"/>
      <c r="C152" s="1"/>
      <c r="D152" s="1504" t="s">
        <v>14</v>
      </c>
      <c r="E152" s="1505"/>
      <c r="F152" s="1874" t="s">
        <v>99</v>
      </c>
      <c r="G152" s="719"/>
      <c r="H152" s="37"/>
      <c r="I152" s="187" t="s">
        <v>15</v>
      </c>
      <c r="J152" s="553">
        <v>72.2</v>
      </c>
      <c r="K152" s="550">
        <v>72.2</v>
      </c>
      <c r="L152" s="1313">
        <v>72.2</v>
      </c>
      <c r="M152" s="238" t="s">
        <v>148</v>
      </c>
      <c r="N152" s="100">
        <v>31</v>
      </c>
      <c r="O152" s="14">
        <v>36</v>
      </c>
      <c r="P152" s="57"/>
      <c r="Q152" s="1386"/>
      <c r="R152" s="29"/>
    </row>
    <row r="153" spans="1:22" s="13" customFormat="1" x14ac:dyDescent="0.2">
      <c r="A153" s="1182"/>
      <c r="B153" s="1579"/>
      <c r="C153" s="1"/>
      <c r="D153" s="1506"/>
      <c r="E153" s="196"/>
      <c r="F153" s="1886"/>
      <c r="G153" s="719"/>
      <c r="H153" s="37"/>
      <c r="I153" s="1045"/>
      <c r="J153" s="410"/>
      <c r="K153" s="411"/>
      <c r="L153" s="1314"/>
      <c r="M153" s="238" t="s">
        <v>85</v>
      </c>
      <c r="N153" s="171">
        <v>39</v>
      </c>
      <c r="O153" s="146">
        <v>39</v>
      </c>
      <c r="P153" s="1138"/>
      <c r="Q153" s="1163"/>
      <c r="R153" s="29"/>
    </row>
    <row r="154" spans="1:22" s="13" customFormat="1" ht="15" customHeight="1" x14ac:dyDescent="0.2">
      <c r="A154" s="1182"/>
      <c r="B154" s="1579"/>
      <c r="C154" s="1"/>
      <c r="D154" s="723"/>
      <c r="E154" s="720"/>
      <c r="F154" s="1874" t="s">
        <v>292</v>
      </c>
      <c r="G154" s="719"/>
      <c r="H154" s="1894">
        <v>2</v>
      </c>
      <c r="I154" s="1202" t="s">
        <v>15</v>
      </c>
      <c r="J154" s="1291">
        <v>5</v>
      </c>
      <c r="K154" s="1309">
        <v>5</v>
      </c>
      <c r="L154" s="1315">
        <v>5</v>
      </c>
      <c r="M154" s="238" t="s">
        <v>162</v>
      </c>
      <c r="N154" s="93">
        <v>1</v>
      </c>
      <c r="O154" s="6">
        <v>1</v>
      </c>
      <c r="P154" s="1794" t="s">
        <v>723</v>
      </c>
      <c r="Q154" s="1161"/>
    </row>
    <row r="155" spans="1:22" s="13" customFormat="1" ht="15" customHeight="1" x14ac:dyDescent="0.2">
      <c r="A155" s="1182"/>
      <c r="B155" s="1579"/>
      <c r="C155" s="1"/>
      <c r="D155" s="723"/>
      <c r="E155" s="720"/>
      <c r="F155" s="1886"/>
      <c r="G155" s="719"/>
      <c r="H155" s="1895"/>
      <c r="I155" s="1045"/>
      <c r="J155" s="239"/>
      <c r="K155" s="1150"/>
      <c r="L155" s="1316"/>
      <c r="M155" s="80"/>
      <c r="N155" s="171"/>
      <c r="O155" s="146"/>
      <c r="P155" s="1900"/>
      <c r="Q155" s="1163"/>
    </row>
    <row r="156" spans="1:22" s="13" customFormat="1" ht="84" customHeight="1" x14ac:dyDescent="0.2">
      <c r="A156" s="1182"/>
      <c r="B156" s="1579"/>
      <c r="C156" s="1"/>
      <c r="D156" s="723"/>
      <c r="E156" s="720"/>
      <c r="F156" s="1562" t="s">
        <v>293</v>
      </c>
      <c r="G156" s="719"/>
      <c r="H156" s="726">
        <v>1</v>
      </c>
      <c r="I156" s="1200" t="s">
        <v>15</v>
      </c>
      <c r="J156" s="68">
        <v>158</v>
      </c>
      <c r="K156" s="76">
        <v>158</v>
      </c>
      <c r="L156" s="1564">
        <v>7</v>
      </c>
      <c r="M156" s="1529" t="s">
        <v>148</v>
      </c>
      <c r="N156" s="1530">
        <v>10</v>
      </c>
      <c r="O156" s="1531">
        <v>10</v>
      </c>
      <c r="P156" s="1850" t="s">
        <v>767</v>
      </c>
      <c r="Q156" s="1851"/>
    </row>
    <row r="157" spans="1:22" s="13" customFormat="1" ht="13.5" thickBot="1" x14ac:dyDescent="0.25">
      <c r="A157" s="1182"/>
      <c r="B157" s="1579"/>
      <c r="C157" s="1"/>
      <c r="D157" s="723"/>
      <c r="E157" s="701"/>
      <c r="F157" s="1563"/>
      <c r="G157" s="719"/>
      <c r="H157" s="37"/>
      <c r="I157" s="727" t="s">
        <v>16</v>
      </c>
      <c r="J157" s="47">
        <f>SUM(J152:J156)</f>
        <v>235.2</v>
      </c>
      <c r="K157" s="65">
        <f>SUM(K152:K156)</f>
        <v>235.2</v>
      </c>
      <c r="L157" s="65">
        <f>SUM(L152:L156)</f>
        <v>84.2</v>
      </c>
      <c r="M157" s="1532"/>
      <c r="N157" s="1533"/>
      <c r="O157" s="1534"/>
      <c r="P157" s="1852"/>
      <c r="Q157" s="1853"/>
    </row>
    <row r="158" spans="1:22" ht="15.75" customHeight="1" thickBot="1" x14ac:dyDescent="0.25">
      <c r="A158" s="1198" t="s">
        <v>17</v>
      </c>
      <c r="B158" s="504" t="s">
        <v>17</v>
      </c>
      <c r="C158" s="1831" t="s">
        <v>20</v>
      </c>
      <c r="D158" s="1832"/>
      <c r="E158" s="1832"/>
      <c r="F158" s="1832"/>
      <c r="G158" s="1832"/>
      <c r="H158" s="1832"/>
      <c r="I158" s="1896"/>
      <c r="J158" s="505">
        <f>+J150+J157</f>
        <v>279.2</v>
      </c>
      <c r="K158" s="704">
        <f>+K150+K157</f>
        <v>279.2</v>
      </c>
      <c r="L158" s="704">
        <f>+L150+L157</f>
        <v>128.19999999999999</v>
      </c>
      <c r="M158" s="1912"/>
      <c r="N158" s="1913"/>
      <c r="O158" s="1913"/>
      <c r="P158" s="1913"/>
      <c r="Q158" s="1914"/>
    </row>
    <row r="159" spans="1:22" ht="17.25" customHeight="1" thickBot="1" x14ac:dyDescent="0.25">
      <c r="A159" s="1198" t="s">
        <v>17</v>
      </c>
      <c r="B159" s="732" t="s">
        <v>19</v>
      </c>
      <c r="C159" s="1897" t="s">
        <v>33</v>
      </c>
      <c r="D159" s="1898"/>
      <c r="E159" s="1898"/>
      <c r="F159" s="1898"/>
      <c r="G159" s="1898"/>
      <c r="H159" s="1898"/>
      <c r="I159" s="1898"/>
      <c r="J159" s="1898"/>
      <c r="K159" s="1898"/>
      <c r="L159" s="1898"/>
      <c r="M159" s="1898"/>
      <c r="N159" s="1898"/>
      <c r="O159" s="1898"/>
      <c r="P159" s="1898"/>
      <c r="Q159" s="1899"/>
    </row>
    <row r="160" spans="1:22" ht="25.5" customHeight="1" x14ac:dyDescent="0.2">
      <c r="A160" s="1189" t="s">
        <v>17</v>
      </c>
      <c r="B160" s="464" t="s">
        <v>19</v>
      </c>
      <c r="C160" s="465" t="s">
        <v>14</v>
      </c>
      <c r="D160" s="466"/>
      <c r="E160" s="466"/>
      <c r="F160" s="1570" t="s">
        <v>34</v>
      </c>
      <c r="G160" s="1051"/>
      <c r="H160" s="467">
        <v>6</v>
      </c>
      <c r="I160" s="192"/>
      <c r="J160" s="134"/>
      <c r="K160" s="125"/>
      <c r="L160" s="85"/>
      <c r="M160" s="733"/>
      <c r="N160" s="107"/>
      <c r="O160" s="445"/>
      <c r="P160" s="1486"/>
      <c r="Q160" s="1382"/>
    </row>
    <row r="161" spans="1:20" ht="106.5" customHeight="1" x14ac:dyDescent="0.2">
      <c r="A161" s="1179"/>
      <c r="B161" s="431"/>
      <c r="C161" s="740"/>
      <c r="D161" s="435" t="s">
        <v>14</v>
      </c>
      <c r="E161" s="435"/>
      <c r="F161" s="1154" t="s">
        <v>768</v>
      </c>
      <c r="G161" s="1062"/>
      <c r="H161" s="403"/>
      <c r="I161" s="481" t="s">
        <v>15</v>
      </c>
      <c r="J161" s="68">
        <v>487</v>
      </c>
      <c r="K161" s="76">
        <f>541.9+6.5</f>
        <v>548.4</v>
      </c>
      <c r="L161" s="1528">
        <v>540</v>
      </c>
      <c r="M161" s="249" t="s">
        <v>199</v>
      </c>
      <c r="N161" s="100">
        <v>21</v>
      </c>
      <c r="O161" s="14">
        <v>21</v>
      </c>
      <c r="P161" s="57" t="s">
        <v>769</v>
      </c>
      <c r="Q161" s="1386"/>
      <c r="R161" s="605"/>
    </row>
    <row r="162" spans="1:20" s="127" customFormat="1" ht="16.899999999999999" customHeight="1" x14ac:dyDescent="0.2">
      <c r="A162" s="1179"/>
      <c r="B162" s="431"/>
      <c r="C162" s="740"/>
      <c r="D162" s="370" t="s">
        <v>17</v>
      </c>
      <c r="E162" s="370"/>
      <c r="F162" s="1826" t="s">
        <v>132</v>
      </c>
      <c r="G162" s="1062"/>
      <c r="H162" s="403"/>
      <c r="I162" s="481" t="s">
        <v>15</v>
      </c>
      <c r="J162" s="68">
        <v>33.700000000000003</v>
      </c>
      <c r="K162" s="76">
        <v>33.700000000000003</v>
      </c>
      <c r="L162" s="1557">
        <v>33.299999999999997</v>
      </c>
      <c r="M162" s="1066" t="s">
        <v>148</v>
      </c>
      <c r="N162" s="93">
        <v>93</v>
      </c>
      <c r="O162" s="6">
        <v>93</v>
      </c>
      <c r="P162" s="1136"/>
      <c r="Q162" s="1161"/>
      <c r="R162" s="605"/>
    </row>
    <row r="163" spans="1:20" s="127" customFormat="1" x14ac:dyDescent="0.2">
      <c r="A163" s="1179"/>
      <c r="B163" s="431"/>
      <c r="C163" s="432"/>
      <c r="D163" s="476"/>
      <c r="E163" s="370"/>
      <c r="F163" s="1827"/>
      <c r="G163" s="1062"/>
      <c r="H163" s="403"/>
      <c r="I163" s="481" t="s">
        <v>127</v>
      </c>
      <c r="J163" s="68">
        <v>3</v>
      </c>
      <c r="K163" s="76">
        <v>3</v>
      </c>
      <c r="L163" s="133">
        <v>0.3</v>
      </c>
      <c r="M163" s="1067"/>
      <c r="N163" s="153"/>
      <c r="O163" s="180"/>
      <c r="P163" s="1137"/>
      <c r="Q163" s="1166"/>
      <c r="R163" s="605"/>
    </row>
    <row r="164" spans="1:20" ht="25.5" x14ac:dyDescent="0.2">
      <c r="A164" s="1179"/>
      <c r="B164" s="431"/>
      <c r="C164" s="432"/>
      <c r="D164" s="741" t="s">
        <v>19</v>
      </c>
      <c r="E164" s="435"/>
      <c r="F164" s="1154" t="s">
        <v>39</v>
      </c>
      <c r="G164" s="1062"/>
      <c r="H164" s="403"/>
      <c r="I164" s="481" t="s">
        <v>15</v>
      </c>
      <c r="J164" s="68">
        <v>90.2</v>
      </c>
      <c r="K164" s="76">
        <v>100.2</v>
      </c>
      <c r="L164" s="133">
        <v>100.2</v>
      </c>
      <c r="M164" s="1067" t="s">
        <v>200</v>
      </c>
      <c r="N164" s="153">
        <v>30</v>
      </c>
      <c r="O164" s="180">
        <v>41</v>
      </c>
      <c r="P164" s="1137"/>
      <c r="Q164" s="1166"/>
      <c r="R164" s="605"/>
    </row>
    <row r="165" spans="1:20" ht="25.5" x14ac:dyDescent="0.2">
      <c r="A165" s="1179"/>
      <c r="B165" s="431"/>
      <c r="C165" s="740"/>
      <c r="D165" s="370" t="s">
        <v>21</v>
      </c>
      <c r="E165" s="370"/>
      <c r="F165" s="1154" t="s">
        <v>42</v>
      </c>
      <c r="G165" s="1062"/>
      <c r="H165" s="403"/>
      <c r="I165" s="478" t="s">
        <v>15</v>
      </c>
      <c r="J165" s="68">
        <v>42</v>
      </c>
      <c r="K165" s="76">
        <f>42-15.9</f>
        <v>26.1</v>
      </c>
      <c r="L165" s="133">
        <v>26.1</v>
      </c>
      <c r="M165" s="249" t="s">
        <v>201</v>
      </c>
      <c r="N165" s="100">
        <v>3</v>
      </c>
      <c r="O165" s="14">
        <v>3</v>
      </c>
      <c r="P165" s="57"/>
      <c r="Q165" s="1386"/>
      <c r="R165" s="605"/>
    </row>
    <row r="166" spans="1:20" ht="15.6" customHeight="1" x14ac:dyDescent="0.2">
      <c r="A166" s="1179"/>
      <c r="B166" s="431"/>
      <c r="C166" s="740"/>
      <c r="D166" s="435" t="s">
        <v>22</v>
      </c>
      <c r="E166" s="435"/>
      <c r="F166" s="1154" t="s">
        <v>38</v>
      </c>
      <c r="G166" s="1062"/>
      <c r="H166" s="403"/>
      <c r="I166" s="478" t="s">
        <v>15</v>
      </c>
      <c r="J166" s="68">
        <v>17.2</v>
      </c>
      <c r="K166" s="76">
        <v>17.2</v>
      </c>
      <c r="L166" s="133">
        <v>15.8</v>
      </c>
      <c r="M166" s="249" t="s">
        <v>43</v>
      </c>
      <c r="N166" s="100">
        <v>35</v>
      </c>
      <c r="O166" s="14">
        <v>35</v>
      </c>
      <c r="P166" s="57"/>
      <c r="Q166" s="1386"/>
      <c r="R166" s="605"/>
      <c r="T166" s="1065"/>
    </row>
    <row r="167" spans="1:20" ht="25.5" x14ac:dyDescent="0.2">
      <c r="A167" s="1179"/>
      <c r="B167" s="431"/>
      <c r="C167" s="432"/>
      <c r="D167" s="476" t="s">
        <v>175</v>
      </c>
      <c r="E167" s="476"/>
      <c r="F167" s="1171" t="s">
        <v>202</v>
      </c>
      <c r="G167" s="1062"/>
      <c r="H167" s="403"/>
      <c r="I167" s="478" t="s">
        <v>15</v>
      </c>
      <c r="J167" s="68">
        <v>25</v>
      </c>
      <c r="K167" s="76">
        <v>25</v>
      </c>
      <c r="L167" s="1558">
        <v>22.6</v>
      </c>
      <c r="M167" s="1066" t="s">
        <v>203</v>
      </c>
      <c r="N167" s="100">
        <v>7</v>
      </c>
      <c r="O167" s="14">
        <v>7</v>
      </c>
      <c r="P167" s="57"/>
      <c r="Q167" s="1386"/>
      <c r="R167" s="605"/>
      <c r="T167" s="1065"/>
    </row>
    <row r="168" spans="1:20" ht="16.149999999999999" customHeight="1" x14ac:dyDescent="0.2">
      <c r="A168" s="1179"/>
      <c r="B168" s="431"/>
      <c r="C168" s="432"/>
      <c r="D168" s="602" t="s">
        <v>178</v>
      </c>
      <c r="E168" s="602"/>
      <c r="F168" s="1171" t="s">
        <v>40</v>
      </c>
      <c r="G168" s="1062"/>
      <c r="H168" s="403"/>
      <c r="I168" s="478" t="s">
        <v>15</v>
      </c>
      <c r="J168" s="68">
        <v>393.6</v>
      </c>
      <c r="K168" s="76">
        <v>363.6</v>
      </c>
      <c r="L168" s="1559">
        <v>357.3</v>
      </c>
      <c r="M168" s="1828" t="s">
        <v>204</v>
      </c>
      <c r="N168" s="171">
        <v>101</v>
      </c>
      <c r="O168" s="146">
        <v>101</v>
      </c>
      <c r="P168" s="1138"/>
      <c r="Q168" s="1163"/>
      <c r="R168" s="605"/>
      <c r="T168" s="1065"/>
    </row>
    <row r="169" spans="1:20" x14ac:dyDescent="0.2">
      <c r="A169" s="1179"/>
      <c r="B169" s="431"/>
      <c r="C169" s="432"/>
      <c r="D169" s="476"/>
      <c r="E169" s="476"/>
      <c r="F169" s="1158"/>
      <c r="G169" s="1062"/>
      <c r="H169" s="403"/>
      <c r="I169" s="478" t="s">
        <v>127</v>
      </c>
      <c r="J169" s="68">
        <v>35.700000000000003</v>
      </c>
      <c r="K169" s="76">
        <v>35.700000000000003</v>
      </c>
      <c r="L169" s="1559">
        <v>35.700000000000003</v>
      </c>
      <c r="M169" s="1829"/>
      <c r="N169" s="171"/>
      <c r="O169" s="146"/>
      <c r="P169" s="1138"/>
      <c r="Q169" s="1163"/>
      <c r="R169" s="605"/>
      <c r="T169" s="1065"/>
    </row>
    <row r="170" spans="1:20" x14ac:dyDescent="0.2">
      <c r="A170" s="1179"/>
      <c r="B170" s="431"/>
      <c r="C170" s="432"/>
      <c r="D170" s="606"/>
      <c r="E170" s="606"/>
      <c r="F170" s="1153"/>
      <c r="G170" s="1062"/>
      <c r="H170" s="403"/>
      <c r="I170" s="693" t="s">
        <v>18</v>
      </c>
      <c r="J170" s="68">
        <v>7.4</v>
      </c>
      <c r="K170" s="76">
        <v>7.4</v>
      </c>
      <c r="L170" s="1551">
        <v>5.7</v>
      </c>
      <c r="M170" s="1830"/>
      <c r="N170" s="171"/>
      <c r="O170" s="146"/>
      <c r="P170" s="1138"/>
      <c r="Q170" s="1163"/>
      <c r="R170" s="127"/>
      <c r="T170" s="1065"/>
    </row>
    <row r="171" spans="1:20" ht="25.5" x14ac:dyDescent="0.2">
      <c r="A171" s="1179"/>
      <c r="B171" s="431"/>
      <c r="C171" s="740"/>
      <c r="D171" s="370" t="s">
        <v>235</v>
      </c>
      <c r="E171" s="370"/>
      <c r="F171" s="1146" t="s">
        <v>61</v>
      </c>
      <c r="G171" s="16"/>
      <c r="H171" s="51"/>
      <c r="I171" s="237" t="s">
        <v>15</v>
      </c>
      <c r="J171" s="68">
        <v>400</v>
      </c>
      <c r="K171" s="76">
        <v>390</v>
      </c>
      <c r="L171" s="1548">
        <v>375.6</v>
      </c>
      <c r="M171" s="234" t="s">
        <v>148</v>
      </c>
      <c r="N171" s="100">
        <v>16</v>
      </c>
      <c r="O171" s="14">
        <v>16</v>
      </c>
      <c r="P171" s="57"/>
      <c r="Q171" s="1386"/>
      <c r="R171" s="1046"/>
      <c r="T171" s="1065"/>
    </row>
    <row r="172" spans="1:20" ht="25.5" x14ac:dyDescent="0.2">
      <c r="A172" s="1179"/>
      <c r="B172" s="431"/>
      <c r="C172" s="740"/>
      <c r="D172" s="435" t="s">
        <v>5</v>
      </c>
      <c r="E172" s="435"/>
      <c r="F172" s="174" t="s">
        <v>73</v>
      </c>
      <c r="G172" s="16"/>
      <c r="H172" s="51"/>
      <c r="I172" s="188" t="s">
        <v>15</v>
      </c>
      <c r="J172" s="68">
        <v>170</v>
      </c>
      <c r="K172" s="76">
        <v>170</v>
      </c>
      <c r="L172" s="1560">
        <v>168.8</v>
      </c>
      <c r="M172" s="234" t="s">
        <v>148</v>
      </c>
      <c r="N172" s="153">
        <v>10</v>
      </c>
      <c r="O172" s="180">
        <v>10</v>
      </c>
      <c r="P172" s="1137"/>
      <c r="Q172" s="1166"/>
    </row>
    <row r="173" spans="1:20" ht="33" customHeight="1" x14ac:dyDescent="0.2">
      <c r="A173" s="1179"/>
      <c r="B173" s="431"/>
      <c r="C173" s="740"/>
      <c r="D173" s="435" t="s">
        <v>237</v>
      </c>
      <c r="E173" s="435"/>
      <c r="F173" s="1145" t="s">
        <v>133</v>
      </c>
      <c r="G173" s="89"/>
      <c r="H173" s="51"/>
      <c r="I173" s="237" t="s">
        <v>15</v>
      </c>
      <c r="J173" s="68">
        <v>310</v>
      </c>
      <c r="K173" s="76">
        <f>310-6.4</f>
        <v>303.60000000000002</v>
      </c>
      <c r="L173" s="1548">
        <v>303.5</v>
      </c>
      <c r="M173" s="234" t="s">
        <v>148</v>
      </c>
      <c r="N173" s="153">
        <v>12</v>
      </c>
      <c r="O173" s="180">
        <v>16</v>
      </c>
      <c r="P173" s="1858" t="s">
        <v>738</v>
      </c>
      <c r="Q173" s="1859"/>
    </row>
    <row r="174" spans="1:20" ht="28.5" customHeight="1" x14ac:dyDescent="0.2">
      <c r="A174" s="1179"/>
      <c r="B174" s="431"/>
      <c r="C174" s="432"/>
      <c r="D174" s="476" t="s">
        <v>246</v>
      </c>
      <c r="E174" s="476"/>
      <c r="F174" s="1874" t="s">
        <v>702</v>
      </c>
      <c r="G174" s="1876" t="s">
        <v>60</v>
      </c>
      <c r="H174" s="403"/>
      <c r="I174" s="734" t="s">
        <v>15</v>
      </c>
      <c r="J174" s="239">
        <v>75</v>
      </c>
      <c r="K174" s="1150">
        <v>64.900000000000006</v>
      </c>
      <c r="L174" s="1561">
        <v>45</v>
      </c>
      <c r="M174" s="1061" t="s">
        <v>205</v>
      </c>
      <c r="N174" s="153">
        <v>2</v>
      </c>
      <c r="O174" s="180">
        <v>1</v>
      </c>
      <c r="P174" s="1854" t="s">
        <v>739</v>
      </c>
      <c r="Q174" s="1855"/>
    </row>
    <row r="175" spans="1:20" ht="36" customHeight="1" x14ac:dyDescent="0.2">
      <c r="A175" s="1179"/>
      <c r="B175" s="431"/>
      <c r="C175" s="432"/>
      <c r="D175" s="476"/>
      <c r="E175" s="476"/>
      <c r="F175" s="1875"/>
      <c r="G175" s="1877"/>
      <c r="H175" s="403"/>
      <c r="I175" s="734" t="s">
        <v>127</v>
      </c>
      <c r="J175" s="68">
        <f>56.4+7.4</f>
        <v>63.8</v>
      </c>
      <c r="K175" s="76">
        <f>56.4+7.4</f>
        <v>63.8</v>
      </c>
      <c r="L175" s="1552">
        <v>37.1</v>
      </c>
      <c r="M175" s="249" t="s">
        <v>206</v>
      </c>
      <c r="N175" s="93">
        <v>5</v>
      </c>
      <c r="O175" s="6">
        <v>5</v>
      </c>
      <c r="P175" s="1856"/>
      <c r="Q175" s="1857"/>
    </row>
    <row r="176" spans="1:20" ht="30" customHeight="1" x14ac:dyDescent="0.2">
      <c r="A176" s="1179"/>
      <c r="B176" s="431"/>
      <c r="C176" s="740"/>
      <c r="D176" s="741" t="s">
        <v>258</v>
      </c>
      <c r="E176" s="741"/>
      <c r="F176" s="57" t="s">
        <v>207</v>
      </c>
      <c r="G176" s="1196"/>
      <c r="H176" s="1195"/>
      <c r="I176" s="236" t="s">
        <v>15</v>
      </c>
      <c r="J176" s="68">
        <v>100</v>
      </c>
      <c r="K176" s="76">
        <f>81-6.5</f>
        <v>74.5</v>
      </c>
      <c r="L176" s="77">
        <v>74.5</v>
      </c>
      <c r="M176" s="249" t="s">
        <v>148</v>
      </c>
      <c r="N176" s="100">
        <v>33</v>
      </c>
      <c r="O176" s="14">
        <v>33</v>
      </c>
      <c r="P176" s="57" t="s">
        <v>727</v>
      </c>
      <c r="Q176" s="1386"/>
    </row>
    <row r="177" spans="1:47" ht="12.75" customHeight="1" x14ac:dyDescent="0.2">
      <c r="A177" s="1179"/>
      <c r="B177" s="431"/>
      <c r="C177" s="432"/>
      <c r="D177" s="476" t="s">
        <v>701</v>
      </c>
      <c r="E177" s="476"/>
      <c r="F177" s="1878" t="s">
        <v>296</v>
      </c>
      <c r="G177" s="269"/>
      <c r="H177" s="600"/>
      <c r="I177" s="1045" t="s">
        <v>18</v>
      </c>
      <c r="J177" s="239"/>
      <c r="K177" s="1150">
        <v>32.799999999999997</v>
      </c>
      <c r="L177" s="43">
        <v>23.2</v>
      </c>
      <c r="M177" s="1880" t="s">
        <v>199</v>
      </c>
      <c r="N177" s="171">
        <v>2</v>
      </c>
      <c r="O177" s="146">
        <v>2</v>
      </c>
      <c r="P177" s="1794" t="s">
        <v>726</v>
      </c>
      <c r="Q177" s="1163"/>
    </row>
    <row r="178" spans="1:47" ht="12.75" customHeight="1" x14ac:dyDescent="0.2">
      <c r="A178" s="1179"/>
      <c r="B178" s="431"/>
      <c r="C178" s="432"/>
      <c r="D178" s="476"/>
      <c r="E178" s="476"/>
      <c r="F178" s="1878"/>
      <c r="G178" s="269"/>
      <c r="H178" s="600"/>
      <c r="I178" s="187" t="s">
        <v>15</v>
      </c>
      <c r="J178" s="1291"/>
      <c r="K178" s="1309">
        <v>16.399999999999999</v>
      </c>
      <c r="L178" s="52">
        <v>16.399999999999999</v>
      </c>
      <c r="M178" s="1880"/>
      <c r="N178" s="171"/>
      <c r="O178" s="146"/>
      <c r="P178" s="1795"/>
      <c r="Q178" s="1163"/>
    </row>
    <row r="179" spans="1:47" ht="12.75" customHeight="1" thickBot="1" x14ac:dyDescent="0.25">
      <c r="A179" s="1190"/>
      <c r="B179" s="484"/>
      <c r="C179" s="485"/>
      <c r="D179" s="486"/>
      <c r="E179" s="486"/>
      <c r="F179" s="1879"/>
      <c r="G179" s="1052"/>
      <c r="H179" s="743"/>
      <c r="I179" s="190" t="s">
        <v>16</v>
      </c>
      <c r="J179" s="184">
        <f>SUM(J161:J178)</f>
        <v>2253.6000000000004</v>
      </c>
      <c r="K179" s="459">
        <f>SUM(K161:K178)</f>
        <v>2276.3000000000011</v>
      </c>
      <c r="L179" s="459">
        <f>SUM(L161:L178)</f>
        <v>2181.1</v>
      </c>
      <c r="M179" s="1059"/>
      <c r="N179" s="555"/>
      <c r="O179" s="497"/>
      <c r="P179" s="1489"/>
      <c r="Q179" s="1389"/>
    </row>
    <row r="180" spans="1:47" s="13" customFormat="1" ht="12.75" customHeight="1" x14ac:dyDescent="0.2">
      <c r="A180" s="1881" t="s">
        <v>17</v>
      </c>
      <c r="B180" s="1883" t="s">
        <v>19</v>
      </c>
      <c r="C180" s="1" t="s">
        <v>17</v>
      </c>
      <c r="D180" s="717"/>
      <c r="E180" s="717"/>
      <c r="F180" s="1860" t="s">
        <v>770</v>
      </c>
      <c r="G180" s="1887"/>
      <c r="H180" s="1889">
        <v>2</v>
      </c>
      <c r="I180" s="185" t="s">
        <v>15</v>
      </c>
      <c r="J180" s="40">
        <v>31.3</v>
      </c>
      <c r="K180" s="63">
        <v>31.3</v>
      </c>
      <c r="L180" s="44">
        <v>28.1</v>
      </c>
      <c r="M180" s="1892" t="s">
        <v>298</v>
      </c>
      <c r="N180" s="151">
        <v>300</v>
      </c>
      <c r="O180" s="20">
        <v>324</v>
      </c>
      <c r="P180" s="1486"/>
      <c r="Q180" s="1382"/>
    </row>
    <row r="181" spans="1:47" s="13" customFormat="1" x14ac:dyDescent="0.2">
      <c r="A181" s="1881"/>
      <c r="B181" s="1884"/>
      <c r="C181" s="1"/>
      <c r="D181" s="1193"/>
      <c r="F181" s="1886"/>
      <c r="G181" s="1887"/>
      <c r="H181" s="1890"/>
      <c r="I181" s="1192"/>
      <c r="J181" s="1292"/>
      <c r="K181" s="1310"/>
      <c r="L181" s="1305"/>
      <c r="M181" s="1829"/>
      <c r="N181" s="59"/>
      <c r="O181" s="32"/>
      <c r="P181" s="1487"/>
      <c r="Q181" s="1383"/>
    </row>
    <row r="182" spans="1:47" s="13" customFormat="1" ht="13.5" thickBot="1" x14ac:dyDescent="0.25">
      <c r="A182" s="1882"/>
      <c r="B182" s="1885"/>
      <c r="C182" s="204"/>
      <c r="D182" s="747"/>
      <c r="E182" s="748"/>
      <c r="F182" s="1861"/>
      <c r="G182" s="1888"/>
      <c r="H182" s="1891"/>
      <c r="I182" s="190" t="s">
        <v>16</v>
      </c>
      <c r="J182" s="45">
        <f>SUM(J180:J181)</f>
        <v>31.3</v>
      </c>
      <c r="K182" s="60">
        <f>SUM(K180:K181)</f>
        <v>31.3</v>
      </c>
      <c r="L182" s="60">
        <f>SUM(L180:L181)</f>
        <v>28.1</v>
      </c>
      <c r="M182" s="1893"/>
      <c r="N182" s="191"/>
      <c r="O182" s="1191"/>
      <c r="P182" s="1489"/>
      <c r="Q182" s="1389"/>
    </row>
    <row r="183" spans="1:47" ht="36.6" customHeight="1" x14ac:dyDescent="0.2">
      <c r="A183" s="1189" t="s">
        <v>17</v>
      </c>
      <c r="B183" s="464" t="s">
        <v>19</v>
      </c>
      <c r="C183" s="750" t="s">
        <v>19</v>
      </c>
      <c r="D183" s="714"/>
      <c r="E183" s="360"/>
      <c r="F183" s="1860" t="s">
        <v>208</v>
      </c>
      <c r="G183" s="1051" t="s">
        <v>58</v>
      </c>
      <c r="H183" s="199">
        <v>2</v>
      </c>
      <c r="I183" s="192" t="s">
        <v>15</v>
      </c>
      <c r="J183" s="130">
        <v>35</v>
      </c>
      <c r="K183" s="131">
        <v>1.5</v>
      </c>
      <c r="L183" s="1303">
        <v>1.5</v>
      </c>
      <c r="M183" s="142" t="s">
        <v>209</v>
      </c>
      <c r="N183" s="96">
        <v>1</v>
      </c>
      <c r="O183" s="366">
        <v>1</v>
      </c>
      <c r="P183" s="1777" t="s">
        <v>774</v>
      </c>
      <c r="Q183" s="1778"/>
    </row>
    <row r="184" spans="1:47" ht="15.75" customHeight="1" thickBot="1" x14ac:dyDescent="0.25">
      <c r="A184" s="1190"/>
      <c r="B184" s="484"/>
      <c r="C184" s="753"/>
      <c r="D184" s="458"/>
      <c r="E184" s="388"/>
      <c r="F184" s="1861"/>
      <c r="G184" s="271" t="s">
        <v>194</v>
      </c>
      <c r="H184" s="754"/>
      <c r="I184" s="272" t="s">
        <v>16</v>
      </c>
      <c r="J184" s="150">
        <f>+J183</f>
        <v>35</v>
      </c>
      <c r="K184" s="535">
        <f>+K183</f>
        <v>1.5</v>
      </c>
      <c r="L184" s="535">
        <f>+L183</f>
        <v>1.5</v>
      </c>
      <c r="M184" s="246"/>
      <c r="N184" s="544"/>
      <c r="O184" s="1188"/>
      <c r="P184" s="1779"/>
      <c r="Q184" s="1780"/>
    </row>
    <row r="185" spans="1:47" ht="25.5" customHeight="1" x14ac:dyDescent="0.2">
      <c r="A185" s="1189" t="s">
        <v>17</v>
      </c>
      <c r="B185" s="464" t="s">
        <v>19</v>
      </c>
      <c r="C185" s="707" t="s">
        <v>21</v>
      </c>
      <c r="D185" s="360"/>
      <c r="E185" s="360"/>
      <c r="F185" s="1568" t="s">
        <v>135</v>
      </c>
      <c r="G185" s="205"/>
      <c r="H185" s="199">
        <v>6</v>
      </c>
      <c r="I185" s="206"/>
      <c r="J185" s="362"/>
      <c r="K185" s="363"/>
      <c r="L185" s="1276"/>
      <c r="M185" s="1060"/>
      <c r="N185" s="107"/>
      <c r="O185" s="445"/>
      <c r="P185" s="1486"/>
      <c r="Q185" s="1382"/>
      <c r="R185" s="1044"/>
    </row>
    <row r="186" spans="1:47" s="763" customFormat="1" ht="15.75" customHeight="1" x14ac:dyDescent="0.2">
      <c r="A186" s="1179"/>
      <c r="B186" s="431"/>
      <c r="C186" s="751"/>
      <c r="D186" s="376" t="s">
        <v>14</v>
      </c>
      <c r="E186" s="377"/>
      <c r="F186" s="1136" t="s">
        <v>136</v>
      </c>
      <c r="G186" s="247"/>
      <c r="H186" s="264"/>
      <c r="I186" s="734" t="s">
        <v>15</v>
      </c>
      <c r="J186" s="46">
        <v>1722.1</v>
      </c>
      <c r="K186" s="64">
        <v>1653.3</v>
      </c>
      <c r="L186" s="86">
        <v>1535</v>
      </c>
      <c r="M186" s="1066" t="s">
        <v>210</v>
      </c>
      <c r="N186" s="101">
        <v>92</v>
      </c>
      <c r="O186" s="21">
        <v>92</v>
      </c>
      <c r="P186" s="215"/>
      <c r="Q186" s="1415"/>
      <c r="R186" s="605"/>
      <c r="S186" s="762"/>
      <c r="T186" s="762"/>
      <c r="U186" s="762"/>
      <c r="V186" s="762"/>
      <c r="W186" s="762"/>
      <c r="X186" s="762"/>
      <c r="Y186" s="762"/>
      <c r="Z186" s="762"/>
      <c r="AA186" s="762"/>
      <c r="AB186" s="762"/>
      <c r="AC186" s="762"/>
      <c r="AD186" s="762"/>
    </row>
    <row r="187" spans="1:47" s="763" customFormat="1" x14ac:dyDescent="0.2">
      <c r="A187" s="1179"/>
      <c r="B187" s="431"/>
      <c r="C187" s="751"/>
      <c r="D187" s="414"/>
      <c r="E187" s="406"/>
      <c r="F187" s="1137"/>
      <c r="G187" s="274"/>
      <c r="H187" s="1187"/>
      <c r="I187" s="481" t="s">
        <v>127</v>
      </c>
      <c r="J187" s="53">
        <v>382.8</v>
      </c>
      <c r="K187" s="75">
        <v>382.8</v>
      </c>
      <c r="L187" s="1277">
        <v>382.8</v>
      </c>
      <c r="M187" s="1067"/>
      <c r="N187" s="109"/>
      <c r="O187" s="394"/>
      <c r="P187" s="58"/>
      <c r="Q187" s="1376"/>
      <c r="R187" s="605"/>
      <c r="S187" s="762"/>
      <c r="T187" s="762"/>
      <c r="U187" s="762"/>
      <c r="V187" s="762"/>
      <c r="W187" s="762"/>
      <c r="X187" s="762"/>
      <c r="Y187" s="762"/>
      <c r="Z187" s="762"/>
      <c r="AA187" s="762"/>
      <c r="AB187" s="762"/>
      <c r="AC187" s="762"/>
      <c r="AD187" s="762"/>
    </row>
    <row r="188" spans="1:47" s="763" customFormat="1" ht="17.25" customHeight="1" x14ac:dyDescent="0.2">
      <c r="A188" s="1179"/>
      <c r="B188" s="431"/>
      <c r="C188" s="208"/>
      <c r="D188" s="764" t="s">
        <v>17</v>
      </c>
      <c r="E188" s="764"/>
      <c r="F188" s="1862" t="s">
        <v>137</v>
      </c>
      <c r="G188" s="274"/>
      <c r="H188" s="264"/>
      <c r="I188" s="765" t="s">
        <v>15</v>
      </c>
      <c r="J188" s="1320">
        <v>95.3</v>
      </c>
      <c r="K188" s="1326">
        <v>96.3</v>
      </c>
      <c r="L188" s="1324">
        <v>92</v>
      </c>
      <c r="M188" s="1186" t="s">
        <v>211</v>
      </c>
      <c r="N188" s="56">
        <v>59</v>
      </c>
      <c r="O188" s="1185">
        <v>79</v>
      </c>
      <c r="P188" s="1137"/>
      <c r="Q188" s="1166"/>
      <c r="R188" s="762"/>
      <c r="S188" s="762"/>
      <c r="T188" s="762"/>
      <c r="U188" s="762"/>
      <c r="V188" s="762"/>
      <c r="W188" s="762"/>
      <c r="X188" s="762"/>
      <c r="Y188" s="762"/>
      <c r="Z188" s="762"/>
      <c r="AA188" s="762"/>
      <c r="AB188" s="762"/>
      <c r="AC188" s="762"/>
      <c r="AD188" s="762"/>
    </row>
    <row r="189" spans="1:47" s="763" customFormat="1" ht="25.5" x14ac:dyDescent="0.2">
      <c r="A189" s="1179"/>
      <c r="B189" s="431"/>
      <c r="C189" s="208"/>
      <c r="D189" s="1184"/>
      <c r="E189" s="1184"/>
      <c r="F189" s="1863"/>
      <c r="G189" s="247"/>
      <c r="H189" s="264"/>
      <c r="I189" s="1183"/>
      <c r="J189" s="1321"/>
      <c r="K189" s="1327"/>
      <c r="L189" s="1325"/>
      <c r="M189" s="276" t="s">
        <v>212</v>
      </c>
      <c r="N189" s="35">
        <v>20</v>
      </c>
      <c r="O189" s="9">
        <v>20</v>
      </c>
      <c r="P189" s="57"/>
      <c r="Q189" s="1386"/>
      <c r="R189" s="762"/>
      <c r="S189" s="762"/>
      <c r="T189" s="762"/>
      <c r="U189" s="762"/>
      <c r="V189" s="762"/>
      <c r="W189" s="762"/>
      <c r="X189" s="762"/>
      <c r="Y189" s="762"/>
      <c r="Z189" s="762"/>
      <c r="AA189" s="762"/>
      <c r="AB189" s="762"/>
      <c r="AC189" s="762"/>
      <c r="AD189" s="762"/>
    </row>
    <row r="190" spans="1:47" s="176" customFormat="1" ht="42.75" customHeight="1" x14ac:dyDescent="0.2">
      <c r="A190" s="1182"/>
      <c r="B190" s="1579"/>
      <c r="C190" s="208"/>
      <c r="D190" s="1545" t="s">
        <v>19</v>
      </c>
      <c r="E190" s="1545"/>
      <c r="F190" s="1546" t="s">
        <v>299</v>
      </c>
      <c r="G190" s="274"/>
      <c r="H190" s="39"/>
      <c r="I190" s="765" t="s">
        <v>15</v>
      </c>
      <c r="J190" s="50">
        <v>3.6</v>
      </c>
      <c r="K190" s="66">
        <v>2.6</v>
      </c>
      <c r="L190" s="41">
        <v>0</v>
      </c>
      <c r="M190" s="1575" t="s">
        <v>210</v>
      </c>
      <c r="N190" s="1573">
        <v>1</v>
      </c>
      <c r="O190" s="1574">
        <v>0</v>
      </c>
      <c r="P190" s="1848" t="s">
        <v>772</v>
      </c>
      <c r="Q190" s="1849"/>
      <c r="R190" s="207"/>
      <c r="S190" s="207"/>
      <c r="T190" s="207"/>
      <c r="U190" s="207"/>
      <c r="V190" s="207"/>
      <c r="W190" s="207"/>
      <c r="X190" s="207"/>
      <c r="Y190" s="207"/>
      <c r="Z190" s="207"/>
      <c r="AA190" s="207"/>
      <c r="AB190" s="207"/>
      <c r="AC190" s="207"/>
      <c r="AD190" s="207"/>
    </row>
    <row r="191" spans="1:47" s="763" customFormat="1" ht="15.75" customHeight="1" x14ac:dyDescent="0.2">
      <c r="A191" s="1179"/>
      <c r="B191" s="425"/>
      <c r="C191" s="208"/>
      <c r="D191" s="764" t="s">
        <v>21</v>
      </c>
      <c r="E191" s="764"/>
      <c r="F191" s="1864" t="s">
        <v>771</v>
      </c>
      <c r="G191" s="274"/>
      <c r="H191" s="264"/>
      <c r="I191" s="760" t="s">
        <v>15</v>
      </c>
      <c r="J191" s="53">
        <v>35.200000000000003</v>
      </c>
      <c r="K191" s="75">
        <f>35.2-14</f>
        <v>21.200000000000003</v>
      </c>
      <c r="L191" s="1277">
        <v>7.9</v>
      </c>
      <c r="M191" s="1865" t="s">
        <v>213</v>
      </c>
      <c r="N191" s="93">
        <v>4</v>
      </c>
      <c r="O191" s="6">
        <v>2</v>
      </c>
      <c r="P191" s="2045" t="s">
        <v>773</v>
      </c>
      <c r="Q191" s="2046"/>
      <c r="R191" s="605"/>
      <c r="S191" s="762"/>
      <c r="T191" s="762"/>
      <c r="U191" s="762"/>
      <c r="V191" s="762"/>
      <c r="W191" s="762"/>
      <c r="X191" s="762"/>
      <c r="Y191" s="762"/>
      <c r="Z191" s="762"/>
      <c r="AA191" s="762"/>
      <c r="AB191" s="762"/>
      <c r="AC191" s="762"/>
      <c r="AD191" s="762"/>
    </row>
    <row r="192" spans="1:47" s="763" customFormat="1" ht="24" customHeight="1" x14ac:dyDescent="0.2">
      <c r="A192" s="1179"/>
      <c r="B192" s="425"/>
      <c r="C192" s="208"/>
      <c r="D192" s="764"/>
      <c r="E192" s="764"/>
      <c r="F192" s="1862"/>
      <c r="G192" s="274"/>
      <c r="H192" s="264"/>
      <c r="I192" s="756" t="s">
        <v>127</v>
      </c>
      <c r="J192" s="46">
        <v>6</v>
      </c>
      <c r="K192" s="64">
        <v>6</v>
      </c>
      <c r="L192" s="86">
        <v>6</v>
      </c>
      <c r="M192" s="1866"/>
      <c r="N192" s="171"/>
      <c r="O192" s="146"/>
      <c r="P192" s="2047"/>
      <c r="Q192" s="2048"/>
      <c r="R192" s="762"/>
      <c r="S192" s="762"/>
      <c r="T192" s="762"/>
      <c r="U192" s="762"/>
      <c r="V192" s="762"/>
      <c r="W192" s="762"/>
      <c r="X192" s="762"/>
      <c r="Y192" s="762"/>
      <c r="Z192" s="762"/>
      <c r="AA192" s="762"/>
      <c r="AB192" s="762"/>
      <c r="AC192" s="762"/>
      <c r="AD192" s="762"/>
      <c r="AU192" s="1457" t="s">
        <v>652</v>
      </c>
    </row>
    <row r="193" spans="1:30" s="763" customFormat="1" ht="30.75" customHeight="1" x14ac:dyDescent="0.2">
      <c r="A193" s="1179"/>
      <c r="B193" s="425"/>
      <c r="C193" s="208"/>
      <c r="D193" s="764"/>
      <c r="E193" s="764"/>
      <c r="F193" s="1862"/>
      <c r="G193" s="274"/>
      <c r="H193" s="264"/>
      <c r="I193" s="760" t="s">
        <v>3</v>
      </c>
      <c r="J193" s="53"/>
      <c r="K193" s="75">
        <v>73</v>
      </c>
      <c r="L193" s="1277">
        <v>31.6</v>
      </c>
      <c r="M193" s="1572" t="s">
        <v>301</v>
      </c>
      <c r="N193" s="1573">
        <v>1</v>
      </c>
      <c r="O193" s="1574">
        <v>0</v>
      </c>
      <c r="P193" s="1848" t="s">
        <v>776</v>
      </c>
      <c r="Q193" s="1849"/>
      <c r="R193" s="762"/>
      <c r="S193" s="762"/>
      <c r="T193" s="762"/>
      <c r="U193" s="762"/>
      <c r="V193" s="762"/>
      <c r="W193" s="762"/>
      <c r="X193" s="762"/>
      <c r="Y193" s="762"/>
      <c r="Z193" s="762"/>
      <c r="AA193" s="762"/>
      <c r="AB193" s="762"/>
      <c r="AC193" s="762"/>
      <c r="AD193" s="762"/>
    </row>
    <row r="194" spans="1:30" s="763" customFormat="1" ht="30" customHeight="1" x14ac:dyDescent="0.2">
      <c r="A194" s="1179"/>
      <c r="B194" s="425"/>
      <c r="C194" s="208"/>
      <c r="D194" s="764"/>
      <c r="E194" s="764"/>
      <c r="F194" s="1862"/>
      <c r="G194" s="274"/>
      <c r="H194" s="1181"/>
      <c r="I194" s="780" t="s">
        <v>18</v>
      </c>
      <c r="J194" s="1264">
        <v>143</v>
      </c>
      <c r="K194" s="1286">
        <v>0</v>
      </c>
      <c r="L194" s="1282">
        <v>0</v>
      </c>
      <c r="M194" s="276" t="s">
        <v>302</v>
      </c>
      <c r="N194" s="100">
        <v>1</v>
      </c>
      <c r="O194" s="14">
        <v>1</v>
      </c>
      <c r="P194" s="57" t="s">
        <v>775</v>
      </c>
      <c r="Q194" s="1577"/>
      <c r="R194" s="762"/>
      <c r="S194" s="762"/>
      <c r="T194" s="762"/>
      <c r="U194" s="762"/>
      <c r="V194" s="762"/>
      <c r="W194" s="762"/>
      <c r="X194" s="762"/>
      <c r="Y194" s="762"/>
      <c r="Z194" s="762"/>
      <c r="AA194" s="762"/>
      <c r="AB194" s="762"/>
      <c r="AC194" s="762"/>
      <c r="AD194" s="762"/>
    </row>
    <row r="195" spans="1:30" s="763" customFormat="1" ht="30.75" customHeight="1" x14ac:dyDescent="0.2">
      <c r="A195" s="1179"/>
      <c r="B195" s="425"/>
      <c r="C195" s="208"/>
      <c r="D195" s="764"/>
      <c r="E195" s="764"/>
      <c r="F195" s="1142"/>
      <c r="G195" s="274"/>
      <c r="H195" s="264">
        <v>2</v>
      </c>
      <c r="I195" s="756" t="s">
        <v>15</v>
      </c>
      <c r="J195" s="1291"/>
      <c r="K195" s="1309">
        <v>14</v>
      </c>
      <c r="L195" s="52">
        <v>7.9</v>
      </c>
      <c r="M195" s="1572" t="s">
        <v>301</v>
      </c>
      <c r="N195" s="1573">
        <v>1</v>
      </c>
      <c r="O195" s="1574">
        <v>0</v>
      </c>
      <c r="P195" s="1848" t="s">
        <v>776</v>
      </c>
      <c r="Q195" s="1849"/>
      <c r="R195" s="762"/>
      <c r="S195" s="762"/>
      <c r="T195" s="762"/>
      <c r="U195" s="762"/>
      <c r="V195" s="762"/>
      <c r="W195" s="762"/>
      <c r="X195" s="762"/>
      <c r="Y195" s="762"/>
      <c r="Z195" s="762"/>
      <c r="AA195" s="762"/>
      <c r="AB195" s="762"/>
      <c r="AC195" s="762"/>
      <c r="AD195" s="762"/>
    </row>
    <row r="196" spans="1:30" ht="30" customHeight="1" x14ac:dyDescent="0.2">
      <c r="A196" s="1179"/>
      <c r="B196" s="425"/>
      <c r="C196" s="208"/>
      <c r="D196" s="764"/>
      <c r="E196" s="764"/>
      <c r="F196" s="1143"/>
      <c r="G196" s="247"/>
      <c r="H196" s="264"/>
      <c r="I196" s="756" t="s">
        <v>3</v>
      </c>
      <c r="J196" s="1291"/>
      <c r="K196" s="1309">
        <v>70</v>
      </c>
      <c r="L196" s="52">
        <v>31.6</v>
      </c>
      <c r="M196" s="277" t="s">
        <v>302</v>
      </c>
      <c r="N196" s="100">
        <v>1</v>
      </c>
      <c r="O196" s="14">
        <v>1</v>
      </c>
      <c r="P196" s="57" t="s">
        <v>777</v>
      </c>
      <c r="Q196" s="1577"/>
    </row>
    <row r="197" spans="1:30" ht="12.75" customHeight="1" x14ac:dyDescent="0.2">
      <c r="A197" s="1179"/>
      <c r="B197" s="431"/>
      <c r="C197" s="208"/>
      <c r="D197" s="1425" t="s">
        <v>22</v>
      </c>
      <c r="E197" s="1425"/>
      <c r="F197" s="1867" t="s">
        <v>303</v>
      </c>
      <c r="G197" s="274"/>
      <c r="H197" s="1870">
        <v>6</v>
      </c>
      <c r="I197" s="756" t="s">
        <v>127</v>
      </c>
      <c r="J197" s="46">
        <v>5</v>
      </c>
      <c r="K197" s="64">
        <v>5</v>
      </c>
      <c r="L197" s="86">
        <v>4.5999999999999996</v>
      </c>
      <c r="M197" s="1781" t="s">
        <v>282</v>
      </c>
      <c r="N197" s="1433">
        <v>100</v>
      </c>
      <c r="O197" s="1434">
        <v>100</v>
      </c>
      <c r="P197" s="1454"/>
      <c r="Q197" s="1435"/>
    </row>
    <row r="198" spans="1:30" x14ac:dyDescent="0.2">
      <c r="A198" s="1179"/>
      <c r="B198" s="783"/>
      <c r="C198" s="209"/>
      <c r="D198" s="1543"/>
      <c r="E198" s="1543"/>
      <c r="F198" s="1868"/>
      <c r="G198" s="274"/>
      <c r="H198" s="1871"/>
      <c r="I198" s="765"/>
      <c r="J198" s="239"/>
      <c r="K198" s="1150"/>
      <c r="L198" s="43"/>
      <c r="M198" s="1782"/>
      <c r="N198" s="1433"/>
      <c r="O198" s="1434"/>
      <c r="P198" s="1454"/>
      <c r="Q198" s="1435"/>
    </row>
    <row r="199" spans="1:30" ht="30.75" customHeight="1" x14ac:dyDescent="0.2">
      <c r="A199" s="1179"/>
      <c r="B199" s="783"/>
      <c r="C199" s="209"/>
      <c r="D199" s="1543"/>
      <c r="E199" s="1543"/>
      <c r="F199" s="1868"/>
      <c r="G199" s="274"/>
      <c r="H199" s="782">
        <v>5</v>
      </c>
      <c r="I199" s="760" t="s">
        <v>15</v>
      </c>
      <c r="J199" s="68">
        <v>237.1</v>
      </c>
      <c r="K199" s="76">
        <v>237.1</v>
      </c>
      <c r="L199" s="77">
        <v>7.1</v>
      </c>
      <c r="M199" s="1872" t="s">
        <v>304</v>
      </c>
      <c r="N199" s="1530">
        <v>30</v>
      </c>
      <c r="O199" s="1531">
        <v>1</v>
      </c>
      <c r="P199" s="1850" t="s">
        <v>740</v>
      </c>
      <c r="Q199" s="1851"/>
    </row>
    <row r="200" spans="1:30" ht="13.5" thickBot="1" x14ac:dyDescent="0.25">
      <c r="A200" s="1179"/>
      <c r="B200" s="783"/>
      <c r="C200" s="209"/>
      <c r="D200" s="1543"/>
      <c r="E200" s="1543"/>
      <c r="F200" s="1869"/>
      <c r="G200" s="278"/>
      <c r="H200" s="754"/>
      <c r="I200" s="210" t="s">
        <v>16</v>
      </c>
      <c r="J200" s="184">
        <f>SUM(J186:J199)</f>
        <v>2630.1</v>
      </c>
      <c r="K200" s="459">
        <f>SUM(K186:K199)</f>
        <v>2561.2999999999997</v>
      </c>
      <c r="L200" s="459">
        <f>SUM(L186:L199)</f>
        <v>2106.5</v>
      </c>
      <c r="M200" s="1873"/>
      <c r="N200" s="1424"/>
      <c r="O200" s="1476"/>
      <c r="P200" s="1852"/>
      <c r="Q200" s="1853"/>
    </row>
    <row r="201" spans="1:30" s="788" customFormat="1" ht="16.5" customHeight="1" thickBot="1" x14ac:dyDescent="0.25">
      <c r="A201" s="1178" t="s">
        <v>17</v>
      </c>
      <c r="B201" s="703" t="s">
        <v>21</v>
      </c>
      <c r="C201" s="1831" t="s">
        <v>20</v>
      </c>
      <c r="D201" s="1832"/>
      <c r="E201" s="1832"/>
      <c r="F201" s="1832"/>
      <c r="G201" s="1832"/>
      <c r="H201" s="1832"/>
      <c r="I201" s="1832"/>
      <c r="J201" s="505">
        <f>+J179+J184+J200+J182</f>
        <v>4950.0000000000009</v>
      </c>
      <c r="K201" s="704">
        <f>+K179+K184+K200+K182</f>
        <v>4870.4000000000005</v>
      </c>
      <c r="L201" s="704">
        <f>+L179+L184+L200+L182</f>
        <v>4317.2000000000007</v>
      </c>
      <c r="M201" s="506"/>
      <c r="N201" s="1569"/>
      <c r="O201" s="1578"/>
      <c r="P201" s="1580"/>
      <c r="Q201" s="1390"/>
    </row>
    <row r="202" spans="1:30" s="794" customFormat="1" ht="16.5" customHeight="1" thickBot="1" x14ac:dyDescent="0.25">
      <c r="A202" s="1178" t="s">
        <v>17</v>
      </c>
      <c r="B202" s="1833" t="s">
        <v>6</v>
      </c>
      <c r="C202" s="1834"/>
      <c r="D202" s="1834"/>
      <c r="E202" s="1834"/>
      <c r="F202" s="1834"/>
      <c r="G202" s="1834"/>
      <c r="H202" s="1834"/>
      <c r="I202" s="1834"/>
      <c r="J202" s="1322">
        <f>J201+J158+J147</f>
        <v>12079.500000000002</v>
      </c>
      <c r="K202" s="1328">
        <f>K201+K158+K147</f>
        <v>9126.1</v>
      </c>
      <c r="L202" s="1328">
        <f>L201+L158+L147</f>
        <v>6802.1</v>
      </c>
      <c r="M202" s="1177"/>
      <c r="N202" s="1262"/>
      <c r="O202" s="1262"/>
      <c r="P202" s="1485"/>
      <c r="Q202" s="1391"/>
      <c r="T202" s="338"/>
      <c r="V202" s="338"/>
    </row>
    <row r="203" spans="1:30" s="794" customFormat="1" ht="16.5" customHeight="1" thickBot="1" x14ac:dyDescent="0.25">
      <c r="A203" s="795" t="s">
        <v>5</v>
      </c>
      <c r="B203" s="1835" t="s">
        <v>7</v>
      </c>
      <c r="C203" s="1805"/>
      <c r="D203" s="1805"/>
      <c r="E203" s="1805"/>
      <c r="F203" s="1805"/>
      <c r="G203" s="1805"/>
      <c r="H203" s="1805"/>
      <c r="I203" s="1805"/>
      <c r="J203" s="1323">
        <f>J202+J93</f>
        <v>91172.2</v>
      </c>
      <c r="K203" s="1329">
        <f>K202+K93</f>
        <v>90481.900000000009</v>
      </c>
      <c r="L203" s="1329">
        <f>L202+L93</f>
        <v>84968.000000000015</v>
      </c>
      <c r="M203" s="1176"/>
      <c r="N203" s="1263"/>
      <c r="O203" s="1263"/>
      <c r="P203" s="1594"/>
      <c r="Q203" s="1392"/>
    </row>
    <row r="204" spans="1:30" s="31" customFormat="1" ht="15.75" customHeight="1" x14ac:dyDescent="0.2">
      <c r="A204" s="2053" t="s">
        <v>714</v>
      </c>
      <c r="B204" s="2054"/>
      <c r="C204" s="2054"/>
      <c r="D204" s="2054"/>
      <c r="E204" s="2054"/>
      <c r="F204" s="2054"/>
      <c r="G204" s="2054"/>
      <c r="H204" s="2054"/>
      <c r="I204" s="2054"/>
      <c r="J204" s="2054"/>
      <c r="K204" s="2054"/>
      <c r="L204" s="2054"/>
      <c r="M204" s="2054"/>
      <c r="N204" s="2054"/>
      <c r="O204" s="2054"/>
      <c r="P204" s="2054"/>
      <c r="Q204" s="2054"/>
      <c r="R204" s="18"/>
      <c r="S204" s="18"/>
      <c r="T204" s="18"/>
      <c r="U204" s="18"/>
      <c r="V204" s="18"/>
      <c r="W204" s="18"/>
    </row>
    <row r="205" spans="1:30" s="31" customFormat="1" ht="15.75" customHeight="1" x14ac:dyDescent="0.2">
      <c r="A205" s="1836" t="s">
        <v>724</v>
      </c>
      <c r="B205" s="1837"/>
      <c r="C205" s="1837"/>
      <c r="D205" s="1837"/>
      <c r="E205" s="1837"/>
      <c r="F205" s="1837"/>
      <c r="G205" s="1837"/>
      <c r="H205" s="1837"/>
      <c r="I205" s="1837"/>
      <c r="J205" s="1837"/>
      <c r="K205" s="1837"/>
      <c r="L205" s="1837"/>
      <c r="M205" s="1837"/>
      <c r="N205" s="1837"/>
      <c r="O205" s="1837"/>
      <c r="P205" s="1837"/>
      <c r="Q205" s="1837"/>
      <c r="R205" s="18"/>
      <c r="S205" s="18"/>
      <c r="T205" s="18"/>
      <c r="U205" s="18"/>
      <c r="V205" s="18"/>
      <c r="W205" s="18"/>
    </row>
    <row r="206" spans="1:30" s="794" customFormat="1" ht="15.75" customHeight="1" thickBot="1" x14ac:dyDescent="0.25">
      <c r="A206" s="1838" t="s">
        <v>0</v>
      </c>
      <c r="B206" s="1838"/>
      <c r="C206" s="1838"/>
      <c r="D206" s="1838"/>
      <c r="E206" s="1838"/>
      <c r="F206" s="1838"/>
      <c r="G206" s="1838"/>
      <c r="H206" s="1838"/>
      <c r="I206" s="1838"/>
      <c r="J206" s="1838"/>
      <c r="K206" s="1838"/>
      <c r="L206" s="1838"/>
      <c r="M206" s="802"/>
      <c r="N206" s="802"/>
      <c r="O206" s="1370"/>
      <c r="P206" s="1393"/>
      <c r="Q206" s="1393"/>
    </row>
    <row r="207" spans="1:30" s="794" customFormat="1" ht="85.5" customHeight="1" thickBot="1" x14ac:dyDescent="0.25">
      <c r="A207" s="1839" t="s">
        <v>1</v>
      </c>
      <c r="B207" s="1840"/>
      <c r="C207" s="1840"/>
      <c r="D207" s="1840"/>
      <c r="E207" s="1840"/>
      <c r="F207" s="1840"/>
      <c r="G207" s="1840"/>
      <c r="H207" s="1840"/>
      <c r="I207" s="1841"/>
      <c r="J207" s="803" t="s">
        <v>219</v>
      </c>
      <c r="K207" s="804" t="s">
        <v>220</v>
      </c>
      <c r="L207" s="1576" t="s">
        <v>221</v>
      </c>
      <c r="M207" s="173"/>
      <c r="N207" s="806"/>
      <c r="O207" s="806"/>
      <c r="P207" s="1394"/>
      <c r="Q207" s="1394"/>
      <c r="U207" s="338"/>
    </row>
    <row r="208" spans="1:30" s="794" customFormat="1" x14ac:dyDescent="0.2">
      <c r="A208" s="1842" t="s">
        <v>24</v>
      </c>
      <c r="B208" s="1843"/>
      <c r="C208" s="1843"/>
      <c r="D208" s="1843"/>
      <c r="E208" s="1843"/>
      <c r="F208" s="1843"/>
      <c r="G208" s="1843"/>
      <c r="H208" s="1843"/>
      <c r="I208" s="1844"/>
      <c r="J208" s="1494">
        <f>SUM(J210:J219)</f>
        <v>90658.999999999985</v>
      </c>
      <c r="K208" s="1498">
        <f>SUM(K210:K219)</f>
        <v>89825.7</v>
      </c>
      <c r="L208" s="1590">
        <f>SUM(L210:L219)</f>
        <v>84901.200000000026</v>
      </c>
      <c r="M208" s="173"/>
      <c r="N208" s="806"/>
      <c r="O208" s="806"/>
      <c r="P208" s="1394"/>
      <c r="Q208" s="1394"/>
    </row>
    <row r="209" spans="1:25" s="794" customFormat="1" x14ac:dyDescent="0.2">
      <c r="A209" s="1845" t="s">
        <v>307</v>
      </c>
      <c r="B209" s="1846"/>
      <c r="C209" s="1846"/>
      <c r="D209" s="1846"/>
      <c r="E209" s="1846"/>
      <c r="F209" s="1846"/>
      <c r="G209" s="1846"/>
      <c r="H209" s="1846"/>
      <c r="I209" s="1847"/>
      <c r="J209" s="1495">
        <f>SUM(J210:J215)</f>
        <v>89139.4</v>
      </c>
      <c r="K209" s="1499">
        <f>SUM(K210:K215)</f>
        <v>88202.3</v>
      </c>
      <c r="L209" s="1591">
        <f>SUM(L210:L215)</f>
        <v>83443.000000000015</v>
      </c>
      <c r="M209" s="173"/>
      <c r="N209" s="806"/>
      <c r="O209" s="806"/>
      <c r="P209" s="1394"/>
      <c r="Q209" s="1394"/>
    </row>
    <row r="210" spans="1:25" s="794" customFormat="1" x14ac:dyDescent="0.2">
      <c r="A210" s="1820" t="s">
        <v>27</v>
      </c>
      <c r="B210" s="1821"/>
      <c r="C210" s="1821"/>
      <c r="D210" s="1821"/>
      <c r="E210" s="1821"/>
      <c r="F210" s="1821"/>
      <c r="G210" s="1821"/>
      <c r="H210" s="1821"/>
      <c r="I210" s="1822"/>
      <c r="J210" s="67">
        <f>SUMIF(I15:I199,"sb",J15:J199)</f>
        <v>38492.599999999991</v>
      </c>
      <c r="K210" s="71">
        <f>SUMIF(I15:I199,"sb",K15:K199)</f>
        <v>39345.100000000006</v>
      </c>
      <c r="L210" s="813">
        <f>SUMIF(I15:I199,"sb",L15:L199)</f>
        <v>37463.500000000015</v>
      </c>
      <c r="M210" s="279"/>
      <c r="N210" s="806"/>
      <c r="O210" s="806"/>
      <c r="P210" s="1394"/>
      <c r="Q210" s="1159"/>
    </row>
    <row r="211" spans="1:25" s="794" customFormat="1" x14ac:dyDescent="0.2">
      <c r="A211" s="1820" t="s">
        <v>31</v>
      </c>
      <c r="B211" s="1821"/>
      <c r="C211" s="1821"/>
      <c r="D211" s="1821"/>
      <c r="E211" s="1821"/>
      <c r="F211" s="1821"/>
      <c r="G211" s="1821"/>
      <c r="H211" s="1821"/>
      <c r="I211" s="1822"/>
      <c r="J211" s="67">
        <f>SUMIF(I15:I199,"sb(sp)",J15:J199)</f>
        <v>5544.9000000000005</v>
      </c>
      <c r="K211" s="71">
        <f>SUMIF(I15:I199,"sb(sp)",K15:K199)</f>
        <v>5544.9000000000005</v>
      </c>
      <c r="L211" s="813">
        <f>SUMIF(I15:I199,"sb(sp)",L15:L199)</f>
        <v>4156.4000000000005</v>
      </c>
      <c r="M211" s="172"/>
      <c r="N211" s="806"/>
      <c r="O211" s="806"/>
      <c r="P211" s="1394"/>
      <c r="Q211" s="1394"/>
    </row>
    <row r="212" spans="1:25" s="794" customFormat="1" x14ac:dyDescent="0.2">
      <c r="A212" s="1820" t="s">
        <v>308</v>
      </c>
      <c r="B212" s="1821"/>
      <c r="C212" s="1821"/>
      <c r="D212" s="1821"/>
      <c r="E212" s="1821"/>
      <c r="F212" s="1821"/>
      <c r="G212" s="1821"/>
      <c r="H212" s="1821"/>
      <c r="I212" s="1822"/>
      <c r="J212" s="67">
        <f>SUMIF(I15:I199,"sb(p)",J15:J199)</f>
        <v>2900</v>
      </c>
      <c r="K212" s="71">
        <f>SUMIF(I15:I199,"sb(p)",K15:K199)</f>
        <v>96.2</v>
      </c>
      <c r="L212" s="813">
        <f>SUMIF(I15:I199,"sb(p)",L15:L199)</f>
        <v>96.2</v>
      </c>
      <c r="M212" s="172"/>
      <c r="N212" s="806"/>
      <c r="O212" s="806"/>
      <c r="P212" s="1394"/>
      <c r="Q212" s="1394"/>
    </row>
    <row r="213" spans="1:25" s="794" customFormat="1" x14ac:dyDescent="0.2">
      <c r="A213" s="1820" t="s">
        <v>28</v>
      </c>
      <c r="B213" s="1821"/>
      <c r="C213" s="1821"/>
      <c r="D213" s="1821"/>
      <c r="E213" s="1821"/>
      <c r="F213" s="1821"/>
      <c r="G213" s="1821"/>
      <c r="H213" s="1821"/>
      <c r="I213" s="1822"/>
      <c r="J213" s="139">
        <f>SUMIF(I15:I199,"sb(vb)",J15:J199)</f>
        <v>40872.700000000004</v>
      </c>
      <c r="K213" s="87">
        <f>SUMIF(I15:I199,"sb(vb)",K15:K199)</f>
        <v>41707.4</v>
      </c>
      <c r="L213" s="814">
        <f>SUMIF(I15:I199,"sb(vb)",L15:L199)</f>
        <v>40535.599999999999</v>
      </c>
      <c r="M213" s="172"/>
      <c r="N213" s="806"/>
      <c r="O213" s="806"/>
      <c r="P213" s="1394"/>
      <c r="Q213" s="1394"/>
    </row>
    <row r="214" spans="1:25" ht="27" customHeight="1" x14ac:dyDescent="0.2">
      <c r="A214" s="1817" t="s">
        <v>215</v>
      </c>
      <c r="B214" s="1818"/>
      <c r="C214" s="1818"/>
      <c r="D214" s="1818"/>
      <c r="E214" s="1818"/>
      <c r="F214" s="1818"/>
      <c r="G214" s="1818"/>
      <c r="H214" s="1818"/>
      <c r="I214" s="1819"/>
      <c r="J214" s="132">
        <f>SUMIF(I15:I200,"sb(es)",J15:J200)</f>
        <v>1285.9000000000001</v>
      </c>
      <c r="K214" s="73">
        <f>SUMIF(I15:I200,"sb(es)",K15:K200)</f>
        <v>1508.7</v>
      </c>
      <c r="L214" s="816">
        <f>SUMIF(I15:I200,"sb(es)",L15:L200)</f>
        <v>1190.7</v>
      </c>
      <c r="M214" s="172"/>
      <c r="N214" s="806"/>
      <c r="O214" s="806"/>
      <c r="P214" s="1394"/>
      <c r="Q214" s="1394"/>
      <c r="R214" s="794"/>
      <c r="S214" s="794"/>
      <c r="T214" s="794"/>
      <c r="U214" s="794"/>
      <c r="V214" s="794"/>
      <c r="W214" s="794"/>
      <c r="X214" s="794"/>
      <c r="Y214" s="794"/>
    </row>
    <row r="215" spans="1:25" ht="27" customHeight="1" x14ac:dyDescent="0.2">
      <c r="A215" s="1820" t="s">
        <v>214</v>
      </c>
      <c r="B215" s="1821"/>
      <c r="C215" s="1821"/>
      <c r="D215" s="1821"/>
      <c r="E215" s="1821"/>
      <c r="F215" s="1821"/>
      <c r="G215" s="1821"/>
      <c r="H215" s="1821"/>
      <c r="I215" s="1822"/>
      <c r="J215" s="67">
        <f>SUMIF(I15:I200,"sb(esa)",J15:J200)</f>
        <v>43.3</v>
      </c>
      <c r="K215" s="71">
        <f>SUMIF(I15:I200,"sb(esa)",K15:K200)</f>
        <v>0</v>
      </c>
      <c r="L215" s="813">
        <f>SUMIF(I15:I200,"sb(esa)",L15:L200)</f>
        <v>0.6</v>
      </c>
      <c r="M215" s="172"/>
      <c r="N215" s="806"/>
      <c r="O215" s="806"/>
      <c r="P215" s="1394"/>
      <c r="Q215" s="1394"/>
      <c r="R215" s="794"/>
      <c r="S215" s="794"/>
      <c r="T215" s="794"/>
      <c r="U215" s="794"/>
      <c r="V215" s="794"/>
      <c r="W215" s="794"/>
      <c r="X215" s="794"/>
      <c r="Y215" s="794"/>
    </row>
    <row r="216" spans="1:25" ht="27" customHeight="1" x14ac:dyDescent="0.2">
      <c r="A216" s="1823" t="s">
        <v>309</v>
      </c>
      <c r="B216" s="1824"/>
      <c r="C216" s="1824"/>
      <c r="D216" s="1824"/>
      <c r="E216" s="1824"/>
      <c r="F216" s="1824"/>
      <c r="G216" s="1824"/>
      <c r="H216" s="1824"/>
      <c r="I216" s="1825"/>
      <c r="J216" s="817">
        <f>SUMIF(I17:I201,"sb(esl)",J17:J201)</f>
        <v>11.399999999999999</v>
      </c>
      <c r="K216" s="818">
        <f>SUMIF(I17:I201,"sb(esl)",K17:K201)</f>
        <v>11.399999999999999</v>
      </c>
      <c r="L216" s="819">
        <f>SUMIF(I17:I201,"sb(esl)",L17:L201)</f>
        <v>6.8</v>
      </c>
      <c r="M216" s="172"/>
      <c r="N216" s="806"/>
      <c r="O216" s="806"/>
      <c r="P216" s="1394"/>
      <c r="Q216" s="1394"/>
      <c r="R216" s="794"/>
      <c r="S216" s="794"/>
      <c r="T216" s="794"/>
      <c r="U216" s="794"/>
      <c r="V216" s="794"/>
      <c r="W216" s="794"/>
      <c r="X216" s="794"/>
      <c r="Y216" s="794"/>
    </row>
    <row r="217" spans="1:25" s="794" customFormat="1" x14ac:dyDescent="0.2">
      <c r="A217" s="1823" t="s">
        <v>138</v>
      </c>
      <c r="B217" s="1824"/>
      <c r="C217" s="1824"/>
      <c r="D217" s="1824"/>
      <c r="E217" s="1824"/>
      <c r="F217" s="1824"/>
      <c r="G217" s="1824"/>
      <c r="H217" s="1824"/>
      <c r="I217" s="1825"/>
      <c r="J217" s="817">
        <f>SUMIF(I15:I199,"sb(l)",J15:J199)</f>
        <v>1025.2</v>
      </c>
      <c r="K217" s="818">
        <f>SUMIF(I15:I199,"sb(l)",K15:K199)</f>
        <v>1129</v>
      </c>
      <c r="L217" s="819">
        <f>SUMIF(I15:I199,"sb(l)",L15:L199)</f>
        <v>968.80000000000007</v>
      </c>
      <c r="M217" s="172"/>
      <c r="N217" s="806"/>
      <c r="O217" s="806"/>
      <c r="P217" s="1394"/>
      <c r="Q217" s="1394"/>
      <c r="W217" s="338"/>
    </row>
    <row r="218" spans="1:25" s="794" customFormat="1" x14ac:dyDescent="0.2">
      <c r="A218" s="1823" t="s">
        <v>86</v>
      </c>
      <c r="B218" s="1824"/>
      <c r="C218" s="1824"/>
      <c r="D218" s="1824"/>
      <c r="E218" s="1824"/>
      <c r="F218" s="1824"/>
      <c r="G218" s="1824"/>
      <c r="H218" s="1824"/>
      <c r="I218" s="1825"/>
      <c r="J218" s="817">
        <f>SUMIF(I16:I200,"sb(spl)",J16:J200)</f>
        <v>482.3</v>
      </c>
      <c r="K218" s="818">
        <f>SUMIF(I16:I200,"sb(spl)",K16:K200)</f>
        <v>482.3</v>
      </c>
      <c r="L218" s="819">
        <f>SUMIF(I16:I200,"sb(spl)",L16:L200)</f>
        <v>482</v>
      </c>
      <c r="M218" s="172"/>
      <c r="N218" s="806"/>
      <c r="O218" s="806"/>
      <c r="P218" s="1394"/>
      <c r="Q218" s="1394"/>
    </row>
    <row r="219" spans="1:25" s="794" customFormat="1" ht="13.5" customHeight="1" thickBot="1" x14ac:dyDescent="0.25">
      <c r="A219" s="1823" t="s">
        <v>700</v>
      </c>
      <c r="B219" s="1824"/>
      <c r="C219" s="1824"/>
      <c r="D219" s="1824"/>
      <c r="E219" s="1824"/>
      <c r="F219" s="1824"/>
      <c r="G219" s="1824"/>
      <c r="H219" s="1824"/>
      <c r="I219" s="1825"/>
      <c r="J219" s="1496">
        <f>SUMIF(I17:I200,"sb(vbl)",J17:J200)</f>
        <v>0.7</v>
      </c>
      <c r="K219" s="1500">
        <f>SUMIF(I17:I200,"sb(vbl)",K17:K200)</f>
        <v>0.7</v>
      </c>
      <c r="L219" s="1592">
        <f>SUMIF(I17:I200,"sb(vbl)",L17:L200)</f>
        <v>0.6</v>
      </c>
      <c r="M219" s="172"/>
      <c r="N219" s="806"/>
      <c r="O219" s="806"/>
      <c r="P219" s="1394"/>
      <c r="Q219" s="1394"/>
    </row>
    <row r="220" spans="1:25" ht="13.5" customHeight="1" thickBot="1" x14ac:dyDescent="0.25">
      <c r="A220" s="1804" t="s">
        <v>25</v>
      </c>
      <c r="B220" s="1805"/>
      <c r="C220" s="1805"/>
      <c r="D220" s="1805"/>
      <c r="E220" s="1805"/>
      <c r="F220" s="1805"/>
      <c r="G220" s="1805"/>
      <c r="H220" s="1805"/>
      <c r="I220" s="1806"/>
      <c r="J220" s="1497">
        <f>SUM(J221:J222)</f>
        <v>513.19999999999993</v>
      </c>
      <c r="K220" s="1501">
        <f>SUM(K221:K222)</f>
        <v>656.2</v>
      </c>
      <c r="L220" s="1593">
        <f>SUM(L221:L222)</f>
        <v>66.800000000000011</v>
      </c>
      <c r="M220" s="173"/>
      <c r="N220" s="806"/>
      <c r="O220" s="806"/>
      <c r="P220" s="1394"/>
      <c r="Q220" s="1394"/>
      <c r="R220" s="794"/>
      <c r="S220" s="794"/>
      <c r="T220" s="794"/>
      <c r="U220" s="794"/>
      <c r="V220" s="794"/>
      <c r="X220" s="794"/>
      <c r="Y220" s="794"/>
    </row>
    <row r="221" spans="1:25" x14ac:dyDescent="0.2">
      <c r="A221" s="1807" t="s">
        <v>29</v>
      </c>
      <c r="B221" s="1808"/>
      <c r="C221" s="1808"/>
      <c r="D221" s="1808"/>
      <c r="E221" s="1808"/>
      <c r="F221" s="1808"/>
      <c r="G221" s="1808"/>
      <c r="H221" s="1808"/>
      <c r="I221" s="1809"/>
      <c r="J221" s="69">
        <f>SUMIF(I15:I199,"es",J15:J199)</f>
        <v>509.4</v>
      </c>
      <c r="K221" s="72">
        <f>SUMIF(I15:I199,"es",K15:K199)</f>
        <v>509.4</v>
      </c>
      <c r="L221" s="823">
        <f>SUMIF(I15:I199,"es",L15:L199)</f>
        <v>0</v>
      </c>
      <c r="M221" s="172"/>
      <c r="N221" s="806"/>
      <c r="O221" s="806"/>
      <c r="P221" s="1394"/>
      <c r="Q221" s="1394"/>
    </row>
    <row r="222" spans="1:25" ht="13.5" customHeight="1" thickBot="1" x14ac:dyDescent="0.25">
      <c r="A222" s="1810" t="s">
        <v>139</v>
      </c>
      <c r="B222" s="1811"/>
      <c r="C222" s="1811"/>
      <c r="D222" s="1811"/>
      <c r="E222" s="1811"/>
      <c r="F222" s="1811"/>
      <c r="G222" s="1811"/>
      <c r="H222" s="1811"/>
      <c r="I222" s="1812"/>
      <c r="J222" s="69">
        <f>SUMIF(I15:I199,"lrvb",J15:J199)</f>
        <v>3.8</v>
      </c>
      <c r="K222" s="72">
        <f>SUMIF(I15:I199,"lrvb",K15:K199)</f>
        <v>146.80000000000001</v>
      </c>
      <c r="L222" s="823">
        <f>SUMIF(I15:I199,"lrvb",L15:L199)</f>
        <v>66.800000000000011</v>
      </c>
      <c r="M222" s="172"/>
      <c r="N222" s="806"/>
      <c r="O222" s="806"/>
      <c r="P222" s="1394"/>
      <c r="Q222" s="1394"/>
    </row>
    <row r="223" spans="1:25" ht="13.5" customHeight="1" thickBot="1" x14ac:dyDescent="0.25">
      <c r="A223" s="1813" t="s">
        <v>26</v>
      </c>
      <c r="B223" s="1814"/>
      <c r="C223" s="1814"/>
      <c r="D223" s="1814"/>
      <c r="E223" s="1814"/>
      <c r="F223" s="1814"/>
      <c r="G223" s="1814"/>
      <c r="H223" s="1814"/>
      <c r="I223" s="1815"/>
      <c r="J223" s="70">
        <f>J220+J208</f>
        <v>91172.199999999983</v>
      </c>
      <c r="K223" s="74">
        <f>K220+K208</f>
        <v>90481.9</v>
      </c>
      <c r="L223" s="825">
        <f>L220+L208</f>
        <v>84968.000000000029</v>
      </c>
      <c r="M223" s="173"/>
    </row>
    <row r="225" spans="1:17" ht="12.75" customHeight="1" x14ac:dyDescent="0.2">
      <c r="A225" s="1816" t="s">
        <v>312</v>
      </c>
      <c r="B225" s="1816"/>
      <c r="C225" s="1816"/>
      <c r="D225" s="1816"/>
      <c r="E225" s="1816"/>
      <c r="F225" s="1816"/>
      <c r="G225" s="1816"/>
      <c r="H225" s="1816"/>
      <c r="I225" s="1816"/>
      <c r="J225" s="1816"/>
      <c r="K225" s="1816"/>
      <c r="L225" s="1816"/>
      <c r="M225" s="1816"/>
      <c r="N225" s="1816"/>
      <c r="O225" s="1816"/>
      <c r="P225" s="1816"/>
      <c r="Q225" s="1816"/>
    </row>
    <row r="226" spans="1:17" x14ac:dyDescent="0.2">
      <c r="F226" s="1155"/>
      <c r="G226" s="1044"/>
      <c r="H226" s="1044"/>
      <c r="I226" s="828"/>
      <c r="J226" s="1173"/>
      <c r="K226" s="1173"/>
      <c r="L226" s="1173"/>
    </row>
    <row r="227" spans="1:17" x14ac:dyDescent="0.2">
      <c r="F227" s="1155"/>
      <c r="G227" s="1044"/>
      <c r="H227" s="1044"/>
      <c r="I227" s="1049"/>
      <c r="J227" s="551"/>
      <c r="K227" s="551"/>
      <c r="L227" s="551"/>
      <c r="M227" s="1175"/>
    </row>
    <row r="228" spans="1:17" x14ac:dyDescent="0.2">
      <c r="F228" s="1155"/>
      <c r="G228" s="1044"/>
      <c r="H228" s="1044"/>
      <c r="I228" s="1049"/>
      <c r="J228" s="551"/>
      <c r="K228" s="551"/>
      <c r="L228" s="551"/>
      <c r="M228" s="1175"/>
    </row>
    <row r="229" spans="1:17" x14ac:dyDescent="0.2">
      <c r="F229" s="1155"/>
      <c r="G229" s="1044"/>
      <c r="H229" s="1044"/>
      <c r="I229" s="1049"/>
      <c r="J229" s="551"/>
      <c r="K229" s="551"/>
      <c r="L229" s="551"/>
      <c r="M229" s="1175"/>
    </row>
    <row r="230" spans="1:17" x14ac:dyDescent="0.2">
      <c r="F230" s="1155"/>
      <c r="G230" s="1044"/>
      <c r="H230" s="1044"/>
      <c r="I230" s="1049"/>
      <c r="J230" s="551"/>
      <c r="K230" s="551"/>
      <c r="L230" s="551"/>
      <c r="M230" s="1175"/>
    </row>
    <row r="231" spans="1:17" x14ac:dyDescent="0.2">
      <c r="F231" s="1155"/>
      <c r="G231" s="1044"/>
      <c r="H231" s="1044"/>
      <c r="I231" s="1049"/>
      <c r="J231" s="551"/>
      <c r="K231" s="551"/>
      <c r="L231" s="551"/>
      <c r="M231" s="1175"/>
    </row>
    <row r="232" spans="1:17" x14ac:dyDescent="0.2">
      <c r="F232" s="1155"/>
      <c r="G232" s="1044"/>
      <c r="H232" s="1044"/>
      <c r="I232" s="1049"/>
      <c r="J232" s="551"/>
      <c r="K232" s="551"/>
      <c r="L232" s="551"/>
      <c r="M232" s="1174"/>
    </row>
    <row r="233" spans="1:17" x14ac:dyDescent="0.2">
      <c r="F233" s="1155"/>
      <c r="G233" s="1044"/>
      <c r="H233" s="1044"/>
      <c r="I233" s="1049"/>
      <c r="J233" s="551"/>
      <c r="K233" s="551"/>
      <c r="L233" s="551"/>
      <c r="M233" s="1174"/>
    </row>
    <row r="234" spans="1:17" x14ac:dyDescent="0.2">
      <c r="F234" s="1155"/>
      <c r="G234" s="1044"/>
      <c r="H234" s="1044"/>
      <c r="I234" s="1049"/>
      <c r="J234" s="551"/>
      <c r="K234" s="551"/>
      <c r="L234" s="551"/>
      <c r="M234" s="1174"/>
    </row>
    <row r="235" spans="1:17" x14ac:dyDescent="0.2">
      <c r="A235" s="830"/>
      <c r="B235" s="830"/>
      <c r="C235" s="830"/>
      <c r="D235" s="831"/>
      <c r="E235" s="832"/>
      <c r="F235" s="1155"/>
      <c r="G235" s="1044"/>
      <c r="H235" s="1044"/>
      <c r="I235" s="828"/>
      <c r="J235" s="1173"/>
      <c r="K235" s="1173"/>
      <c r="L235" s="1173"/>
      <c r="M235" s="338"/>
    </row>
    <row r="236" spans="1:17" x14ac:dyDescent="0.2">
      <c r="A236" s="830"/>
      <c r="B236" s="830"/>
      <c r="C236" s="830"/>
      <c r="D236" s="831"/>
      <c r="E236" s="832"/>
      <c r="F236" s="1155"/>
      <c r="G236" s="1044"/>
      <c r="H236" s="1044"/>
      <c r="I236" s="828"/>
      <c r="J236" s="1173"/>
      <c r="K236" s="1173"/>
      <c r="L236" s="1173"/>
      <c r="M236" s="338"/>
    </row>
    <row r="237" spans="1:17" x14ac:dyDescent="0.2">
      <c r="A237" s="830"/>
      <c r="B237" s="830"/>
      <c r="C237" s="830"/>
      <c r="D237" s="831"/>
      <c r="E237" s="832"/>
      <c r="F237" s="1155"/>
      <c r="G237" s="1044"/>
      <c r="H237" s="1044"/>
      <c r="I237" s="828"/>
      <c r="J237" s="1173"/>
      <c r="K237" s="1173"/>
      <c r="L237" s="1173"/>
      <c r="M237" s="338"/>
    </row>
    <row r="238" spans="1:17" x14ac:dyDescent="0.2">
      <c r="A238" s="830"/>
      <c r="B238" s="830"/>
      <c r="C238" s="830"/>
      <c r="D238" s="831"/>
      <c r="E238" s="832"/>
      <c r="F238" s="1155"/>
      <c r="G238" s="1044"/>
      <c r="H238" s="1044"/>
      <c r="I238" s="828"/>
      <c r="J238" s="1173"/>
      <c r="K238" s="1173"/>
      <c r="L238" s="1173"/>
      <c r="M238" s="338"/>
    </row>
    <row r="239" spans="1:17" x14ac:dyDescent="0.2">
      <c r="A239" s="830"/>
      <c r="B239" s="830"/>
      <c r="C239" s="830"/>
      <c r="D239" s="831"/>
      <c r="E239" s="832"/>
      <c r="F239" s="1155"/>
      <c r="G239" s="1044"/>
      <c r="H239" s="1044"/>
      <c r="I239" s="828"/>
      <c r="J239" s="1173"/>
      <c r="K239" s="1173"/>
      <c r="L239" s="1173"/>
      <c r="M239" s="338"/>
    </row>
    <row r="240" spans="1:17" x14ac:dyDescent="0.2">
      <c r="A240" s="830"/>
      <c r="B240" s="830"/>
      <c r="C240" s="830"/>
      <c r="D240" s="831"/>
      <c r="E240" s="832"/>
      <c r="F240" s="1155"/>
      <c r="G240" s="1044"/>
      <c r="H240" s="1044"/>
      <c r="I240" s="828"/>
      <c r="J240" s="1173"/>
      <c r="K240" s="1173"/>
      <c r="L240" s="1173"/>
      <c r="M240" s="338"/>
    </row>
    <row r="241" spans="1:13" x14ac:dyDescent="0.2">
      <c r="A241" s="830"/>
      <c r="B241" s="830"/>
      <c r="C241" s="830"/>
      <c r="D241" s="831"/>
      <c r="E241" s="832"/>
      <c r="F241" s="1155"/>
      <c r="G241" s="1044"/>
      <c r="H241" s="1044"/>
      <c r="I241" s="828"/>
      <c r="J241" s="1173"/>
      <c r="K241" s="1173"/>
      <c r="L241" s="1173"/>
      <c r="M241" s="338"/>
    </row>
    <row r="242" spans="1:13" x14ac:dyDescent="0.2">
      <c r="A242" s="830"/>
      <c r="B242" s="830"/>
      <c r="C242" s="830"/>
      <c r="D242" s="831"/>
      <c r="E242" s="832"/>
      <c r="F242" s="1155"/>
      <c r="G242" s="1044"/>
      <c r="H242" s="1044"/>
      <c r="I242" s="828"/>
      <c r="J242" s="1173"/>
      <c r="K242" s="1173"/>
      <c r="L242" s="1173"/>
      <c r="M242" s="338"/>
    </row>
    <row r="243" spans="1:13" x14ac:dyDescent="0.2">
      <c r="A243" s="830"/>
      <c r="B243" s="830"/>
      <c r="C243" s="830"/>
      <c r="D243" s="831"/>
      <c r="E243" s="832"/>
      <c r="F243" s="1155"/>
      <c r="G243" s="1044"/>
      <c r="H243" s="1044"/>
      <c r="I243" s="828"/>
      <c r="J243" s="1173"/>
      <c r="K243" s="1173"/>
      <c r="L243" s="1173"/>
      <c r="M243" s="338"/>
    </row>
    <row r="244" spans="1:13" x14ac:dyDescent="0.2">
      <c r="A244" s="830"/>
      <c r="B244" s="830"/>
      <c r="C244" s="830"/>
      <c r="D244" s="831"/>
      <c r="E244" s="832"/>
      <c r="F244" s="1155"/>
      <c r="G244" s="1044"/>
      <c r="H244" s="1044"/>
      <c r="I244" s="828"/>
      <c r="J244" s="1173"/>
      <c r="K244" s="1173"/>
      <c r="L244" s="1173"/>
      <c r="M244" s="338"/>
    </row>
    <row r="245" spans="1:13" x14ac:dyDescent="0.2">
      <c r="A245" s="830"/>
      <c r="B245" s="830"/>
      <c r="C245" s="830"/>
      <c r="D245" s="831"/>
      <c r="E245" s="832"/>
      <c r="F245" s="1155"/>
      <c r="G245" s="1044"/>
      <c r="H245" s="1044"/>
      <c r="I245" s="828"/>
      <c r="J245" s="1173"/>
      <c r="K245" s="1173"/>
      <c r="L245" s="1173"/>
      <c r="M245" s="338"/>
    </row>
    <row r="246" spans="1:13" x14ac:dyDescent="0.2">
      <c r="A246" s="830"/>
      <c r="B246" s="830"/>
      <c r="C246" s="830"/>
      <c r="D246" s="831"/>
      <c r="E246" s="832"/>
      <c r="F246" s="1155"/>
      <c r="G246" s="1044"/>
      <c r="H246" s="1044"/>
      <c r="I246" s="828"/>
      <c r="J246" s="1173"/>
      <c r="K246" s="1173"/>
      <c r="L246" s="1173"/>
      <c r="M246" s="338"/>
    </row>
    <row r="247" spans="1:13" x14ac:dyDescent="0.2">
      <c r="A247" s="830"/>
      <c r="B247" s="830"/>
      <c r="C247" s="830"/>
      <c r="D247" s="831"/>
      <c r="E247" s="832"/>
      <c r="F247" s="1155"/>
      <c r="G247" s="1044"/>
      <c r="H247" s="1044"/>
      <c r="I247" s="828"/>
      <c r="J247" s="1173"/>
      <c r="K247" s="1173"/>
      <c r="L247" s="1173"/>
      <c r="M247" s="338"/>
    </row>
  </sheetData>
  <mergeCells count="211">
    <mergeCell ref="P195:Q195"/>
    <mergeCell ref="P193:Q193"/>
    <mergeCell ref="P191:Q192"/>
    <mergeCell ref="A1:Q1"/>
    <mergeCell ref="A2:Q2"/>
    <mergeCell ref="N5:O5"/>
    <mergeCell ref="A204:Q204"/>
    <mergeCell ref="J75:J76"/>
    <mergeCell ref="B9:L13"/>
    <mergeCell ref="A9:A10"/>
    <mergeCell ref="L5:L6"/>
    <mergeCell ref="N75:N76"/>
    <mergeCell ref="Q4:Q6"/>
    <mergeCell ref="M4:O4"/>
    <mergeCell ref="P4:P6"/>
    <mergeCell ref="A7:Q7"/>
    <mergeCell ref="A8:Q8"/>
    <mergeCell ref="A4:A6"/>
    <mergeCell ref="B4:B6"/>
    <mergeCell ref="J4:L4"/>
    <mergeCell ref="J5:J6"/>
    <mergeCell ref="K5:K6"/>
    <mergeCell ref="C4:C6"/>
    <mergeCell ref="D4:D6"/>
    <mergeCell ref="E4:E6"/>
    <mergeCell ref="F4:F6"/>
    <mergeCell ref="M3:Q3"/>
    <mergeCell ref="C14:Q14"/>
    <mergeCell ref="F15:F16"/>
    <mergeCell ref="G4:G6"/>
    <mergeCell ref="H4:H6"/>
    <mergeCell ref="I4:I6"/>
    <mergeCell ref="M5:M6"/>
    <mergeCell ref="F17:F18"/>
    <mergeCell ref="F19:F21"/>
    <mergeCell ref="F22:F24"/>
    <mergeCell ref="P18:Q18"/>
    <mergeCell ref="P22:Q24"/>
    <mergeCell ref="F25:F27"/>
    <mergeCell ref="F28:F29"/>
    <mergeCell ref="F30:F31"/>
    <mergeCell ref="F57:F58"/>
    <mergeCell ref="F32:F33"/>
    <mergeCell ref="M32:M33"/>
    <mergeCell ref="F34:F36"/>
    <mergeCell ref="F37:F39"/>
    <mergeCell ref="U35:U36"/>
    <mergeCell ref="F60:F61"/>
    <mergeCell ref="G60:G61"/>
    <mergeCell ref="P25:Q27"/>
    <mergeCell ref="F78:F80"/>
    <mergeCell ref="F83:F84"/>
    <mergeCell ref="F85:F87"/>
    <mergeCell ref="M86:M87"/>
    <mergeCell ref="F88:F89"/>
    <mergeCell ref="P58:Q58"/>
    <mergeCell ref="P57:Q57"/>
    <mergeCell ref="P65:Q65"/>
    <mergeCell ref="P70:Q70"/>
    <mergeCell ref="P75:Q76"/>
    <mergeCell ref="F90:F91"/>
    <mergeCell ref="C92:I92"/>
    <mergeCell ref="S35:S36"/>
    <mergeCell ref="T35:T36"/>
    <mergeCell ref="P37:Q39"/>
    <mergeCell ref="P40:Q42"/>
    <mergeCell ref="M75:M76"/>
    <mergeCell ref="F69:F70"/>
    <mergeCell ref="F71:F72"/>
    <mergeCell ref="G72:I72"/>
    <mergeCell ref="F40:F42"/>
    <mergeCell ref="F43:F44"/>
    <mergeCell ref="F48:F49"/>
    <mergeCell ref="F50:F51"/>
    <mergeCell ref="P66:Q66"/>
    <mergeCell ref="L64:L65"/>
    <mergeCell ref="L85:L86"/>
    <mergeCell ref="F81:F82"/>
    <mergeCell ref="P35:Q36"/>
    <mergeCell ref="P50:Q50"/>
    <mergeCell ref="P51:Q51"/>
    <mergeCell ref="Q53:Q54"/>
    <mergeCell ref="P53:P54"/>
    <mergeCell ref="P55:Q55"/>
    <mergeCell ref="R107:S107"/>
    <mergeCell ref="F109:F111"/>
    <mergeCell ref="R112:S112"/>
    <mergeCell ref="B93:I93"/>
    <mergeCell ref="C96:Q96"/>
    <mergeCell ref="A97:A98"/>
    <mergeCell ref="B97:B98"/>
    <mergeCell ref="C97:C98"/>
    <mergeCell ref="F97:F98"/>
    <mergeCell ref="G97:G98"/>
    <mergeCell ref="M97:M98"/>
    <mergeCell ref="P97:Q98"/>
    <mergeCell ref="F99:F100"/>
    <mergeCell ref="F101:F105"/>
    <mergeCell ref="M101:M102"/>
    <mergeCell ref="M103:M105"/>
    <mergeCell ref="F107:F108"/>
    <mergeCell ref="M107:M108"/>
    <mergeCell ref="Q107:Q108"/>
    <mergeCell ref="B94:L95"/>
    <mergeCell ref="A94:A95"/>
    <mergeCell ref="V130:V131"/>
    <mergeCell ref="F131:F132"/>
    <mergeCell ref="F133:F135"/>
    <mergeCell ref="F136:F137"/>
    <mergeCell ref="G137:I137"/>
    <mergeCell ref="V137:V138"/>
    <mergeCell ref="F113:F114"/>
    <mergeCell ref="M113:M114"/>
    <mergeCell ref="F116:F117"/>
    <mergeCell ref="F118:F120"/>
    <mergeCell ref="G120:I120"/>
    <mergeCell ref="F123:F125"/>
    <mergeCell ref="F126:F127"/>
    <mergeCell ref="M126:M127"/>
    <mergeCell ref="P124:Q125"/>
    <mergeCell ref="P123:Q123"/>
    <mergeCell ref="P133:Q135"/>
    <mergeCell ref="F128:F129"/>
    <mergeCell ref="M128:M129"/>
    <mergeCell ref="G130:I130"/>
    <mergeCell ref="M136:M137"/>
    <mergeCell ref="P118:Q120"/>
    <mergeCell ref="P116:Q116"/>
    <mergeCell ref="F152:F153"/>
    <mergeCell ref="F154:F155"/>
    <mergeCell ref="H154:H155"/>
    <mergeCell ref="C158:I158"/>
    <mergeCell ref="C159:Q159"/>
    <mergeCell ref="P156:Q157"/>
    <mergeCell ref="P154:P155"/>
    <mergeCell ref="F139:F140"/>
    <mergeCell ref="F142:F143"/>
    <mergeCell ref="I142:I143"/>
    <mergeCell ref="J142:J143"/>
    <mergeCell ref="K142:K143"/>
    <mergeCell ref="F145:F146"/>
    <mergeCell ref="M145:M146"/>
    <mergeCell ref="G146:I146"/>
    <mergeCell ref="C147:I147"/>
    <mergeCell ref="P141:Q141"/>
    <mergeCell ref="P149:Q150"/>
    <mergeCell ref="C148:Q148"/>
    <mergeCell ref="F149:F150"/>
    <mergeCell ref="M147:Q147"/>
    <mergeCell ref="M158:Q158"/>
    <mergeCell ref="H197:H198"/>
    <mergeCell ref="M197:M198"/>
    <mergeCell ref="M199:M200"/>
    <mergeCell ref="F174:F175"/>
    <mergeCell ref="G174:G175"/>
    <mergeCell ref="F177:F179"/>
    <mergeCell ref="M177:M178"/>
    <mergeCell ref="A180:A182"/>
    <mergeCell ref="B180:B182"/>
    <mergeCell ref="F180:F182"/>
    <mergeCell ref="G180:G182"/>
    <mergeCell ref="H180:H182"/>
    <mergeCell ref="M180:M182"/>
    <mergeCell ref="F162:F163"/>
    <mergeCell ref="M168:M170"/>
    <mergeCell ref="C201:I201"/>
    <mergeCell ref="B202:I202"/>
    <mergeCell ref="B203:I203"/>
    <mergeCell ref="A205:Q205"/>
    <mergeCell ref="A206:L206"/>
    <mergeCell ref="A207:I207"/>
    <mergeCell ref="A219:I219"/>
    <mergeCell ref="A208:I208"/>
    <mergeCell ref="A209:I209"/>
    <mergeCell ref="A210:I210"/>
    <mergeCell ref="A211:I211"/>
    <mergeCell ref="A212:I212"/>
    <mergeCell ref="A213:I213"/>
    <mergeCell ref="P190:Q190"/>
    <mergeCell ref="P199:Q200"/>
    <mergeCell ref="P174:Q175"/>
    <mergeCell ref="P173:Q173"/>
    <mergeCell ref="F183:F184"/>
    <mergeCell ref="F188:F189"/>
    <mergeCell ref="F191:F194"/>
    <mergeCell ref="M191:M192"/>
    <mergeCell ref="F197:F200"/>
    <mergeCell ref="A220:I220"/>
    <mergeCell ref="A221:I221"/>
    <mergeCell ref="A222:I222"/>
    <mergeCell ref="A223:I223"/>
    <mergeCell ref="A225:Q225"/>
    <mergeCell ref="A214:I214"/>
    <mergeCell ref="A215:I215"/>
    <mergeCell ref="A216:I216"/>
    <mergeCell ref="A217:I217"/>
    <mergeCell ref="A218:I218"/>
    <mergeCell ref="P90:Q91"/>
    <mergeCell ref="P101:P102"/>
    <mergeCell ref="Q103:Q106"/>
    <mergeCell ref="P113:Q114"/>
    <mergeCell ref="Q109:Q111"/>
    <mergeCell ref="Q101:Q102"/>
    <mergeCell ref="P112:Q112"/>
    <mergeCell ref="P61:Q61"/>
    <mergeCell ref="P183:Q184"/>
    <mergeCell ref="P177:P178"/>
    <mergeCell ref="P115:Q115"/>
    <mergeCell ref="P122:Q122"/>
    <mergeCell ref="P126:P127"/>
    <mergeCell ref="P94:Q94"/>
  </mergeCells>
  <printOptions horizontalCentered="1"/>
  <pageMargins left="0.31496062992125984" right="0.11811023622047245" top="0.35433070866141736" bottom="0.15748031496062992" header="0.31496062992125984" footer="0.31496062992125984"/>
  <pageSetup paperSize="9" scale="79" orientation="landscape" r:id="rId1"/>
  <rowBreaks count="8" manualBreakCount="8">
    <brk id="29" max="16" man="1"/>
    <brk id="56" max="16" man="1"/>
    <brk id="84" max="16" man="1"/>
    <brk id="106" max="16" man="1"/>
    <brk id="122" max="16" man="1"/>
    <brk id="151" max="16" man="1"/>
    <brk id="175" max="16" man="1"/>
    <brk id="205" max="16" man="1"/>
  </rowBreaks>
  <colBreaks count="1" manualBreakCount="1">
    <brk id="17" max="236"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60"/>
  <sheetViews>
    <sheetView zoomScaleNormal="100" zoomScaleSheetLayoutView="100" workbookViewId="0">
      <selection activeCell="P231" sqref="P231"/>
    </sheetView>
  </sheetViews>
  <sheetFormatPr defaultColWidth="9.140625" defaultRowHeight="12.75" x14ac:dyDescent="0.2"/>
  <cols>
    <col min="1" max="3" width="2.7109375" style="333" customWidth="1"/>
    <col min="4" max="4" width="2.7109375" style="334" customWidth="1"/>
    <col min="5" max="5" width="2.7109375" style="335" customWidth="1"/>
    <col min="6" max="6" width="32.28515625" style="794" customWidth="1"/>
    <col min="7" max="8" width="3" style="806" customWidth="1"/>
    <col min="9" max="9" width="8" style="826" customWidth="1"/>
    <col min="10" max="12" width="8.85546875" style="827" customWidth="1"/>
    <col min="13" max="13" width="23.5703125" style="794" customWidth="1"/>
    <col min="14" max="15" width="6.42578125" style="90" customWidth="1"/>
    <col min="16" max="17" width="27" style="90" customWidth="1"/>
    <col min="18" max="18" width="11.140625" style="338" customWidth="1"/>
    <col min="19" max="19" width="9.28515625" style="338" customWidth="1"/>
    <col min="20" max="16384" width="9.140625" style="338"/>
  </cols>
  <sheetData>
    <row r="1" spans="1:18" s="332" customFormat="1" ht="15.75" customHeight="1" x14ac:dyDescent="0.2">
      <c r="A1" s="2049" t="s">
        <v>100</v>
      </c>
      <c r="B1" s="2049"/>
      <c r="C1" s="2049"/>
      <c r="D1" s="2049"/>
      <c r="E1" s="2049"/>
      <c r="F1" s="2049"/>
      <c r="G1" s="2049"/>
      <c r="H1" s="2049"/>
      <c r="I1" s="2049"/>
      <c r="J1" s="2049"/>
      <c r="K1" s="2049"/>
      <c r="L1" s="2049"/>
      <c r="M1" s="2049"/>
      <c r="N1" s="2049"/>
      <c r="O1" s="2049"/>
      <c r="P1" s="2049"/>
      <c r="Q1" s="2049"/>
    </row>
    <row r="2" spans="1:18" s="332" customFormat="1" ht="22.5" customHeight="1" x14ac:dyDescent="0.2">
      <c r="A2" s="2050" t="s">
        <v>101</v>
      </c>
      <c r="B2" s="2050"/>
      <c r="C2" s="2050"/>
      <c r="D2" s="2050"/>
      <c r="E2" s="2050"/>
      <c r="F2" s="2050"/>
      <c r="G2" s="2050"/>
      <c r="H2" s="2050"/>
      <c r="I2" s="2050"/>
      <c r="J2" s="2050"/>
      <c r="K2" s="2050"/>
      <c r="L2" s="2050"/>
      <c r="M2" s="2050"/>
      <c r="N2" s="2050"/>
      <c r="O2" s="2050"/>
      <c r="P2" s="2050"/>
      <c r="Q2" s="2050"/>
    </row>
    <row r="3" spans="1:18" s="332" customFormat="1" ht="15" customHeight="1" x14ac:dyDescent="0.2">
      <c r="A3" s="2097"/>
      <c r="B3" s="2097"/>
      <c r="C3" s="2097"/>
      <c r="D3" s="2097"/>
      <c r="E3" s="2097"/>
      <c r="F3" s="2097"/>
      <c r="G3" s="2097"/>
      <c r="H3" s="2097"/>
      <c r="I3" s="2097"/>
      <c r="J3" s="2097"/>
      <c r="K3" s="2097"/>
      <c r="L3" s="2097"/>
      <c r="M3" s="2097"/>
      <c r="N3" s="2097"/>
      <c r="O3" s="2097"/>
      <c r="P3" s="2097"/>
      <c r="Q3" s="2097"/>
    </row>
    <row r="4" spans="1:18" ht="15.75" customHeight="1" thickBot="1" x14ac:dyDescent="0.25">
      <c r="A4" s="38"/>
      <c r="B4" s="38"/>
      <c r="F4" s="316"/>
      <c r="G4" s="316"/>
      <c r="H4" s="316"/>
      <c r="I4" s="336"/>
      <c r="J4" s="316"/>
      <c r="K4" s="316"/>
      <c r="L4" s="316"/>
      <c r="M4" s="316"/>
      <c r="N4" s="337"/>
      <c r="O4" s="2027" t="s">
        <v>91</v>
      </c>
      <c r="P4" s="2027"/>
      <c r="Q4" s="2027"/>
    </row>
    <row r="5" spans="1:18" ht="18" customHeight="1" x14ac:dyDescent="0.2">
      <c r="A5" s="2082" t="s">
        <v>8</v>
      </c>
      <c r="B5" s="2085" t="s">
        <v>9</v>
      </c>
      <c r="C5" s="2021" t="s">
        <v>10</v>
      </c>
      <c r="D5" s="2021" t="s">
        <v>217</v>
      </c>
      <c r="E5" s="2021" t="s">
        <v>218</v>
      </c>
      <c r="F5" s="2140" t="s">
        <v>142</v>
      </c>
      <c r="G5" s="2034" t="s">
        <v>11</v>
      </c>
      <c r="H5" s="2037" t="s">
        <v>12</v>
      </c>
      <c r="I5" s="2037" t="s">
        <v>13</v>
      </c>
      <c r="J5" s="2070" t="s">
        <v>119</v>
      </c>
      <c r="K5" s="2071"/>
      <c r="L5" s="2072"/>
      <c r="M5" s="2070" t="s">
        <v>143</v>
      </c>
      <c r="N5" s="2071"/>
      <c r="O5" s="2072"/>
      <c r="P5" s="2143" t="s">
        <v>104</v>
      </c>
      <c r="Q5" s="2146" t="s">
        <v>105</v>
      </c>
    </row>
    <row r="6" spans="1:18" ht="15.75" customHeight="1" x14ac:dyDescent="0.2">
      <c r="A6" s="2083"/>
      <c r="B6" s="2086"/>
      <c r="C6" s="2022"/>
      <c r="D6" s="2022"/>
      <c r="E6" s="2022"/>
      <c r="F6" s="2141"/>
      <c r="G6" s="2035"/>
      <c r="H6" s="2038"/>
      <c r="I6" s="2038"/>
      <c r="J6" s="2149" t="s">
        <v>219</v>
      </c>
      <c r="K6" s="2150" t="s">
        <v>220</v>
      </c>
      <c r="L6" s="2150" t="s">
        <v>221</v>
      </c>
      <c r="M6" s="2152" t="s">
        <v>23</v>
      </c>
      <c r="N6" s="2154" t="s">
        <v>68</v>
      </c>
      <c r="O6" s="2052"/>
      <c r="P6" s="2144"/>
      <c r="Q6" s="2147"/>
    </row>
    <row r="7" spans="1:18" ht="93.75" customHeight="1" thickBot="1" x14ac:dyDescent="0.25">
      <c r="A7" s="2084"/>
      <c r="B7" s="2087"/>
      <c r="C7" s="2023"/>
      <c r="D7" s="2023"/>
      <c r="E7" s="2023"/>
      <c r="F7" s="2142"/>
      <c r="G7" s="2036"/>
      <c r="H7" s="2039"/>
      <c r="I7" s="2039"/>
      <c r="J7" s="2039"/>
      <c r="K7" s="2151"/>
      <c r="L7" s="2151"/>
      <c r="M7" s="2153"/>
      <c r="N7" s="339" t="s">
        <v>102</v>
      </c>
      <c r="O7" s="317" t="s">
        <v>103</v>
      </c>
      <c r="P7" s="2145"/>
      <c r="Q7" s="2148"/>
    </row>
    <row r="8" spans="1:18" ht="15.75" customHeight="1" thickBot="1" x14ac:dyDescent="0.25">
      <c r="A8" s="2155" t="s">
        <v>80</v>
      </c>
      <c r="B8" s="2156"/>
      <c r="C8" s="2156"/>
      <c r="D8" s="2156"/>
      <c r="E8" s="2156"/>
      <c r="F8" s="2156"/>
      <c r="G8" s="2156"/>
      <c r="H8" s="2156"/>
      <c r="I8" s="2156"/>
      <c r="J8" s="2156"/>
      <c r="K8" s="2156"/>
      <c r="L8" s="2156"/>
      <c r="M8" s="2156"/>
      <c r="N8" s="2156"/>
      <c r="O8" s="2156"/>
      <c r="P8" s="2156"/>
      <c r="Q8" s="2157"/>
    </row>
    <row r="9" spans="1:18" s="341" customFormat="1" ht="15.75" customHeight="1" thickBot="1" x14ac:dyDescent="0.25">
      <c r="A9" s="2158" t="s">
        <v>30</v>
      </c>
      <c r="B9" s="2159"/>
      <c r="C9" s="2159"/>
      <c r="D9" s="2159"/>
      <c r="E9" s="2159"/>
      <c r="F9" s="2159"/>
      <c r="G9" s="2159"/>
      <c r="H9" s="2159"/>
      <c r="I9" s="2159"/>
      <c r="J9" s="2159"/>
      <c r="K9" s="2159"/>
      <c r="L9" s="2159"/>
      <c r="M9" s="2159"/>
      <c r="N9" s="2159"/>
      <c r="O9" s="2159"/>
      <c r="P9" s="2159"/>
      <c r="Q9" s="2160"/>
      <c r="R9" s="340"/>
    </row>
    <row r="10" spans="1:18" s="341" customFormat="1" ht="67.5" customHeight="1" x14ac:dyDescent="0.2">
      <c r="A10" s="2161" t="s">
        <v>14</v>
      </c>
      <c r="B10" s="2164" t="s">
        <v>35</v>
      </c>
      <c r="C10" s="2165"/>
      <c r="D10" s="2165"/>
      <c r="E10" s="2165"/>
      <c r="F10" s="2165"/>
      <c r="G10" s="2165"/>
      <c r="H10" s="2165"/>
      <c r="I10" s="2165"/>
      <c r="J10" s="2165"/>
      <c r="K10" s="2165"/>
      <c r="L10" s="2166"/>
      <c r="M10" s="342" t="s">
        <v>144</v>
      </c>
      <c r="N10" s="343">
        <v>85</v>
      </c>
      <c r="O10" s="344">
        <v>85.6</v>
      </c>
      <c r="P10" s="345"/>
      <c r="Q10" s="346"/>
    </row>
    <row r="11" spans="1:18" s="341" customFormat="1" ht="81" customHeight="1" x14ac:dyDescent="0.2">
      <c r="A11" s="2162"/>
      <c r="B11" s="2167"/>
      <c r="C11" s="2168"/>
      <c r="D11" s="2168"/>
      <c r="E11" s="2168"/>
      <c r="F11" s="2168"/>
      <c r="G11" s="2168"/>
      <c r="H11" s="2168"/>
      <c r="I11" s="2168"/>
      <c r="J11" s="2168"/>
      <c r="K11" s="2168"/>
      <c r="L11" s="2169"/>
      <c r="M11" s="347" t="s">
        <v>222</v>
      </c>
      <c r="N11" s="348" t="s">
        <v>223</v>
      </c>
      <c r="O11" s="231"/>
      <c r="P11" s="349"/>
      <c r="Q11" s="213"/>
    </row>
    <row r="12" spans="1:18" s="341" customFormat="1" ht="66.75" customHeight="1" x14ac:dyDescent="0.2">
      <c r="A12" s="2162"/>
      <c r="B12" s="2167"/>
      <c r="C12" s="2168"/>
      <c r="D12" s="2168"/>
      <c r="E12" s="2168"/>
      <c r="F12" s="2168"/>
      <c r="G12" s="2168"/>
      <c r="H12" s="2168"/>
      <c r="I12" s="2168"/>
      <c r="J12" s="2168"/>
      <c r="K12" s="2168"/>
      <c r="L12" s="2169"/>
      <c r="M12" s="347" t="s">
        <v>145</v>
      </c>
      <c r="N12" s="348">
        <v>59</v>
      </c>
      <c r="O12" s="231"/>
      <c r="P12" s="349"/>
      <c r="Q12" s="213"/>
    </row>
    <row r="13" spans="1:18" s="341" customFormat="1" ht="69.75" customHeight="1" x14ac:dyDescent="0.2">
      <c r="A13" s="2162"/>
      <c r="B13" s="2167"/>
      <c r="C13" s="2168"/>
      <c r="D13" s="2168"/>
      <c r="E13" s="2168"/>
      <c r="F13" s="2168"/>
      <c r="G13" s="2168"/>
      <c r="H13" s="2168"/>
      <c r="I13" s="2168"/>
      <c r="J13" s="2168"/>
      <c r="K13" s="2168"/>
      <c r="L13" s="2169"/>
      <c r="M13" s="347" t="s">
        <v>106</v>
      </c>
      <c r="N13" s="348">
        <v>30</v>
      </c>
      <c r="O13" s="231"/>
      <c r="P13" s="349"/>
      <c r="Q13" s="213"/>
    </row>
    <row r="14" spans="1:18" s="341" customFormat="1" ht="54.75" customHeight="1" thickBot="1" x14ac:dyDescent="0.25">
      <c r="A14" s="2163"/>
      <c r="B14" s="2170"/>
      <c r="C14" s="2171"/>
      <c r="D14" s="2171"/>
      <c r="E14" s="2171"/>
      <c r="F14" s="2171"/>
      <c r="G14" s="2171"/>
      <c r="H14" s="2171"/>
      <c r="I14" s="2171"/>
      <c r="J14" s="2171"/>
      <c r="K14" s="2171"/>
      <c r="L14" s="2172"/>
      <c r="M14" s="350" t="s">
        <v>224</v>
      </c>
      <c r="N14" s="351">
        <v>296</v>
      </c>
      <c r="O14" s="352"/>
      <c r="P14" s="353"/>
      <c r="Q14" s="354"/>
    </row>
    <row r="15" spans="1:18" s="341" customFormat="1" ht="15.75" customHeight="1" thickBot="1" x14ac:dyDescent="0.25">
      <c r="A15" s="355" t="s">
        <v>14</v>
      </c>
      <c r="B15" s="356" t="s">
        <v>14</v>
      </c>
      <c r="C15" s="2173" t="s">
        <v>87</v>
      </c>
      <c r="D15" s="2174"/>
      <c r="E15" s="2174"/>
      <c r="F15" s="2174"/>
      <c r="G15" s="2174"/>
      <c r="H15" s="2174"/>
      <c r="I15" s="2174"/>
      <c r="J15" s="2174"/>
      <c r="K15" s="2174"/>
      <c r="L15" s="2174"/>
      <c r="M15" s="2174"/>
      <c r="N15" s="2174"/>
      <c r="O15" s="2174"/>
      <c r="P15" s="2174"/>
      <c r="Q15" s="2175"/>
    </row>
    <row r="16" spans="1:18" s="341" customFormat="1" ht="16.5" customHeight="1" x14ac:dyDescent="0.2">
      <c r="A16" s="357" t="s">
        <v>14</v>
      </c>
      <c r="B16" s="358" t="s">
        <v>14</v>
      </c>
      <c r="C16" s="359" t="s">
        <v>14</v>
      </c>
      <c r="D16" s="360"/>
      <c r="E16" s="360"/>
      <c r="F16" s="2032" t="s">
        <v>55</v>
      </c>
      <c r="G16" s="2177" t="s">
        <v>194</v>
      </c>
      <c r="H16" s="361">
        <v>2</v>
      </c>
      <c r="I16" s="186" t="s">
        <v>15</v>
      </c>
      <c r="J16" s="362">
        <f>31672.9-237.1</f>
        <v>31435.800000000003</v>
      </c>
      <c r="K16" s="363">
        <v>32071.1</v>
      </c>
      <c r="L16" s="363"/>
      <c r="M16" s="256"/>
      <c r="N16" s="364"/>
      <c r="O16" s="365"/>
      <c r="P16" s="206"/>
      <c r="Q16" s="366"/>
      <c r="R16" s="308"/>
    </row>
    <row r="17" spans="1:18" s="341" customFormat="1" ht="16.5" customHeight="1" x14ac:dyDescent="0.2">
      <c r="A17" s="367"/>
      <c r="B17" s="368"/>
      <c r="C17" s="369"/>
      <c r="D17" s="370"/>
      <c r="E17" s="370"/>
      <c r="F17" s="2176"/>
      <c r="G17" s="2178"/>
      <c r="H17" s="371"/>
      <c r="I17" s="177" t="s">
        <v>79</v>
      </c>
      <c r="J17" s="117"/>
      <c r="K17" s="123">
        <v>482.3</v>
      </c>
      <c r="L17" s="123"/>
      <c r="M17" s="49"/>
      <c r="N17" s="203"/>
      <c r="O17" s="97"/>
      <c r="P17" s="203"/>
      <c r="Q17" s="372"/>
      <c r="R17" s="308"/>
    </row>
    <row r="18" spans="1:18" s="341" customFormat="1" ht="16.5" customHeight="1" x14ac:dyDescent="0.2">
      <c r="A18" s="367"/>
      <c r="B18" s="368"/>
      <c r="C18" s="369"/>
      <c r="D18" s="370"/>
      <c r="E18" s="370"/>
      <c r="F18" s="2176"/>
      <c r="G18" s="2178"/>
      <c r="H18" s="373"/>
      <c r="I18" s="186" t="s">
        <v>18</v>
      </c>
      <c r="J18" s="117">
        <f>40150.7+1.9+237.1+73.1</f>
        <v>40462.799999999996</v>
      </c>
      <c r="K18" s="123">
        <f>40150.7+1.9+237.1+73.1+42.6+902.3</f>
        <v>41407.699999999997</v>
      </c>
      <c r="L18" s="123"/>
      <c r="M18" s="49"/>
      <c r="N18" s="203"/>
      <c r="O18" s="97"/>
      <c r="P18" s="203"/>
      <c r="Q18" s="372"/>
      <c r="R18" s="308"/>
    </row>
    <row r="19" spans="1:18" s="341" customFormat="1" ht="16.5" customHeight="1" x14ac:dyDescent="0.2">
      <c r="A19" s="367"/>
      <c r="B19" s="368"/>
      <c r="C19" s="369"/>
      <c r="D19" s="370"/>
      <c r="E19" s="370"/>
      <c r="F19" s="141"/>
      <c r="G19" s="214"/>
      <c r="H19" s="371"/>
      <c r="I19" s="203" t="s">
        <v>45</v>
      </c>
      <c r="J19" s="124">
        <v>5544.9</v>
      </c>
      <c r="K19" s="126">
        <v>5544.9</v>
      </c>
      <c r="L19" s="126"/>
      <c r="M19" s="49"/>
      <c r="N19" s="203"/>
      <c r="O19" s="97"/>
      <c r="P19" s="203"/>
      <c r="Q19" s="372"/>
      <c r="R19" s="308"/>
    </row>
    <row r="20" spans="1:18" s="341" customFormat="1" ht="16.5" customHeight="1" x14ac:dyDescent="0.2">
      <c r="A20" s="367"/>
      <c r="B20" s="368"/>
      <c r="C20" s="369"/>
      <c r="D20" s="370"/>
      <c r="E20" s="370"/>
      <c r="F20" s="141"/>
      <c r="G20" s="214"/>
      <c r="H20" s="371"/>
      <c r="I20" s="186" t="s">
        <v>146</v>
      </c>
      <c r="J20" s="117">
        <v>43.3</v>
      </c>
      <c r="K20" s="123"/>
      <c r="L20" s="123"/>
      <c r="M20" s="49"/>
      <c r="N20" s="203"/>
      <c r="O20" s="97"/>
      <c r="P20" s="203"/>
      <c r="Q20" s="372"/>
      <c r="R20" s="308"/>
    </row>
    <row r="21" spans="1:18" s="341" customFormat="1" ht="16.5" customHeight="1" x14ac:dyDescent="0.2">
      <c r="A21" s="367"/>
      <c r="B21" s="368"/>
      <c r="C21" s="369"/>
      <c r="D21" s="370"/>
      <c r="E21" s="370"/>
      <c r="F21" s="141"/>
      <c r="G21" s="214"/>
      <c r="H21" s="371"/>
      <c r="I21" s="177" t="s">
        <v>97</v>
      </c>
      <c r="J21" s="116"/>
      <c r="K21" s="122">
        <v>3.6</v>
      </c>
      <c r="L21" s="122"/>
      <c r="M21" s="49"/>
      <c r="N21" s="203"/>
      <c r="O21" s="97"/>
      <c r="P21" s="203"/>
      <c r="Q21" s="372"/>
      <c r="R21" s="308"/>
    </row>
    <row r="22" spans="1:18" s="341" customFormat="1" ht="16.5" customHeight="1" x14ac:dyDescent="0.2">
      <c r="A22" s="367"/>
      <c r="B22" s="368"/>
      <c r="C22" s="369"/>
      <c r="D22" s="370"/>
      <c r="E22" s="370"/>
      <c r="F22" s="141"/>
      <c r="G22" s="214"/>
      <c r="H22" s="371"/>
      <c r="I22" s="177" t="s">
        <v>3</v>
      </c>
      <c r="J22" s="116">
        <v>3.8</v>
      </c>
      <c r="K22" s="122">
        <v>3.8</v>
      </c>
      <c r="L22" s="122"/>
      <c r="M22" s="49"/>
      <c r="N22" s="203"/>
      <c r="O22" s="97"/>
      <c r="P22" s="203"/>
      <c r="Q22" s="372"/>
    </row>
    <row r="23" spans="1:18" s="341" customFormat="1" ht="16.5" customHeight="1" x14ac:dyDescent="0.2">
      <c r="A23" s="367"/>
      <c r="B23" s="368"/>
      <c r="C23" s="369"/>
      <c r="D23" s="370"/>
      <c r="E23" s="370"/>
      <c r="F23" s="141"/>
      <c r="G23" s="214"/>
      <c r="H23" s="371"/>
      <c r="I23" s="177" t="s">
        <v>4</v>
      </c>
      <c r="J23" s="116">
        <v>509.4</v>
      </c>
      <c r="K23" s="122">
        <v>509.4</v>
      </c>
      <c r="L23" s="122"/>
      <c r="M23" s="49"/>
      <c r="N23" s="203"/>
      <c r="O23" s="109"/>
      <c r="P23" s="203"/>
      <c r="Q23" s="372"/>
    </row>
    <row r="24" spans="1:18" s="341" customFormat="1" ht="14.25" customHeight="1" x14ac:dyDescent="0.2">
      <c r="A24" s="367"/>
      <c r="B24" s="374"/>
      <c r="C24" s="375"/>
      <c r="D24" s="376" t="s">
        <v>14</v>
      </c>
      <c r="E24" s="377"/>
      <c r="F24" s="2014" t="s">
        <v>147</v>
      </c>
      <c r="G24" s="214"/>
      <c r="H24" s="371"/>
      <c r="I24" s="203"/>
      <c r="J24" s="50"/>
      <c r="K24" s="66"/>
      <c r="L24" s="66"/>
      <c r="M24" s="323" t="s">
        <v>148</v>
      </c>
      <c r="N24" s="177">
        <v>47</v>
      </c>
      <c r="O24" s="101"/>
      <c r="P24" s="177"/>
      <c r="Q24" s="21"/>
      <c r="R24" s="378"/>
    </row>
    <row r="25" spans="1:18" s="341" customFormat="1" ht="14.25" customHeight="1" x14ac:dyDescent="0.2">
      <c r="A25" s="367"/>
      <c r="B25" s="374"/>
      <c r="C25" s="375"/>
      <c r="D25" s="379"/>
      <c r="E25" s="370"/>
      <c r="F25" s="2015"/>
      <c r="G25" s="214"/>
      <c r="H25" s="371"/>
      <c r="I25" s="203"/>
      <c r="J25" s="124"/>
      <c r="K25" s="126"/>
      <c r="L25" s="126"/>
      <c r="M25" s="215" t="s">
        <v>149</v>
      </c>
      <c r="N25" s="177">
        <v>7949</v>
      </c>
      <c r="O25" s="101"/>
      <c r="P25" s="177"/>
      <c r="Q25" s="21"/>
      <c r="R25" s="378"/>
    </row>
    <row r="26" spans="1:18" s="341" customFormat="1" ht="15" customHeight="1" thickBot="1" x14ac:dyDescent="0.25">
      <c r="A26" s="367"/>
      <c r="B26" s="368"/>
      <c r="C26" s="375"/>
      <c r="D26" s="379"/>
      <c r="E26" s="370"/>
      <c r="F26" s="2016"/>
      <c r="G26" s="214"/>
      <c r="H26" s="371"/>
      <c r="I26" s="203"/>
      <c r="J26" s="124"/>
      <c r="K26" s="126"/>
      <c r="L26" s="126"/>
      <c r="M26" s="311"/>
      <c r="N26" s="203"/>
      <c r="O26" s="97"/>
      <c r="P26" s="203"/>
      <c r="Q26" s="372"/>
      <c r="R26" s="378"/>
    </row>
    <row r="27" spans="1:18" s="341" customFormat="1" ht="15.75" customHeight="1" x14ac:dyDescent="0.2">
      <c r="A27" s="367"/>
      <c r="B27" s="368"/>
      <c r="C27" s="375"/>
      <c r="D27" s="379" t="s">
        <v>17</v>
      </c>
      <c r="E27" s="370"/>
      <c r="F27" s="2014" t="s">
        <v>150</v>
      </c>
      <c r="G27" s="214"/>
      <c r="H27" s="371"/>
      <c r="I27" s="203"/>
      <c r="J27" s="124"/>
      <c r="K27" s="126"/>
      <c r="L27" s="126"/>
      <c r="M27" s="220" t="s">
        <v>148</v>
      </c>
      <c r="N27" s="364">
        <v>7</v>
      </c>
      <c r="O27" s="365"/>
      <c r="P27" s="206"/>
      <c r="Q27" s="366"/>
    </row>
    <row r="28" spans="1:18" s="341" customFormat="1" ht="14.25" customHeight="1" x14ac:dyDescent="0.2">
      <c r="A28" s="367"/>
      <c r="B28" s="374"/>
      <c r="C28" s="375"/>
      <c r="D28" s="379"/>
      <c r="E28" s="370"/>
      <c r="F28" s="2015"/>
      <c r="G28" s="214"/>
      <c r="H28" s="371"/>
      <c r="I28" s="203"/>
      <c r="J28" s="380"/>
      <c r="K28" s="381"/>
      <c r="L28" s="381"/>
      <c r="M28" s="215" t="s">
        <v>149</v>
      </c>
      <c r="N28" s="177">
        <v>338</v>
      </c>
      <c r="O28" s="101"/>
      <c r="P28" s="177"/>
      <c r="Q28" s="21"/>
    </row>
    <row r="29" spans="1:18" s="341" customFormat="1" ht="15" customHeight="1" thickBot="1" x14ac:dyDescent="0.25">
      <c r="A29" s="367"/>
      <c r="B29" s="368"/>
      <c r="C29" s="375"/>
      <c r="D29" s="379"/>
      <c r="E29" s="370"/>
      <c r="F29" s="2113"/>
      <c r="G29" s="214"/>
      <c r="H29" s="371"/>
      <c r="I29" s="203"/>
      <c r="J29" s="124"/>
      <c r="K29" s="126"/>
      <c r="L29" s="126"/>
      <c r="M29" s="137"/>
      <c r="N29" s="382"/>
      <c r="O29" s="383"/>
      <c r="P29" s="382"/>
      <c r="Q29" s="384"/>
    </row>
    <row r="30" spans="1:18" s="341" customFormat="1" ht="12.75" customHeight="1" x14ac:dyDescent="0.2">
      <c r="A30" s="385"/>
      <c r="B30" s="368"/>
      <c r="C30" s="386"/>
      <c r="D30" s="360" t="s">
        <v>19</v>
      </c>
      <c r="E30" s="360"/>
      <c r="F30" s="2112" t="s">
        <v>90</v>
      </c>
      <c r="G30" s="214"/>
      <c r="H30" s="373"/>
      <c r="I30" s="203"/>
      <c r="J30" s="50"/>
      <c r="K30" s="66"/>
      <c r="L30" s="66"/>
      <c r="M30" s="229" t="s">
        <v>148</v>
      </c>
      <c r="N30" s="387">
        <v>4</v>
      </c>
      <c r="O30" s="308"/>
      <c r="P30" s="203"/>
      <c r="Q30" s="372"/>
    </row>
    <row r="31" spans="1:18" s="341" customFormat="1" ht="15.75" customHeight="1" x14ac:dyDescent="0.2">
      <c r="A31" s="385"/>
      <c r="B31" s="368"/>
      <c r="C31" s="369"/>
      <c r="D31" s="370"/>
      <c r="E31" s="370"/>
      <c r="F31" s="2015"/>
      <c r="G31" s="214"/>
      <c r="H31" s="373"/>
      <c r="I31" s="203"/>
      <c r="J31" s="124"/>
      <c r="K31" s="126"/>
      <c r="L31" s="126"/>
      <c r="M31" s="215" t="s">
        <v>149</v>
      </c>
      <c r="N31" s="216">
        <v>1301</v>
      </c>
      <c r="O31" s="101"/>
      <c r="P31" s="177"/>
      <c r="Q31" s="21"/>
    </row>
    <row r="32" spans="1:18" s="341" customFormat="1" ht="15.75" customHeight="1" thickBot="1" x14ac:dyDescent="0.25">
      <c r="A32" s="385"/>
      <c r="B32" s="368"/>
      <c r="C32" s="369"/>
      <c r="D32" s="388"/>
      <c r="E32" s="388"/>
      <c r="F32" s="2113"/>
      <c r="G32" s="214"/>
      <c r="H32" s="371"/>
      <c r="I32" s="203"/>
      <c r="J32" s="124"/>
      <c r="K32" s="126"/>
      <c r="L32" s="126"/>
      <c r="M32" s="49" t="s">
        <v>225</v>
      </c>
      <c r="N32" s="203">
        <v>904</v>
      </c>
      <c r="O32" s="97"/>
      <c r="P32" s="203"/>
      <c r="Q32" s="372"/>
    </row>
    <row r="33" spans="1:20" s="341" customFormat="1" ht="15.75" customHeight="1" x14ac:dyDescent="0.2">
      <c r="A33" s="355"/>
      <c r="B33" s="374"/>
      <c r="C33" s="369"/>
      <c r="D33" s="370" t="s">
        <v>21</v>
      </c>
      <c r="E33" s="370"/>
      <c r="F33" s="2112" t="s">
        <v>152</v>
      </c>
      <c r="G33" s="214"/>
      <c r="H33" s="389"/>
      <c r="I33" s="203"/>
      <c r="J33" s="390"/>
      <c r="K33" s="391"/>
      <c r="L33" s="66"/>
      <c r="M33" s="227" t="s">
        <v>148</v>
      </c>
      <c r="N33" s="392">
        <v>32</v>
      </c>
      <c r="O33" s="95"/>
      <c r="P33" s="232"/>
      <c r="Q33" s="393"/>
    </row>
    <row r="34" spans="1:20" s="341" customFormat="1" ht="15.75" customHeight="1" x14ac:dyDescent="0.2">
      <c r="A34" s="355"/>
      <c r="B34" s="374"/>
      <c r="C34" s="369"/>
      <c r="D34" s="370"/>
      <c r="E34" s="370"/>
      <c r="F34" s="2015"/>
      <c r="G34" s="214"/>
      <c r="H34" s="389"/>
      <c r="I34" s="203"/>
      <c r="J34" s="390"/>
      <c r="K34" s="391"/>
      <c r="L34" s="66"/>
      <c r="M34" s="229" t="s">
        <v>226</v>
      </c>
      <c r="N34" s="178">
        <v>2</v>
      </c>
      <c r="O34" s="109"/>
      <c r="P34" s="178"/>
      <c r="Q34" s="394"/>
    </row>
    <row r="35" spans="1:20" s="341" customFormat="1" ht="15.75" customHeight="1" x14ac:dyDescent="0.2">
      <c r="A35" s="355"/>
      <c r="B35" s="374"/>
      <c r="C35" s="369"/>
      <c r="D35" s="370"/>
      <c r="E35" s="370"/>
      <c r="F35" s="2015"/>
      <c r="G35" s="214"/>
      <c r="H35" s="389"/>
      <c r="I35" s="203"/>
      <c r="J35" s="124"/>
      <c r="K35" s="126"/>
      <c r="L35" s="126"/>
      <c r="M35" s="221" t="s">
        <v>149</v>
      </c>
      <c r="N35" s="186">
        <v>17606</v>
      </c>
      <c r="O35" s="91"/>
      <c r="P35" s="186"/>
      <c r="Q35" s="82"/>
    </row>
    <row r="36" spans="1:20" s="341" customFormat="1" ht="15.75" customHeight="1" x14ac:dyDescent="0.2">
      <c r="A36" s="355"/>
      <c r="B36" s="374"/>
      <c r="C36" s="369"/>
      <c r="D36" s="370"/>
      <c r="E36" s="370"/>
      <c r="F36" s="2016"/>
      <c r="G36" s="214"/>
      <c r="H36" s="389"/>
      <c r="I36" s="203"/>
      <c r="J36" s="395"/>
      <c r="K36" s="396"/>
      <c r="L36" s="126"/>
      <c r="M36" s="49" t="s">
        <v>151</v>
      </c>
      <c r="N36" s="387">
        <v>17423</v>
      </c>
      <c r="O36" s="97"/>
      <c r="P36" s="203"/>
      <c r="Q36" s="372"/>
    </row>
    <row r="37" spans="1:20" s="341" customFormat="1" ht="44.25" customHeight="1" thickBot="1" x14ac:dyDescent="0.25">
      <c r="A37" s="355"/>
      <c r="B37" s="374"/>
      <c r="C37" s="369"/>
      <c r="D37" s="370"/>
      <c r="E37" s="397" t="s">
        <v>14</v>
      </c>
      <c r="F37" s="398" t="s">
        <v>227</v>
      </c>
      <c r="G37" s="214"/>
      <c r="H37" s="389"/>
      <c r="I37" s="203"/>
      <c r="J37" s="50"/>
      <c r="K37" s="66"/>
      <c r="L37" s="66"/>
      <c r="M37" s="219" t="s">
        <v>148</v>
      </c>
      <c r="N37" s="225">
        <v>6</v>
      </c>
      <c r="O37" s="226"/>
      <c r="P37" s="399"/>
      <c r="Q37" s="400"/>
    </row>
    <row r="38" spans="1:20" s="341" customFormat="1" ht="21.75" customHeight="1" x14ac:dyDescent="0.2">
      <c r="A38" s="355"/>
      <c r="B38" s="374"/>
      <c r="C38" s="369"/>
      <c r="D38" s="360" t="s">
        <v>22</v>
      </c>
      <c r="E38" s="360"/>
      <c r="F38" s="2112" t="s">
        <v>154</v>
      </c>
      <c r="G38" s="214"/>
      <c r="H38" s="389"/>
      <c r="I38" s="203"/>
      <c r="J38" s="124"/>
      <c r="K38" s="126"/>
      <c r="L38" s="126"/>
      <c r="M38" s="227" t="s">
        <v>148</v>
      </c>
      <c r="N38" s="392">
        <v>5</v>
      </c>
      <c r="O38" s="95"/>
      <c r="P38" s="232"/>
      <c r="Q38" s="393"/>
    </row>
    <row r="39" spans="1:20" s="341" customFormat="1" ht="21.75" customHeight="1" thickBot="1" x14ac:dyDescent="0.25">
      <c r="A39" s="355"/>
      <c r="B39" s="374"/>
      <c r="C39" s="369"/>
      <c r="D39" s="388"/>
      <c r="E39" s="388"/>
      <c r="F39" s="2113"/>
      <c r="G39" s="214"/>
      <c r="H39" s="389"/>
      <c r="I39" s="203"/>
      <c r="J39" s="124"/>
      <c r="K39" s="126"/>
      <c r="L39" s="126"/>
      <c r="M39" s="219" t="s">
        <v>149</v>
      </c>
      <c r="N39" s="225">
        <v>1100</v>
      </c>
      <c r="O39" s="226"/>
      <c r="P39" s="399"/>
      <c r="Q39" s="400"/>
    </row>
    <row r="40" spans="1:20" s="341" customFormat="1" ht="21.75" customHeight="1" x14ac:dyDescent="0.2">
      <c r="A40" s="355"/>
      <c r="B40" s="374"/>
      <c r="C40" s="369"/>
      <c r="D40" s="370" t="s">
        <v>175</v>
      </c>
      <c r="E40" s="370"/>
      <c r="F40" s="2114" t="s">
        <v>228</v>
      </c>
      <c r="G40" s="103"/>
      <c r="H40" s="401"/>
      <c r="I40" s="203"/>
      <c r="J40" s="124"/>
      <c r="K40" s="126"/>
      <c r="L40" s="126"/>
      <c r="M40" s="2098" t="s">
        <v>229</v>
      </c>
      <c r="N40" s="364">
        <v>2019</v>
      </c>
      <c r="O40" s="96"/>
      <c r="P40" s="206"/>
      <c r="Q40" s="366"/>
    </row>
    <row r="41" spans="1:20" s="405" customFormat="1" ht="19.5" customHeight="1" thickBot="1" x14ac:dyDescent="0.25">
      <c r="A41" s="367"/>
      <c r="B41" s="374"/>
      <c r="C41" s="386"/>
      <c r="D41" s="370"/>
      <c r="E41" s="370"/>
      <c r="F41" s="1879"/>
      <c r="G41" s="402"/>
      <c r="H41" s="403"/>
      <c r="I41" s="404"/>
      <c r="J41" s="124"/>
      <c r="K41" s="126"/>
      <c r="L41" s="126"/>
      <c r="M41" s="2099"/>
      <c r="N41" s="217"/>
      <c r="O41" s="109"/>
      <c r="P41" s="178"/>
      <c r="Q41" s="394"/>
    </row>
    <row r="42" spans="1:20" s="341" customFormat="1" ht="16.5" customHeight="1" x14ac:dyDescent="0.2">
      <c r="A42" s="385"/>
      <c r="B42" s="374"/>
      <c r="C42" s="369"/>
      <c r="D42" s="360" t="s">
        <v>178</v>
      </c>
      <c r="E42" s="360"/>
      <c r="F42" s="2112" t="s">
        <v>155</v>
      </c>
      <c r="G42" s="315"/>
      <c r="H42" s="371"/>
      <c r="I42" s="203"/>
      <c r="J42" s="50"/>
      <c r="K42" s="66"/>
      <c r="L42" s="66"/>
      <c r="M42" s="227" t="s">
        <v>148</v>
      </c>
      <c r="N42" s="392">
        <v>6</v>
      </c>
      <c r="O42" s="95"/>
      <c r="P42" s="232"/>
      <c r="Q42" s="393"/>
    </row>
    <row r="43" spans="1:20" s="341" customFormat="1" ht="15.75" customHeight="1" x14ac:dyDescent="0.2">
      <c r="A43" s="385"/>
      <c r="B43" s="374"/>
      <c r="C43" s="369"/>
      <c r="D43" s="370"/>
      <c r="E43" s="370"/>
      <c r="F43" s="2015"/>
      <c r="G43" s="315"/>
      <c r="H43" s="371"/>
      <c r="I43" s="203"/>
      <c r="J43" s="395"/>
      <c r="K43" s="396"/>
      <c r="L43" s="396"/>
      <c r="M43" s="221" t="s">
        <v>149</v>
      </c>
      <c r="N43" s="223">
        <v>5564</v>
      </c>
      <c r="O43" s="91"/>
      <c r="P43" s="186"/>
      <c r="Q43" s="82"/>
      <c r="S43" s="1981"/>
      <c r="T43" s="1981"/>
    </row>
    <row r="44" spans="1:20" s="341" customFormat="1" ht="43.5" customHeight="1" x14ac:dyDescent="0.2">
      <c r="A44" s="385"/>
      <c r="B44" s="374"/>
      <c r="C44" s="369"/>
      <c r="D44" s="370"/>
      <c r="E44" s="370"/>
      <c r="F44" s="2015"/>
      <c r="G44" s="315"/>
      <c r="H44" s="371"/>
      <c r="I44" s="203"/>
      <c r="J44" s="124"/>
      <c r="K44" s="126"/>
      <c r="L44" s="126"/>
      <c r="M44" s="215" t="s">
        <v>230</v>
      </c>
      <c r="N44" s="223">
        <f>SUM(N45:N47)</f>
        <v>230</v>
      </c>
      <c r="O44" s="91"/>
      <c r="P44" s="186"/>
      <c r="Q44" s="82"/>
      <c r="S44" s="1981"/>
      <c r="T44" s="1981"/>
    </row>
    <row r="45" spans="1:20" s="341" customFormat="1" ht="17.25" customHeight="1" x14ac:dyDescent="0.2">
      <c r="A45" s="385"/>
      <c r="B45" s="374"/>
      <c r="C45" s="369"/>
      <c r="D45" s="370"/>
      <c r="E45" s="370"/>
      <c r="F45" s="2015"/>
      <c r="G45" s="315"/>
      <c r="H45" s="371"/>
      <c r="I45" s="203"/>
      <c r="J45" s="124"/>
      <c r="K45" s="126"/>
      <c r="L45" s="126"/>
      <c r="M45" s="221" t="s">
        <v>231</v>
      </c>
      <c r="N45" s="223">
        <v>100</v>
      </c>
      <c r="O45" s="91"/>
      <c r="P45" s="186"/>
      <c r="Q45" s="82"/>
      <c r="S45" s="308"/>
      <c r="T45" s="308"/>
    </row>
    <row r="46" spans="1:20" s="341" customFormat="1" ht="18" customHeight="1" x14ac:dyDescent="0.2">
      <c r="A46" s="385"/>
      <c r="B46" s="374"/>
      <c r="C46" s="369"/>
      <c r="D46" s="370"/>
      <c r="E46" s="370"/>
      <c r="F46" s="2015"/>
      <c r="G46" s="315"/>
      <c r="H46" s="371"/>
      <c r="I46" s="203"/>
      <c r="J46" s="124"/>
      <c r="K46" s="126"/>
      <c r="L46" s="126"/>
      <c r="M46" s="221" t="s">
        <v>232</v>
      </c>
      <c r="N46" s="223">
        <v>15</v>
      </c>
      <c r="O46" s="91"/>
      <c r="P46" s="186"/>
      <c r="Q46" s="82"/>
      <c r="S46" s="308"/>
      <c r="T46" s="308"/>
    </row>
    <row r="47" spans="1:20" s="341" customFormat="1" ht="30" customHeight="1" x14ac:dyDescent="0.2">
      <c r="A47" s="385"/>
      <c r="B47" s="374"/>
      <c r="C47" s="369"/>
      <c r="D47" s="370"/>
      <c r="E47" s="370"/>
      <c r="F47" s="2015"/>
      <c r="G47" s="315"/>
      <c r="H47" s="371"/>
      <c r="I47" s="203"/>
      <c r="J47" s="124"/>
      <c r="K47" s="126"/>
      <c r="L47" s="126"/>
      <c r="M47" s="221" t="s">
        <v>233</v>
      </c>
      <c r="N47" s="223">
        <v>115</v>
      </c>
      <c r="O47" s="91"/>
      <c r="P47" s="186"/>
      <c r="Q47" s="82"/>
      <c r="S47" s="308"/>
      <c r="T47" s="308"/>
    </row>
    <row r="48" spans="1:20" s="341" customFormat="1" ht="55.5" customHeight="1" thickBot="1" x14ac:dyDescent="0.25">
      <c r="A48" s="385"/>
      <c r="B48" s="374"/>
      <c r="C48" s="369"/>
      <c r="D48" s="388"/>
      <c r="E48" s="388"/>
      <c r="F48" s="2113"/>
      <c r="G48" s="315"/>
      <c r="H48" s="371"/>
      <c r="I48" s="203"/>
      <c r="J48" s="124"/>
      <c r="K48" s="126"/>
      <c r="L48" s="126"/>
      <c r="M48" s="219" t="s">
        <v>234</v>
      </c>
      <c r="N48" s="399">
        <v>5000</v>
      </c>
      <c r="O48" s="226"/>
      <c r="P48" s="399"/>
      <c r="Q48" s="400"/>
      <c r="S48" s="308"/>
      <c r="T48" s="308"/>
    </row>
    <row r="49" spans="1:17" s="341" customFormat="1" ht="12.75" customHeight="1" x14ac:dyDescent="0.2">
      <c r="A49" s="385"/>
      <c r="B49" s="374"/>
      <c r="C49" s="369"/>
      <c r="D49" s="370" t="s">
        <v>235</v>
      </c>
      <c r="E49" s="370"/>
      <c r="F49" s="2179" t="s">
        <v>62</v>
      </c>
      <c r="G49" s="309"/>
      <c r="H49" s="371"/>
      <c r="I49" s="203"/>
      <c r="J49" s="50"/>
      <c r="K49" s="66"/>
      <c r="L49" s="66"/>
      <c r="M49" s="2098" t="s">
        <v>156</v>
      </c>
      <c r="N49" s="364">
        <v>8500</v>
      </c>
      <c r="O49" s="96"/>
      <c r="P49" s="206"/>
      <c r="Q49" s="366"/>
    </row>
    <row r="50" spans="1:17" s="341" customFormat="1" ht="16.5" customHeight="1" thickBot="1" x14ac:dyDescent="0.25">
      <c r="A50" s="385"/>
      <c r="B50" s="374"/>
      <c r="C50" s="369"/>
      <c r="D50" s="370"/>
      <c r="E50" s="370"/>
      <c r="F50" s="2020"/>
      <c r="G50" s="309"/>
      <c r="H50" s="371"/>
      <c r="I50" s="203"/>
      <c r="J50" s="124"/>
      <c r="K50" s="126"/>
      <c r="L50" s="126"/>
      <c r="M50" s="2099"/>
      <c r="N50" s="387"/>
      <c r="O50" s="97"/>
      <c r="P50" s="203"/>
      <c r="Q50" s="372"/>
    </row>
    <row r="51" spans="1:17" s="341" customFormat="1" ht="14.25" customHeight="1" x14ac:dyDescent="0.2">
      <c r="A51" s="385"/>
      <c r="B51" s="374"/>
      <c r="C51" s="369"/>
      <c r="D51" s="377" t="s">
        <v>236</v>
      </c>
      <c r="E51" s="377"/>
      <c r="F51" s="1989" t="s">
        <v>157</v>
      </c>
      <c r="G51" s="309"/>
      <c r="H51" s="371"/>
      <c r="I51" s="203"/>
      <c r="J51" s="124"/>
      <c r="K51" s="126"/>
      <c r="L51" s="126"/>
      <c r="M51" s="327" t="s">
        <v>120</v>
      </c>
      <c r="N51" s="364">
        <v>85</v>
      </c>
      <c r="O51" s="96"/>
      <c r="P51" s="206"/>
      <c r="Q51" s="366"/>
    </row>
    <row r="52" spans="1:17" s="341" customFormat="1" ht="14.25" customHeight="1" x14ac:dyDescent="0.2">
      <c r="A52" s="385"/>
      <c r="B52" s="374"/>
      <c r="C52" s="369"/>
      <c r="D52" s="370"/>
      <c r="E52" s="370"/>
      <c r="F52" s="1990"/>
      <c r="G52" s="309"/>
      <c r="H52" s="371"/>
      <c r="I52" s="203"/>
      <c r="J52" s="124"/>
      <c r="K52" s="126"/>
      <c r="L52" s="126"/>
      <c r="M52" s="311"/>
      <c r="N52" s="387"/>
      <c r="O52" s="97"/>
      <c r="P52" s="203"/>
      <c r="Q52" s="372"/>
    </row>
    <row r="53" spans="1:17" s="341" customFormat="1" ht="14.25" customHeight="1" thickBot="1" x14ac:dyDescent="0.25">
      <c r="A53" s="385"/>
      <c r="B53" s="374"/>
      <c r="C53" s="369"/>
      <c r="D53" s="406"/>
      <c r="E53" s="406"/>
      <c r="F53" s="2100"/>
      <c r="G53" s="309"/>
      <c r="H53" s="371"/>
      <c r="I53" s="203"/>
      <c r="J53" s="124"/>
      <c r="K53" s="126"/>
      <c r="L53" s="126"/>
      <c r="M53" s="328"/>
      <c r="N53" s="407"/>
      <c r="O53" s="383"/>
      <c r="P53" s="382"/>
      <c r="Q53" s="384"/>
    </row>
    <row r="54" spans="1:17" s="341" customFormat="1" ht="12.75" customHeight="1" x14ac:dyDescent="0.2">
      <c r="A54" s="408"/>
      <c r="B54" s="368"/>
      <c r="C54" s="375"/>
      <c r="D54" s="379" t="s">
        <v>5</v>
      </c>
      <c r="E54" s="370"/>
      <c r="F54" s="1989" t="s">
        <v>158</v>
      </c>
      <c r="G54" s="319"/>
      <c r="H54" s="409"/>
      <c r="I54" s="203"/>
      <c r="J54" s="390"/>
      <c r="K54" s="391"/>
      <c r="L54" s="66"/>
      <c r="M54" s="2098" t="s">
        <v>156</v>
      </c>
      <c r="N54" s="364">
        <v>150</v>
      </c>
      <c r="O54" s="96"/>
      <c r="P54" s="206"/>
      <c r="Q54" s="366"/>
    </row>
    <row r="55" spans="1:17" s="341" customFormat="1" ht="17.25" customHeight="1" thickBot="1" x14ac:dyDescent="0.25">
      <c r="A55" s="408"/>
      <c r="B55" s="368"/>
      <c r="C55" s="375"/>
      <c r="D55" s="379"/>
      <c r="E55" s="370"/>
      <c r="F55" s="2100"/>
      <c r="G55" s="319"/>
      <c r="H55" s="389"/>
      <c r="I55" s="203"/>
      <c r="J55" s="410"/>
      <c r="K55" s="411"/>
      <c r="L55" s="126"/>
      <c r="M55" s="2099"/>
      <c r="N55" s="412"/>
      <c r="O55" s="413"/>
      <c r="P55" s="412"/>
      <c r="Q55" s="372"/>
    </row>
    <row r="56" spans="1:17" s="341" customFormat="1" ht="42" customHeight="1" x14ac:dyDescent="0.2">
      <c r="A56" s="408"/>
      <c r="B56" s="368"/>
      <c r="C56" s="375"/>
      <c r="D56" s="376" t="s">
        <v>237</v>
      </c>
      <c r="E56" s="377"/>
      <c r="F56" s="320" t="s">
        <v>159</v>
      </c>
      <c r="G56" s="309"/>
      <c r="H56" s="371"/>
      <c r="I56" s="203"/>
      <c r="J56" s="239"/>
      <c r="K56" s="62"/>
      <c r="L56" s="62"/>
      <c r="M56" s="227" t="s">
        <v>238</v>
      </c>
      <c r="N56" s="392">
        <v>695</v>
      </c>
      <c r="O56" s="95"/>
      <c r="P56" s="232"/>
      <c r="Q56" s="393"/>
    </row>
    <row r="57" spans="1:17" ht="16.5" customHeight="1" thickBot="1" x14ac:dyDescent="0.25">
      <c r="A57" s="408"/>
      <c r="B57" s="368"/>
      <c r="C57" s="375"/>
      <c r="D57" s="379"/>
      <c r="E57" s="370"/>
      <c r="F57" s="290"/>
      <c r="G57" s="309"/>
      <c r="H57" s="371"/>
      <c r="I57" s="203"/>
      <c r="J57" s="239"/>
      <c r="K57" s="62"/>
      <c r="L57" s="126"/>
      <c r="M57" s="137" t="s">
        <v>239</v>
      </c>
      <c r="N57" s="407">
        <v>20</v>
      </c>
      <c r="O57" s="383"/>
      <c r="P57" s="382"/>
      <c r="Q57" s="384"/>
    </row>
    <row r="58" spans="1:17" ht="30.75" customHeight="1" thickBot="1" x14ac:dyDescent="0.25">
      <c r="A58" s="408"/>
      <c r="B58" s="368"/>
      <c r="C58" s="375"/>
      <c r="D58" s="414"/>
      <c r="E58" s="370"/>
      <c r="F58" s="290"/>
      <c r="G58" s="309"/>
      <c r="H58" s="371"/>
      <c r="I58" s="203"/>
      <c r="J58" s="410"/>
      <c r="K58" s="411"/>
      <c r="L58" s="126"/>
      <c r="M58" s="137" t="s">
        <v>160</v>
      </c>
      <c r="N58" s="407">
        <v>15000</v>
      </c>
      <c r="O58" s="415"/>
      <c r="P58" s="382"/>
      <c r="Q58" s="416"/>
    </row>
    <row r="59" spans="1:17" ht="21" customHeight="1" x14ac:dyDescent="0.2">
      <c r="A59" s="408"/>
      <c r="B59" s="368"/>
      <c r="C59" s="375"/>
      <c r="D59" s="379" t="s">
        <v>240</v>
      </c>
      <c r="E59" s="377"/>
      <c r="F59" s="1923" t="s">
        <v>241</v>
      </c>
      <c r="G59" s="309"/>
      <c r="H59" s="417"/>
      <c r="I59" s="203"/>
      <c r="J59" s="410"/>
      <c r="K59" s="411"/>
      <c r="L59" s="126"/>
      <c r="M59" s="227" t="s">
        <v>161</v>
      </c>
      <c r="N59" s="392">
        <v>158</v>
      </c>
      <c r="O59" s="95"/>
      <c r="P59" s="232"/>
      <c r="Q59" s="418"/>
    </row>
    <row r="60" spans="1:17" ht="21" customHeight="1" thickBot="1" x14ac:dyDescent="0.25">
      <c r="A60" s="408"/>
      <c r="B60" s="368"/>
      <c r="C60" s="375"/>
      <c r="D60" s="379"/>
      <c r="E60" s="370"/>
      <c r="F60" s="1924"/>
      <c r="G60" s="212"/>
      <c r="H60" s="417"/>
      <c r="I60" s="203"/>
      <c r="J60" s="410"/>
      <c r="K60" s="411"/>
      <c r="L60" s="126"/>
      <c r="M60" s="219" t="s">
        <v>162</v>
      </c>
      <c r="N60" s="399">
        <v>9</v>
      </c>
      <c r="O60" s="226"/>
      <c r="P60" s="399"/>
      <c r="Q60" s="419"/>
    </row>
    <row r="61" spans="1:17" ht="28.5" customHeight="1" x14ac:dyDescent="0.2">
      <c r="A61" s="367"/>
      <c r="B61" s="368"/>
      <c r="C61" s="375"/>
      <c r="D61" s="376" t="s">
        <v>242</v>
      </c>
      <c r="E61" s="377"/>
      <c r="F61" s="1989" t="s">
        <v>243</v>
      </c>
      <c r="G61" s="309"/>
      <c r="H61" s="417"/>
      <c r="I61" s="203"/>
      <c r="J61" s="124"/>
      <c r="K61" s="126"/>
      <c r="L61" s="126"/>
      <c r="M61" s="227" t="s">
        <v>244</v>
      </c>
      <c r="N61" s="232">
        <v>1</v>
      </c>
      <c r="O61" s="95"/>
      <c r="P61" s="232"/>
      <c r="Q61" s="393"/>
    </row>
    <row r="62" spans="1:17" ht="26.25" customHeight="1" x14ac:dyDescent="0.2">
      <c r="A62" s="367"/>
      <c r="B62" s="368"/>
      <c r="C62" s="375"/>
      <c r="D62" s="414"/>
      <c r="E62" s="406"/>
      <c r="F62" s="2100"/>
      <c r="G62" s="309"/>
      <c r="H62" s="417"/>
      <c r="I62" s="203"/>
      <c r="J62" s="124"/>
      <c r="K62" s="126"/>
      <c r="L62" s="126"/>
      <c r="M62" s="221" t="s">
        <v>245</v>
      </c>
      <c r="N62" s="186">
        <v>5</v>
      </c>
      <c r="O62" s="91"/>
      <c r="P62" s="186"/>
      <c r="Q62" s="82"/>
    </row>
    <row r="63" spans="1:17" ht="42" customHeight="1" thickBot="1" x14ac:dyDescent="0.25">
      <c r="A63" s="367"/>
      <c r="B63" s="368"/>
      <c r="C63" s="375"/>
      <c r="D63" s="379" t="s">
        <v>246</v>
      </c>
      <c r="E63" s="370"/>
      <c r="F63" s="318" t="s">
        <v>163</v>
      </c>
      <c r="G63" s="212"/>
      <c r="H63" s="417"/>
      <c r="I63" s="203"/>
      <c r="J63" s="380"/>
      <c r="K63" s="381"/>
      <c r="L63" s="381"/>
      <c r="M63" s="310"/>
      <c r="N63" s="177"/>
      <c r="O63" s="101"/>
      <c r="P63" s="177"/>
      <c r="Q63" s="21"/>
    </row>
    <row r="64" spans="1:17" ht="15.75" customHeight="1" x14ac:dyDescent="0.2">
      <c r="A64" s="367"/>
      <c r="B64" s="368"/>
      <c r="C64" s="375"/>
      <c r="D64" s="379"/>
      <c r="E64" s="377" t="s">
        <v>14</v>
      </c>
      <c r="F64" s="300" t="s">
        <v>164</v>
      </c>
      <c r="G64" s="309"/>
      <c r="H64" s="417"/>
      <c r="I64" s="203"/>
      <c r="J64" s="124"/>
      <c r="K64" s="126"/>
      <c r="L64" s="126"/>
      <c r="M64" s="220" t="s">
        <v>247</v>
      </c>
      <c r="N64" s="392">
        <v>93</v>
      </c>
      <c r="O64" s="95"/>
      <c r="P64" s="232"/>
      <c r="Q64" s="418"/>
    </row>
    <row r="65" spans="1:17" ht="15.75" customHeight="1" x14ac:dyDescent="0.2">
      <c r="A65" s="367"/>
      <c r="B65" s="368"/>
      <c r="C65" s="375"/>
      <c r="D65" s="379"/>
      <c r="E65" s="406"/>
      <c r="F65" s="302"/>
      <c r="G65" s="309"/>
      <c r="H65" s="417"/>
      <c r="I65" s="203"/>
      <c r="J65" s="124"/>
      <c r="K65" s="126"/>
      <c r="L65" s="126"/>
      <c r="M65" s="323" t="s">
        <v>248</v>
      </c>
      <c r="N65" s="223">
        <v>71</v>
      </c>
      <c r="O65" s="91"/>
      <c r="P65" s="186"/>
      <c r="Q65" s="48"/>
    </row>
    <row r="66" spans="1:17" ht="17.25" customHeight="1" thickBot="1" x14ac:dyDescent="0.25">
      <c r="A66" s="367"/>
      <c r="B66" s="368"/>
      <c r="C66" s="375"/>
      <c r="D66" s="379"/>
      <c r="E66" s="370" t="s">
        <v>17</v>
      </c>
      <c r="F66" s="57" t="s">
        <v>165</v>
      </c>
      <c r="G66" s="309"/>
      <c r="H66" s="417"/>
      <c r="I66" s="203"/>
      <c r="J66" s="124"/>
      <c r="K66" s="126"/>
      <c r="L66" s="126"/>
      <c r="M66" s="328" t="s">
        <v>148</v>
      </c>
      <c r="N66" s="382">
        <v>2</v>
      </c>
      <c r="O66" s="383"/>
      <c r="P66" s="382"/>
      <c r="Q66" s="420"/>
    </row>
    <row r="67" spans="1:17" ht="29.25" customHeight="1" x14ac:dyDescent="0.2">
      <c r="A67" s="367"/>
      <c r="B67" s="368"/>
      <c r="C67" s="375"/>
      <c r="D67" s="379"/>
      <c r="E67" s="377" t="s">
        <v>19</v>
      </c>
      <c r="F67" s="421" t="s">
        <v>249</v>
      </c>
      <c r="G67" s="314" t="s">
        <v>194</v>
      </c>
      <c r="H67" s="417"/>
      <c r="I67" s="203"/>
      <c r="J67" s="50"/>
      <c r="K67" s="66"/>
      <c r="L67" s="126"/>
      <c r="M67" s="327"/>
      <c r="N67" s="206"/>
      <c r="O67" s="96"/>
      <c r="P67" s="206"/>
      <c r="Q67" s="422"/>
    </row>
    <row r="68" spans="1:17" ht="15.75" customHeight="1" x14ac:dyDescent="0.2">
      <c r="A68" s="367"/>
      <c r="B68" s="368"/>
      <c r="C68" s="375"/>
      <c r="D68" s="379"/>
      <c r="E68" s="370"/>
      <c r="F68" s="2101" t="s">
        <v>250</v>
      </c>
      <c r="G68" s="214"/>
      <c r="H68" s="417"/>
      <c r="I68" s="203"/>
      <c r="J68" s="50"/>
      <c r="K68" s="66"/>
      <c r="L68" s="66"/>
      <c r="M68" s="322" t="s">
        <v>153</v>
      </c>
      <c r="N68" s="178">
        <v>72</v>
      </c>
      <c r="O68" s="109"/>
      <c r="P68" s="178"/>
      <c r="Q68" s="180"/>
    </row>
    <row r="69" spans="1:17" ht="15.75" customHeight="1" x14ac:dyDescent="0.2">
      <c r="A69" s="367"/>
      <c r="B69" s="368"/>
      <c r="C69" s="375"/>
      <c r="D69" s="379"/>
      <c r="E69" s="370"/>
      <c r="F69" s="2102"/>
      <c r="G69" s="214"/>
      <c r="H69" s="417"/>
      <c r="I69" s="203"/>
      <c r="J69" s="50"/>
      <c r="K69" s="66"/>
      <c r="L69" s="66"/>
      <c r="M69" s="311" t="s">
        <v>251</v>
      </c>
      <c r="N69" s="203">
        <v>8</v>
      </c>
      <c r="O69" s="97"/>
      <c r="P69" s="203"/>
      <c r="Q69" s="146"/>
    </row>
    <row r="70" spans="1:17" ht="30" customHeight="1" thickBot="1" x14ac:dyDescent="0.25">
      <c r="A70" s="367"/>
      <c r="B70" s="368"/>
      <c r="C70" s="375"/>
      <c r="D70" s="379"/>
      <c r="E70" s="406"/>
      <c r="F70" s="57" t="s">
        <v>252</v>
      </c>
      <c r="G70" s="214"/>
      <c r="H70" s="417"/>
      <c r="I70" s="203"/>
      <c r="J70" s="50"/>
      <c r="K70" s="66"/>
      <c r="L70" s="66"/>
      <c r="M70" s="423" t="s">
        <v>253</v>
      </c>
      <c r="N70" s="399">
        <v>2</v>
      </c>
      <c r="O70" s="226"/>
      <c r="P70" s="399"/>
      <c r="Q70" s="27"/>
    </row>
    <row r="71" spans="1:17" ht="18" customHeight="1" x14ac:dyDescent="0.2">
      <c r="A71" s="424"/>
      <c r="B71" s="425"/>
      <c r="C71" s="426"/>
      <c r="D71" s="379"/>
      <c r="E71" s="370" t="s">
        <v>21</v>
      </c>
      <c r="F71" s="1923" t="s">
        <v>254</v>
      </c>
      <c r="G71" s="2103" t="s">
        <v>57</v>
      </c>
      <c r="H71" s="371"/>
      <c r="I71" s="203"/>
      <c r="J71" s="124"/>
      <c r="K71" s="126"/>
      <c r="L71" s="126"/>
      <c r="M71" s="227" t="s">
        <v>148</v>
      </c>
      <c r="N71" s="232">
        <v>4</v>
      </c>
      <c r="O71" s="95"/>
      <c r="P71" s="232"/>
      <c r="Q71" s="418"/>
    </row>
    <row r="72" spans="1:17" ht="18" customHeight="1" thickBot="1" x14ac:dyDescent="0.25">
      <c r="A72" s="424"/>
      <c r="B72" s="425"/>
      <c r="C72" s="426"/>
      <c r="D72" s="379"/>
      <c r="E72" s="370"/>
      <c r="F72" s="1924"/>
      <c r="G72" s="2104"/>
      <c r="H72" s="371"/>
      <c r="I72" s="203"/>
      <c r="J72" s="124"/>
      <c r="K72" s="126"/>
      <c r="L72" s="126"/>
      <c r="M72" s="311" t="s">
        <v>153</v>
      </c>
      <c r="N72" s="203">
        <v>44</v>
      </c>
      <c r="O72" s="97"/>
      <c r="P72" s="203"/>
      <c r="Q72" s="261"/>
    </row>
    <row r="73" spans="1:17" ht="29.25" customHeight="1" x14ac:dyDescent="0.2">
      <c r="A73" s="367"/>
      <c r="B73" s="368"/>
      <c r="C73" s="375"/>
      <c r="D73" s="379"/>
      <c r="E73" s="377" t="s">
        <v>22</v>
      </c>
      <c r="F73" s="300" t="s">
        <v>255</v>
      </c>
      <c r="G73" s="309"/>
      <c r="H73" s="417"/>
      <c r="I73" s="203"/>
      <c r="J73" s="124"/>
      <c r="K73" s="126"/>
      <c r="L73" s="126"/>
      <c r="M73" s="227" t="s">
        <v>256</v>
      </c>
      <c r="N73" s="392">
        <v>1</v>
      </c>
      <c r="O73" s="95"/>
      <c r="P73" s="232"/>
      <c r="Q73" s="393"/>
    </row>
    <row r="74" spans="1:17" ht="16.5" customHeight="1" thickBot="1" x14ac:dyDescent="0.25">
      <c r="A74" s="367"/>
      <c r="B74" s="368"/>
      <c r="C74" s="375"/>
      <c r="D74" s="414"/>
      <c r="E74" s="406"/>
      <c r="F74" s="302"/>
      <c r="G74" s="309"/>
      <c r="H74" s="417"/>
      <c r="I74" s="203"/>
      <c r="J74" s="124"/>
      <c r="K74" s="126"/>
      <c r="L74" s="126"/>
      <c r="M74" s="219" t="s">
        <v>257</v>
      </c>
      <c r="N74" s="427">
        <v>1.26</v>
      </c>
      <c r="O74" s="428"/>
      <c r="P74" s="427"/>
      <c r="Q74" s="429"/>
    </row>
    <row r="75" spans="1:17" ht="53.25" customHeight="1" x14ac:dyDescent="0.2">
      <c r="A75" s="430"/>
      <c r="B75" s="431"/>
      <c r="C75" s="432"/>
      <c r="D75" s="370" t="s">
        <v>258</v>
      </c>
      <c r="E75" s="370"/>
      <c r="F75" s="300" t="s">
        <v>121</v>
      </c>
      <c r="G75" s="233"/>
      <c r="H75" s="433"/>
      <c r="I75" s="404"/>
      <c r="J75" s="410"/>
      <c r="K75" s="411"/>
      <c r="L75" s="411"/>
      <c r="M75" s="234" t="s">
        <v>166</v>
      </c>
      <c r="N75" s="236">
        <v>473</v>
      </c>
      <c r="O75" s="92"/>
      <c r="P75" s="236"/>
      <c r="Q75" s="48"/>
    </row>
    <row r="76" spans="1:17" ht="78.75" customHeight="1" x14ac:dyDescent="0.2">
      <c r="A76" s="430"/>
      <c r="B76" s="431"/>
      <c r="C76" s="432"/>
      <c r="D76" s="370"/>
      <c r="E76" s="370"/>
      <c r="F76" s="301"/>
      <c r="G76" s="235"/>
      <c r="H76" s="433"/>
      <c r="I76" s="404"/>
      <c r="J76" s="410"/>
      <c r="K76" s="411"/>
      <c r="L76" s="411"/>
      <c r="M76" s="238" t="s">
        <v>259</v>
      </c>
      <c r="N76" s="187">
        <v>72</v>
      </c>
      <c r="O76" s="240"/>
      <c r="P76" s="187"/>
      <c r="Q76" s="261"/>
    </row>
    <row r="77" spans="1:17" ht="16.5" customHeight="1" thickBot="1" x14ac:dyDescent="0.25">
      <c r="A77" s="430"/>
      <c r="B77" s="431"/>
      <c r="C77" s="432"/>
      <c r="D77" s="406"/>
      <c r="E77" s="406"/>
      <c r="F77" s="302"/>
      <c r="G77" s="307"/>
      <c r="H77" s="403"/>
      <c r="I77" s="404"/>
      <c r="J77" s="239"/>
      <c r="K77" s="62"/>
      <c r="L77" s="62"/>
      <c r="M77" s="241" t="s">
        <v>167</v>
      </c>
      <c r="N77" s="434">
        <v>14.5</v>
      </c>
      <c r="O77" s="193"/>
      <c r="P77" s="434"/>
      <c r="Q77" s="419"/>
    </row>
    <row r="78" spans="1:17" ht="18.75" customHeight="1" thickBot="1" x14ac:dyDescent="0.25">
      <c r="A78" s="430"/>
      <c r="B78" s="431"/>
      <c r="C78" s="432"/>
      <c r="D78" s="435" t="s">
        <v>260</v>
      </c>
      <c r="E78" s="435"/>
      <c r="F78" s="57" t="s">
        <v>66</v>
      </c>
      <c r="G78" s="307"/>
      <c r="H78" s="403"/>
      <c r="I78" s="436"/>
      <c r="J78" s="410"/>
      <c r="K78" s="411"/>
      <c r="L78" s="411"/>
      <c r="M78" s="437" t="s">
        <v>168</v>
      </c>
      <c r="N78" s="438">
        <v>17</v>
      </c>
      <c r="O78" s="439"/>
      <c r="P78" s="438"/>
      <c r="Q78" s="440"/>
    </row>
    <row r="79" spans="1:17" ht="18.75" customHeight="1" thickBot="1" x14ac:dyDescent="0.25">
      <c r="A79" s="430"/>
      <c r="B79" s="431"/>
      <c r="C79" s="426"/>
      <c r="D79" s="379" t="s">
        <v>261</v>
      </c>
      <c r="E79" s="370"/>
      <c r="F79" s="57" t="s">
        <v>122</v>
      </c>
      <c r="G79" s="183"/>
      <c r="H79" s="441"/>
      <c r="I79" s="436"/>
      <c r="J79" s="410"/>
      <c r="K79" s="411"/>
      <c r="L79" s="411"/>
      <c r="M79" s="442" t="s">
        <v>149</v>
      </c>
      <c r="N79" s="206">
        <v>1166</v>
      </c>
      <c r="O79" s="443"/>
      <c r="P79" s="444"/>
      <c r="Q79" s="445"/>
    </row>
    <row r="80" spans="1:17" ht="19.5" customHeight="1" x14ac:dyDescent="0.2">
      <c r="A80" s="430"/>
      <c r="B80" s="431"/>
      <c r="C80" s="426"/>
      <c r="D80" s="376" t="s">
        <v>262</v>
      </c>
      <c r="E80" s="377"/>
      <c r="F80" s="1923" t="s">
        <v>263</v>
      </c>
      <c r="G80" s="183"/>
      <c r="H80" s="441"/>
      <c r="I80" s="436"/>
      <c r="J80" s="410"/>
      <c r="K80" s="411"/>
      <c r="L80" s="411"/>
      <c r="M80" s="211" t="s">
        <v>148</v>
      </c>
      <c r="N80" s="446">
        <v>1</v>
      </c>
      <c r="O80" s="447"/>
      <c r="P80" s="448"/>
      <c r="Q80" s="449"/>
    </row>
    <row r="81" spans="1:21" s="341" customFormat="1" ht="19.5" customHeight="1" thickBot="1" x14ac:dyDescent="0.25">
      <c r="A81" s="430"/>
      <c r="B81" s="431"/>
      <c r="C81" s="426"/>
      <c r="D81" s="414"/>
      <c r="E81" s="406"/>
      <c r="F81" s="1924"/>
      <c r="G81" s="183"/>
      <c r="H81" s="441"/>
      <c r="I81" s="436"/>
      <c r="J81" s="410"/>
      <c r="K81" s="411"/>
      <c r="L81" s="411"/>
      <c r="M81" s="241" t="s">
        <v>149</v>
      </c>
      <c r="N81" s="450">
        <v>9</v>
      </c>
      <c r="O81" s="451"/>
      <c r="P81" s="452"/>
      <c r="Q81" s="453"/>
    </row>
    <row r="82" spans="1:21" ht="18.75" customHeight="1" x14ac:dyDescent="0.2">
      <c r="A82" s="454"/>
      <c r="B82" s="431"/>
      <c r="C82" s="432"/>
      <c r="D82" s="370" t="s">
        <v>264</v>
      </c>
      <c r="E82" s="370"/>
      <c r="F82" s="1923" t="s">
        <v>169</v>
      </c>
      <c r="G82" s="307"/>
      <c r="H82" s="403"/>
      <c r="I82" s="189"/>
      <c r="J82" s="410"/>
      <c r="K82" s="411"/>
      <c r="L82" s="411"/>
      <c r="M82" s="80" t="s">
        <v>148</v>
      </c>
      <c r="N82" s="203">
        <v>92</v>
      </c>
      <c r="O82" s="51"/>
      <c r="P82" s="404"/>
      <c r="Q82" s="372"/>
    </row>
    <row r="83" spans="1:21" ht="25.5" customHeight="1" thickBot="1" x14ac:dyDescent="0.25">
      <c r="A83" s="455"/>
      <c r="B83" s="456"/>
      <c r="C83" s="457"/>
      <c r="D83" s="458"/>
      <c r="E83" s="388"/>
      <c r="F83" s="1879"/>
      <c r="G83" s="1986" t="s">
        <v>64</v>
      </c>
      <c r="H83" s="1987"/>
      <c r="I83" s="2180"/>
      <c r="J83" s="184">
        <f>SUM(J16:J82)</f>
        <v>78000</v>
      </c>
      <c r="K83" s="459">
        <f>SUM(K16:K82)</f>
        <v>80022.799999999988</v>
      </c>
      <c r="L83" s="459">
        <f>SUM(L16:L82)</f>
        <v>0</v>
      </c>
      <c r="M83" s="285"/>
      <c r="N83" s="460"/>
      <c r="O83" s="461"/>
      <c r="P83" s="460"/>
      <c r="Q83" s="462"/>
    </row>
    <row r="84" spans="1:21" ht="32.25" customHeight="1" x14ac:dyDescent="0.2">
      <c r="A84" s="463" t="s">
        <v>14</v>
      </c>
      <c r="B84" s="464" t="s">
        <v>14</v>
      </c>
      <c r="C84" s="465" t="s">
        <v>17</v>
      </c>
      <c r="D84" s="466"/>
      <c r="E84" s="466"/>
      <c r="F84" s="298" t="s">
        <v>123</v>
      </c>
      <c r="G84" s="303"/>
      <c r="H84" s="467">
        <v>2</v>
      </c>
      <c r="I84" s="468"/>
      <c r="J84" s="202"/>
      <c r="K84" s="469"/>
      <c r="L84" s="469"/>
      <c r="M84" s="142"/>
      <c r="N84" s="444"/>
      <c r="O84" s="443"/>
      <c r="P84" s="444"/>
      <c r="Q84" s="422"/>
    </row>
    <row r="85" spans="1:21" ht="40.5" customHeight="1" x14ac:dyDescent="0.2">
      <c r="A85" s="430"/>
      <c r="B85" s="431"/>
      <c r="C85" s="432"/>
      <c r="D85" s="435" t="s">
        <v>14</v>
      </c>
      <c r="E85" s="435"/>
      <c r="F85" s="174" t="s">
        <v>124</v>
      </c>
      <c r="G85" s="307"/>
      <c r="H85" s="403"/>
      <c r="I85" s="470" t="s">
        <v>18</v>
      </c>
      <c r="J85" s="471">
        <v>205.4</v>
      </c>
      <c r="K85" s="472">
        <v>205.4</v>
      </c>
      <c r="L85" s="472"/>
      <c r="M85" s="234" t="s">
        <v>149</v>
      </c>
      <c r="N85" s="473">
        <v>2692</v>
      </c>
      <c r="O85" s="474"/>
      <c r="P85" s="473"/>
      <c r="Q85" s="475"/>
      <c r="U85" s="338" t="s">
        <v>125</v>
      </c>
    </row>
    <row r="86" spans="1:21" s="341" customFormat="1" ht="18" customHeight="1" x14ac:dyDescent="0.2">
      <c r="A86" s="430"/>
      <c r="B86" s="431"/>
      <c r="C86" s="432"/>
      <c r="D86" s="476" t="s">
        <v>17</v>
      </c>
      <c r="E86" s="476"/>
      <c r="F86" s="296" t="s">
        <v>65</v>
      </c>
      <c r="G86" s="307"/>
      <c r="H86" s="403"/>
      <c r="I86" s="436" t="s">
        <v>15</v>
      </c>
      <c r="J86" s="410">
        <v>155.9</v>
      </c>
      <c r="K86" s="411">
        <v>153</v>
      </c>
      <c r="L86" s="411"/>
      <c r="M86" s="325" t="s">
        <v>83</v>
      </c>
      <c r="N86" s="404">
        <v>4800</v>
      </c>
      <c r="O86" s="240"/>
      <c r="P86" s="404"/>
      <c r="Q86" s="477"/>
      <c r="R86" s="378"/>
      <c r="S86" s="378"/>
      <c r="T86" s="378"/>
    </row>
    <row r="87" spans="1:21" ht="41.25" customHeight="1" x14ac:dyDescent="0.2">
      <c r="A87" s="355"/>
      <c r="B87" s="431"/>
      <c r="C87" s="432"/>
      <c r="D87" s="435" t="s">
        <v>19</v>
      </c>
      <c r="E87" s="435"/>
      <c r="F87" s="25" t="s">
        <v>126</v>
      </c>
      <c r="G87" s="307"/>
      <c r="H87" s="441"/>
      <c r="I87" s="478"/>
      <c r="J87" s="479"/>
      <c r="K87" s="480"/>
      <c r="L87" s="480"/>
      <c r="M87" s="234" t="s">
        <v>170</v>
      </c>
      <c r="N87" s="236">
        <v>35</v>
      </c>
      <c r="O87" s="92"/>
      <c r="P87" s="236"/>
      <c r="Q87" s="48"/>
      <c r="R87" s="104"/>
    </row>
    <row r="88" spans="1:21" ht="15.75" customHeight="1" x14ac:dyDescent="0.2">
      <c r="A88" s="355"/>
      <c r="B88" s="431"/>
      <c r="C88" s="432"/>
      <c r="D88" s="476" t="s">
        <v>21</v>
      </c>
      <c r="E88" s="476"/>
      <c r="F88" s="1874" t="s">
        <v>98</v>
      </c>
      <c r="G88" s="307"/>
      <c r="H88" s="441"/>
      <c r="I88" s="189" t="s">
        <v>97</v>
      </c>
      <c r="J88" s="410">
        <v>653.20000000000005</v>
      </c>
      <c r="K88" s="411">
        <v>889.1</v>
      </c>
      <c r="L88" s="411"/>
      <c r="M88" s="305" t="s">
        <v>170</v>
      </c>
      <c r="N88" s="187">
        <v>100</v>
      </c>
      <c r="O88" s="240"/>
      <c r="P88" s="187"/>
      <c r="Q88" s="261"/>
      <c r="R88" s="104"/>
    </row>
    <row r="89" spans="1:21" ht="15.75" customHeight="1" x14ac:dyDescent="0.2">
      <c r="A89" s="355"/>
      <c r="B89" s="431"/>
      <c r="C89" s="432"/>
      <c r="D89" s="476"/>
      <c r="E89" s="476"/>
      <c r="F89" s="1886"/>
      <c r="G89" s="307"/>
      <c r="H89" s="441"/>
      <c r="I89" s="481" t="s">
        <v>265</v>
      </c>
      <c r="J89" s="471"/>
      <c r="K89" s="472">
        <v>0.2</v>
      </c>
      <c r="L89" s="482"/>
      <c r="M89" s="2125" t="s">
        <v>266</v>
      </c>
      <c r="N89" s="187">
        <v>5600</v>
      </c>
      <c r="O89" s="240"/>
      <c r="P89" s="187"/>
      <c r="Q89" s="261"/>
      <c r="R89" s="104"/>
    </row>
    <row r="90" spans="1:21" ht="15.75" customHeight="1" thickBot="1" x14ac:dyDescent="0.25">
      <c r="A90" s="483"/>
      <c r="B90" s="484"/>
      <c r="C90" s="485"/>
      <c r="D90" s="486"/>
      <c r="E90" s="486"/>
      <c r="F90" s="1861"/>
      <c r="G90" s="304"/>
      <c r="H90" s="487"/>
      <c r="I90" s="190" t="s">
        <v>16</v>
      </c>
      <c r="J90" s="184">
        <f>SUM(J85:J89)</f>
        <v>1014.5</v>
      </c>
      <c r="K90" s="459">
        <f>SUM(K85:K89)</f>
        <v>1247.7</v>
      </c>
      <c r="L90" s="488">
        <f>SUM(L85:L88)</f>
        <v>0</v>
      </c>
      <c r="M90" s="2126"/>
      <c r="N90" s="244"/>
      <c r="O90" s="245"/>
      <c r="P90" s="244"/>
      <c r="Q90" s="420"/>
    </row>
    <row r="91" spans="1:21" ht="29.25" customHeight="1" x14ac:dyDescent="0.2">
      <c r="A91" s="463" t="s">
        <v>14</v>
      </c>
      <c r="B91" s="464" t="s">
        <v>14</v>
      </c>
      <c r="C91" s="465" t="s">
        <v>19</v>
      </c>
      <c r="D91" s="466"/>
      <c r="E91" s="466"/>
      <c r="F91" s="286" t="s">
        <v>82</v>
      </c>
      <c r="G91" s="307"/>
      <c r="H91" s="433">
        <v>1</v>
      </c>
      <c r="I91" s="444" t="s">
        <v>15</v>
      </c>
      <c r="J91" s="410">
        <v>3.9</v>
      </c>
      <c r="K91" s="411">
        <v>3.9</v>
      </c>
      <c r="L91" s="411"/>
      <c r="M91" s="142" t="s">
        <v>171</v>
      </c>
      <c r="N91" s="444">
        <v>10</v>
      </c>
      <c r="O91" s="443"/>
      <c r="P91" s="444"/>
      <c r="Q91" s="422"/>
    </row>
    <row r="92" spans="1:21" ht="18" customHeight="1" thickBot="1" x14ac:dyDescent="0.25">
      <c r="A92" s="489"/>
      <c r="B92" s="456"/>
      <c r="C92" s="485"/>
      <c r="D92" s="486"/>
      <c r="E92" s="486"/>
      <c r="F92" s="243"/>
      <c r="G92" s="304"/>
      <c r="H92" s="105"/>
      <c r="I92" s="190" t="s">
        <v>16</v>
      </c>
      <c r="J92" s="184">
        <f>J91</f>
        <v>3.9</v>
      </c>
      <c r="K92" s="459">
        <f>K91</f>
        <v>3.9</v>
      </c>
      <c r="L92" s="459">
        <f>L91</f>
        <v>0</v>
      </c>
      <c r="M92" s="238" t="s">
        <v>153</v>
      </c>
      <c r="N92" s="187">
        <v>860</v>
      </c>
      <c r="O92" s="240"/>
      <c r="P92" s="187"/>
      <c r="Q92" s="261"/>
    </row>
    <row r="93" spans="1:21" ht="18" customHeight="1" x14ac:dyDescent="0.2">
      <c r="A93" s="490" t="s">
        <v>14</v>
      </c>
      <c r="B93" s="464" t="s">
        <v>14</v>
      </c>
      <c r="C93" s="465" t="s">
        <v>21</v>
      </c>
      <c r="D93" s="466"/>
      <c r="E93" s="466"/>
      <c r="F93" s="1860" t="s">
        <v>172</v>
      </c>
      <c r="G93" s="303"/>
      <c r="H93" s="491">
        <v>2</v>
      </c>
      <c r="I93" s="192" t="s">
        <v>15</v>
      </c>
      <c r="J93" s="410">
        <v>17.8</v>
      </c>
      <c r="K93" s="411">
        <v>13.7</v>
      </c>
      <c r="L93" s="411"/>
      <c r="M93" s="2132" t="s">
        <v>173</v>
      </c>
      <c r="N93" s="444">
        <v>39</v>
      </c>
      <c r="O93" s="443"/>
      <c r="P93" s="444"/>
      <c r="Q93" s="422"/>
    </row>
    <row r="94" spans="1:21" ht="16.5" customHeight="1" thickBot="1" x14ac:dyDescent="0.25">
      <c r="A94" s="483"/>
      <c r="B94" s="484"/>
      <c r="C94" s="485"/>
      <c r="D94" s="486"/>
      <c r="E94" s="486"/>
      <c r="F94" s="1861"/>
      <c r="G94" s="304"/>
      <c r="H94" s="487"/>
      <c r="I94" s="190" t="s">
        <v>16</v>
      </c>
      <c r="J94" s="184">
        <f>SUM(J93)</f>
        <v>17.8</v>
      </c>
      <c r="K94" s="459">
        <f>SUM(K93)</f>
        <v>13.7</v>
      </c>
      <c r="L94" s="459">
        <f>SUM(L93)</f>
        <v>0</v>
      </c>
      <c r="M94" s="2126"/>
      <c r="N94" s="244"/>
      <c r="O94" s="245"/>
      <c r="P94" s="244"/>
      <c r="Q94" s="420"/>
    </row>
    <row r="95" spans="1:21" ht="41.25" customHeight="1" x14ac:dyDescent="0.2">
      <c r="A95" s="492" t="s">
        <v>14</v>
      </c>
      <c r="B95" s="464" t="s">
        <v>14</v>
      </c>
      <c r="C95" s="465" t="s">
        <v>22</v>
      </c>
      <c r="D95" s="466"/>
      <c r="E95" s="466"/>
      <c r="F95" s="1860" t="s">
        <v>174</v>
      </c>
      <c r="G95" s="303" t="s">
        <v>59</v>
      </c>
      <c r="H95" s="491">
        <v>2</v>
      </c>
      <c r="I95" s="192" t="s">
        <v>15</v>
      </c>
      <c r="J95" s="130">
        <v>60.5</v>
      </c>
      <c r="K95" s="131">
        <v>60.5</v>
      </c>
      <c r="L95" s="131"/>
      <c r="M95" s="281" t="s">
        <v>128</v>
      </c>
      <c r="N95" s="493">
        <v>7800</v>
      </c>
      <c r="O95" s="494"/>
      <c r="P95" s="493"/>
      <c r="Q95" s="449"/>
    </row>
    <row r="96" spans="1:21" ht="15.75" customHeight="1" x14ac:dyDescent="0.2">
      <c r="A96" s="385"/>
      <c r="B96" s="431"/>
      <c r="C96" s="432"/>
      <c r="D96" s="476"/>
      <c r="E96" s="476"/>
      <c r="F96" s="1886"/>
      <c r="G96" s="307"/>
      <c r="H96" s="441"/>
      <c r="I96" s="478"/>
      <c r="J96" s="115"/>
      <c r="K96" s="121"/>
      <c r="L96" s="121"/>
      <c r="M96" s="2125" t="s">
        <v>267</v>
      </c>
      <c r="N96" s="187">
        <v>3</v>
      </c>
      <c r="O96" s="240"/>
      <c r="P96" s="187"/>
      <c r="Q96" s="495"/>
    </row>
    <row r="97" spans="1:20" ht="13.5" thickBot="1" x14ac:dyDescent="0.25">
      <c r="A97" s="496"/>
      <c r="B97" s="484"/>
      <c r="C97" s="485"/>
      <c r="D97" s="486"/>
      <c r="E97" s="486"/>
      <c r="F97" s="1861"/>
      <c r="G97" s="304"/>
      <c r="H97" s="487"/>
      <c r="I97" s="190" t="s">
        <v>16</v>
      </c>
      <c r="J97" s="184">
        <f>SUM(J95:J96)</f>
        <v>60.5</v>
      </c>
      <c r="K97" s="459">
        <f>SUM(K95:K96)</f>
        <v>60.5</v>
      </c>
      <c r="L97" s="459">
        <f>SUM(L95:L96)</f>
        <v>0</v>
      </c>
      <c r="M97" s="2126"/>
      <c r="N97" s="244"/>
      <c r="O97" s="245"/>
      <c r="P97" s="244"/>
      <c r="Q97" s="497"/>
    </row>
    <row r="98" spans="1:20" ht="30" customHeight="1" x14ac:dyDescent="0.2">
      <c r="A98" s="492" t="s">
        <v>14</v>
      </c>
      <c r="B98" s="464" t="s">
        <v>14</v>
      </c>
      <c r="C98" s="465" t="s">
        <v>175</v>
      </c>
      <c r="D98" s="466"/>
      <c r="E98" s="466"/>
      <c r="F98" s="1860" t="s">
        <v>176</v>
      </c>
      <c r="G98" s="303"/>
      <c r="H98" s="498">
        <v>1</v>
      </c>
      <c r="I98" s="189" t="s">
        <v>15</v>
      </c>
      <c r="J98" s="410">
        <v>1.5</v>
      </c>
      <c r="K98" s="411">
        <v>1.5</v>
      </c>
      <c r="L98" s="411"/>
      <c r="M98" s="2132" t="s">
        <v>177</v>
      </c>
      <c r="N98" s="444">
        <v>1</v>
      </c>
      <c r="O98" s="443"/>
      <c r="P98" s="444"/>
      <c r="Q98" s="422"/>
    </row>
    <row r="99" spans="1:20" ht="15.75" customHeight="1" thickBot="1" x14ac:dyDescent="0.25">
      <c r="A99" s="496"/>
      <c r="B99" s="484"/>
      <c r="C99" s="485"/>
      <c r="D99" s="486"/>
      <c r="E99" s="486"/>
      <c r="F99" s="1861"/>
      <c r="G99" s="304"/>
      <c r="H99" s="105"/>
      <c r="I99" s="190" t="s">
        <v>16</v>
      </c>
      <c r="J99" s="184">
        <f>+J98</f>
        <v>1.5</v>
      </c>
      <c r="K99" s="459">
        <f>+K98</f>
        <v>1.5</v>
      </c>
      <c r="L99" s="459">
        <f>+L98</f>
        <v>0</v>
      </c>
      <c r="M99" s="2126"/>
      <c r="N99" s="244"/>
      <c r="O99" s="245"/>
      <c r="P99" s="244"/>
      <c r="Q99" s="420"/>
    </row>
    <row r="100" spans="1:20" ht="18.75" customHeight="1" x14ac:dyDescent="0.2">
      <c r="A100" s="492" t="s">
        <v>14</v>
      </c>
      <c r="B100" s="464" t="s">
        <v>14</v>
      </c>
      <c r="C100" s="465" t="s">
        <v>178</v>
      </c>
      <c r="D100" s="466"/>
      <c r="E100" s="466"/>
      <c r="F100" s="1860" t="s">
        <v>179</v>
      </c>
      <c r="G100" s="303"/>
      <c r="H100" s="491">
        <v>2</v>
      </c>
      <c r="I100" s="192" t="s">
        <v>15</v>
      </c>
      <c r="J100" s="499">
        <v>6.4</v>
      </c>
      <c r="K100" s="500">
        <v>5.7</v>
      </c>
      <c r="L100" s="501"/>
      <c r="M100" s="284" t="s">
        <v>148</v>
      </c>
      <c r="N100" s="444">
        <v>89</v>
      </c>
      <c r="O100" s="443"/>
      <c r="P100" s="444"/>
      <c r="Q100" s="422"/>
    </row>
    <row r="101" spans="1:20" ht="16.5" customHeight="1" thickBot="1" x14ac:dyDescent="0.25">
      <c r="A101" s="496"/>
      <c r="B101" s="484"/>
      <c r="C101" s="485"/>
      <c r="D101" s="486"/>
      <c r="E101" s="486"/>
      <c r="F101" s="1861"/>
      <c r="G101" s="304"/>
      <c r="H101" s="487"/>
      <c r="I101" s="190" t="s">
        <v>16</v>
      </c>
      <c r="J101" s="184">
        <f>SUM(J100)</f>
        <v>6.4</v>
      </c>
      <c r="K101" s="459">
        <f>SUM(K100)</f>
        <v>5.7</v>
      </c>
      <c r="L101" s="502">
        <f>SUM(L100)</f>
        <v>0</v>
      </c>
      <c r="M101" s="285"/>
      <c r="N101" s="244"/>
      <c r="O101" s="245"/>
      <c r="P101" s="244"/>
      <c r="Q101" s="420"/>
    </row>
    <row r="102" spans="1:20" ht="13.5" customHeight="1" thickBot="1" x14ac:dyDescent="0.25">
      <c r="A102" s="503" t="s">
        <v>14</v>
      </c>
      <c r="B102" s="504" t="s">
        <v>14</v>
      </c>
      <c r="C102" s="1831" t="s">
        <v>20</v>
      </c>
      <c r="D102" s="1832"/>
      <c r="E102" s="1832"/>
      <c r="F102" s="1832"/>
      <c r="G102" s="1832"/>
      <c r="H102" s="1832"/>
      <c r="I102" s="2105"/>
      <c r="J102" s="505">
        <f>J97+J94+J92+J90+J83+J99+J101</f>
        <v>79104.599999999991</v>
      </c>
      <c r="K102" s="505">
        <f>K97+K94+K92+K90+K83+K99+K101</f>
        <v>81355.799999999988</v>
      </c>
      <c r="L102" s="505">
        <f>L97+L94+L92+L90+L83+L99+L101</f>
        <v>0</v>
      </c>
      <c r="M102" s="506"/>
      <c r="N102" s="507"/>
      <c r="O102" s="507"/>
      <c r="P102" s="507"/>
      <c r="Q102" s="508"/>
    </row>
    <row r="103" spans="1:20" ht="15.75" customHeight="1" thickBot="1" x14ac:dyDescent="0.25">
      <c r="A103" s="503" t="s">
        <v>14</v>
      </c>
      <c r="B103" s="2106" t="s">
        <v>6</v>
      </c>
      <c r="C103" s="2107"/>
      <c r="D103" s="2107"/>
      <c r="E103" s="2107"/>
      <c r="F103" s="2107"/>
      <c r="G103" s="2107"/>
      <c r="H103" s="2107"/>
      <c r="I103" s="2108"/>
      <c r="J103" s="509">
        <f>J102</f>
        <v>79104.599999999991</v>
      </c>
      <c r="K103" s="510">
        <f>K102</f>
        <v>81355.799999999988</v>
      </c>
      <c r="L103" s="510">
        <f>L102</f>
        <v>0</v>
      </c>
      <c r="M103" s="511"/>
      <c r="N103" s="512"/>
      <c r="O103" s="512"/>
      <c r="P103" s="512"/>
      <c r="Q103" s="513"/>
    </row>
    <row r="104" spans="1:20" ht="45" customHeight="1" x14ac:dyDescent="0.2">
      <c r="A104" s="514" t="s">
        <v>17</v>
      </c>
      <c r="B104" s="2109" t="s">
        <v>36</v>
      </c>
      <c r="C104" s="2110"/>
      <c r="D104" s="2110"/>
      <c r="E104" s="2110"/>
      <c r="F104" s="2110"/>
      <c r="G104" s="2110"/>
      <c r="H104" s="2110"/>
      <c r="I104" s="2110"/>
      <c r="J104" s="2110"/>
      <c r="K104" s="2110"/>
      <c r="L104" s="2111"/>
      <c r="M104" s="515" t="s">
        <v>180</v>
      </c>
      <c r="N104" s="516">
        <v>2</v>
      </c>
      <c r="O104" s="517"/>
      <c r="P104" s="518"/>
      <c r="Q104" s="517"/>
    </row>
    <row r="105" spans="1:20" ht="59.25" customHeight="1" thickBot="1" x14ac:dyDescent="0.25">
      <c r="A105" s="489"/>
      <c r="B105" s="519"/>
      <c r="C105" s="520"/>
      <c r="D105" s="520"/>
      <c r="E105" s="520"/>
      <c r="F105" s="520"/>
      <c r="G105" s="520"/>
      <c r="H105" s="520"/>
      <c r="I105" s="520"/>
      <c r="J105" s="520"/>
      <c r="K105" s="520"/>
      <c r="L105" s="521"/>
      <c r="M105" s="522" t="s">
        <v>181</v>
      </c>
      <c r="N105" s="523">
        <v>24</v>
      </c>
      <c r="O105" s="524"/>
      <c r="P105" s="525"/>
      <c r="Q105" s="524"/>
    </row>
    <row r="106" spans="1:20" ht="15.75" customHeight="1" thickBot="1" x14ac:dyDescent="0.25">
      <c r="A106" s="526" t="s">
        <v>17</v>
      </c>
      <c r="B106" s="527" t="s">
        <v>14</v>
      </c>
      <c r="C106" s="1957" t="s">
        <v>32</v>
      </c>
      <c r="D106" s="1898"/>
      <c r="E106" s="1898"/>
      <c r="F106" s="1898"/>
      <c r="G106" s="1898"/>
      <c r="H106" s="1898"/>
      <c r="I106" s="1898"/>
      <c r="J106" s="1898"/>
      <c r="K106" s="1898"/>
      <c r="L106" s="1898"/>
      <c r="M106" s="1898"/>
      <c r="N106" s="1898"/>
      <c r="O106" s="1898"/>
      <c r="P106" s="1898"/>
      <c r="Q106" s="1899"/>
    </row>
    <row r="107" spans="1:20" s="13" customFormat="1" ht="24" customHeight="1" x14ac:dyDescent="0.2">
      <c r="A107" s="2095" t="s">
        <v>17</v>
      </c>
      <c r="B107" s="1962" t="s">
        <v>14</v>
      </c>
      <c r="C107" s="2183" t="s">
        <v>14</v>
      </c>
      <c r="D107" s="528"/>
      <c r="E107" s="528"/>
      <c r="F107" s="2114" t="s">
        <v>268</v>
      </c>
      <c r="G107" s="1968"/>
      <c r="H107" s="529">
        <v>5</v>
      </c>
      <c r="I107" s="530" t="s">
        <v>15</v>
      </c>
      <c r="J107" s="124">
        <v>218.6</v>
      </c>
      <c r="K107" s="363">
        <v>218.6</v>
      </c>
      <c r="L107" s="363"/>
      <c r="M107" s="2098" t="s">
        <v>269</v>
      </c>
      <c r="N107" s="364">
        <v>6</v>
      </c>
      <c r="O107" s="96"/>
      <c r="P107" s="364"/>
      <c r="Q107" s="99"/>
    </row>
    <row r="108" spans="1:20" s="13" customFormat="1" ht="16.5" customHeight="1" x14ac:dyDescent="0.2">
      <c r="A108" s="2181"/>
      <c r="B108" s="2182"/>
      <c r="C108" s="2184"/>
      <c r="D108" s="531"/>
      <c r="E108" s="531"/>
      <c r="F108" s="1878"/>
      <c r="G108" s="2101"/>
      <c r="H108" s="529">
        <v>2</v>
      </c>
      <c r="I108" s="532" t="s">
        <v>15</v>
      </c>
      <c r="J108" s="117"/>
      <c r="K108" s="123"/>
      <c r="L108" s="123"/>
      <c r="M108" s="2186"/>
      <c r="N108" s="387"/>
      <c r="O108" s="97"/>
      <c r="P108" s="387"/>
      <c r="Q108" s="230"/>
    </row>
    <row r="109" spans="1:20" s="13" customFormat="1" ht="15.75" customHeight="1" thickBot="1" x14ac:dyDescent="0.25">
      <c r="A109" s="2096"/>
      <c r="B109" s="1963"/>
      <c r="C109" s="2185"/>
      <c r="D109" s="533"/>
      <c r="E109" s="533"/>
      <c r="F109" s="1879"/>
      <c r="G109" s="1969"/>
      <c r="H109" s="534"/>
      <c r="I109" s="10" t="s">
        <v>16</v>
      </c>
      <c r="J109" s="150">
        <f>SUM(J107:J108)</f>
        <v>218.6</v>
      </c>
      <c r="K109" s="535">
        <f>SUM(K107:K108)</f>
        <v>218.6</v>
      </c>
      <c r="L109" s="536">
        <f>SUM(L107:L108)</f>
        <v>0</v>
      </c>
      <c r="M109" s="2099"/>
      <c r="N109" s="407"/>
      <c r="O109" s="383"/>
      <c r="P109" s="407"/>
      <c r="Q109" s="416"/>
    </row>
    <row r="110" spans="1:20" ht="15" customHeight="1" x14ac:dyDescent="0.2">
      <c r="A110" s="463" t="s">
        <v>17</v>
      </c>
      <c r="B110" s="464" t="s">
        <v>14</v>
      </c>
      <c r="C110" s="465" t="s">
        <v>17</v>
      </c>
      <c r="D110" s="360"/>
      <c r="E110" s="360"/>
      <c r="F110" s="1916" t="s">
        <v>182</v>
      </c>
      <c r="G110" s="537" t="s">
        <v>2</v>
      </c>
      <c r="H110" s="467">
        <v>5</v>
      </c>
      <c r="I110" s="538" t="s">
        <v>15</v>
      </c>
      <c r="J110" s="202">
        <v>97</v>
      </c>
      <c r="K110" s="469">
        <v>97</v>
      </c>
      <c r="L110" s="469"/>
      <c r="M110" s="539"/>
      <c r="N110" s="468"/>
      <c r="O110" s="107"/>
      <c r="P110" s="540"/>
      <c r="Q110" s="541"/>
      <c r="R110" s="542"/>
    </row>
    <row r="111" spans="1:20" ht="15" customHeight="1" x14ac:dyDescent="0.2">
      <c r="A111" s="454"/>
      <c r="B111" s="431"/>
      <c r="C111" s="432"/>
      <c r="D111" s="370"/>
      <c r="E111" s="370"/>
      <c r="F111" s="1917"/>
      <c r="G111" s="537"/>
      <c r="H111" s="403"/>
      <c r="I111" s="543" t="s">
        <v>127</v>
      </c>
      <c r="J111" s="471">
        <v>98.3</v>
      </c>
      <c r="K111" s="472">
        <v>508.9</v>
      </c>
      <c r="L111" s="472"/>
      <c r="M111" s="189"/>
      <c r="N111" s="436"/>
      <c r="O111" s="544"/>
      <c r="P111" s="545"/>
      <c r="Q111" s="108"/>
      <c r="R111" s="542"/>
    </row>
    <row r="112" spans="1:20" ht="15" customHeight="1" x14ac:dyDescent="0.2">
      <c r="A112" s="454"/>
      <c r="B112" s="431"/>
      <c r="C112" s="432"/>
      <c r="D112" s="370"/>
      <c r="E112" s="370"/>
      <c r="F112" s="1917"/>
      <c r="G112" s="247"/>
      <c r="H112" s="403"/>
      <c r="I112" s="546" t="s">
        <v>97</v>
      </c>
      <c r="J112" s="410">
        <v>621.6</v>
      </c>
      <c r="K112" s="411">
        <v>613.5</v>
      </c>
      <c r="L112" s="411"/>
      <c r="M112" s="189"/>
      <c r="N112" s="436"/>
      <c r="O112" s="544"/>
      <c r="P112" s="545"/>
      <c r="Q112" s="108"/>
      <c r="R112" s="542"/>
      <c r="T112" s="104"/>
    </row>
    <row r="113" spans="1:20" ht="15" customHeight="1" x14ac:dyDescent="0.2">
      <c r="A113" s="454"/>
      <c r="B113" s="431"/>
      <c r="C113" s="432"/>
      <c r="D113" s="370"/>
      <c r="E113" s="370"/>
      <c r="F113" s="299"/>
      <c r="G113" s="247"/>
      <c r="H113" s="403"/>
      <c r="I113" s="546" t="s">
        <v>265</v>
      </c>
      <c r="J113" s="482"/>
      <c r="K113" s="472">
        <v>8.1</v>
      </c>
      <c r="L113" s="472"/>
      <c r="M113" s="189"/>
      <c r="N113" s="436"/>
      <c r="O113" s="544"/>
      <c r="P113" s="545"/>
      <c r="Q113" s="108"/>
      <c r="R113" s="542"/>
      <c r="T113" s="104"/>
    </row>
    <row r="114" spans="1:20" ht="15" customHeight="1" x14ac:dyDescent="0.2">
      <c r="A114" s="454"/>
      <c r="B114" s="431"/>
      <c r="C114" s="432"/>
      <c r="D114" s="370"/>
      <c r="E114" s="370"/>
      <c r="F114" s="299"/>
      <c r="G114" s="247"/>
      <c r="H114" s="547"/>
      <c r="I114" s="548" t="s">
        <v>18</v>
      </c>
      <c r="J114" s="471">
        <v>54.8</v>
      </c>
      <c r="K114" s="472">
        <v>54.1</v>
      </c>
      <c r="L114" s="472"/>
      <c r="M114" s="189"/>
      <c r="N114" s="436"/>
      <c r="O114" s="544"/>
      <c r="P114" s="545"/>
      <c r="Q114" s="108"/>
      <c r="R114" s="542"/>
      <c r="T114" s="104"/>
    </row>
    <row r="115" spans="1:20" ht="15" customHeight="1" x14ac:dyDescent="0.2">
      <c r="A115" s="454"/>
      <c r="B115" s="431"/>
      <c r="C115" s="432"/>
      <c r="D115" s="370"/>
      <c r="E115" s="370"/>
      <c r="F115" s="299"/>
      <c r="G115" s="247"/>
      <c r="H115" s="547"/>
      <c r="I115" s="543" t="s">
        <v>270</v>
      </c>
      <c r="J115" s="549"/>
      <c r="K115" s="550">
        <v>0.7</v>
      </c>
      <c r="L115" s="550"/>
      <c r="M115" s="189"/>
      <c r="N115" s="436"/>
      <c r="O115" s="544"/>
      <c r="P115" s="545"/>
      <c r="Q115" s="108"/>
      <c r="R115" s="551"/>
      <c r="S115" s="110"/>
      <c r="T115" s="104"/>
    </row>
    <row r="116" spans="1:20" ht="15" customHeight="1" thickBot="1" x14ac:dyDescent="0.25">
      <c r="A116" s="454"/>
      <c r="B116" s="431"/>
      <c r="C116" s="432"/>
      <c r="D116" s="370"/>
      <c r="E116" s="370"/>
      <c r="F116" s="299"/>
      <c r="G116" s="247"/>
      <c r="H116" s="547"/>
      <c r="I116" s="552" t="s">
        <v>271</v>
      </c>
      <c r="J116" s="553">
        <v>2900</v>
      </c>
      <c r="K116" s="550">
        <v>96.2</v>
      </c>
      <c r="L116" s="550"/>
      <c r="M116" s="189"/>
      <c r="N116" s="554"/>
      <c r="O116" s="555"/>
      <c r="P116" s="556"/>
      <c r="Q116" s="557"/>
      <c r="R116" s="551"/>
      <c r="S116" s="110"/>
      <c r="T116" s="104"/>
    </row>
    <row r="117" spans="1:20" ht="20.25" customHeight="1" x14ac:dyDescent="0.2">
      <c r="A117" s="454"/>
      <c r="B117" s="431"/>
      <c r="C117" s="432"/>
      <c r="D117" s="377" t="s">
        <v>14</v>
      </c>
      <c r="E117" s="377"/>
      <c r="F117" s="1923" t="s">
        <v>272</v>
      </c>
      <c r="G117" s="248"/>
      <c r="H117" s="537"/>
      <c r="I117" s="558"/>
      <c r="J117" s="559"/>
      <c r="K117" s="560"/>
      <c r="L117" s="561"/>
      <c r="M117" s="2115" t="s">
        <v>183</v>
      </c>
      <c r="N117" s="562">
        <v>5</v>
      </c>
      <c r="O117" s="563"/>
      <c r="P117" s="564"/>
      <c r="Q117" s="565"/>
      <c r="R117" s="566"/>
      <c r="S117" s="566"/>
      <c r="T117" s="104"/>
    </row>
    <row r="118" spans="1:20" ht="20.25" customHeight="1" x14ac:dyDescent="0.2">
      <c r="A118" s="454"/>
      <c r="B118" s="431"/>
      <c r="C118" s="432"/>
      <c r="D118" s="370"/>
      <c r="E118" s="370"/>
      <c r="F118" s="1878"/>
      <c r="G118" s="567"/>
      <c r="H118" s="403"/>
      <c r="I118" s="558"/>
      <c r="J118" s="559"/>
      <c r="K118" s="560"/>
      <c r="L118" s="561"/>
      <c r="M118" s="2187"/>
      <c r="N118" s="568"/>
      <c r="O118" s="569"/>
      <c r="P118" s="570"/>
      <c r="Q118" s="571"/>
      <c r="R118" s="566"/>
      <c r="S118" s="566"/>
      <c r="T118" s="104"/>
    </row>
    <row r="119" spans="1:20" ht="20.25" customHeight="1" x14ac:dyDescent="0.2">
      <c r="A119" s="454"/>
      <c r="B119" s="431"/>
      <c r="C119" s="432"/>
      <c r="D119" s="370"/>
      <c r="E119" s="370"/>
      <c r="F119" s="1878"/>
      <c r="G119" s="567"/>
      <c r="H119" s="403"/>
      <c r="I119" s="558"/>
      <c r="J119" s="559"/>
      <c r="K119" s="560"/>
      <c r="L119" s="561"/>
      <c r="M119" s="2188" t="s">
        <v>184</v>
      </c>
      <c r="N119" s="572">
        <v>5</v>
      </c>
      <c r="O119" s="573"/>
      <c r="P119" s="574"/>
      <c r="Q119" s="575"/>
      <c r="R119" s="566"/>
      <c r="S119" s="566"/>
      <c r="T119" s="104"/>
    </row>
    <row r="120" spans="1:20" ht="20.25" customHeight="1" thickBot="1" x14ac:dyDescent="0.25">
      <c r="A120" s="454"/>
      <c r="B120" s="431"/>
      <c r="C120" s="432"/>
      <c r="D120" s="370"/>
      <c r="E120" s="370"/>
      <c r="F120" s="1924"/>
      <c r="G120" s="567"/>
      <c r="H120" s="403"/>
      <c r="I120" s="558"/>
      <c r="J120" s="559"/>
      <c r="K120" s="560"/>
      <c r="L120" s="561"/>
      <c r="M120" s="2116"/>
      <c r="N120" s="244"/>
      <c r="O120" s="245"/>
      <c r="P120" s="576"/>
      <c r="Q120" s="577"/>
      <c r="R120" s="566"/>
      <c r="S120" s="566"/>
      <c r="T120" s="104"/>
    </row>
    <row r="121" spans="1:20" ht="27.75" customHeight="1" thickBot="1" x14ac:dyDescent="0.25">
      <c r="A121" s="430"/>
      <c r="B121" s="431"/>
      <c r="C121" s="432"/>
      <c r="D121" s="377" t="s">
        <v>19</v>
      </c>
      <c r="E121" s="377"/>
      <c r="F121" s="300" t="s">
        <v>186</v>
      </c>
      <c r="G121" s="578"/>
      <c r="H121" s="433"/>
      <c r="I121" s="558"/>
      <c r="J121" s="559"/>
      <c r="K121" s="560"/>
      <c r="L121" s="561"/>
      <c r="M121" s="579" t="s">
        <v>75</v>
      </c>
      <c r="N121" s="580">
        <v>5</v>
      </c>
      <c r="O121" s="581"/>
      <c r="P121" s="582"/>
      <c r="Q121" s="583"/>
      <c r="R121" s="566"/>
      <c r="S121" s="104"/>
      <c r="T121" s="104"/>
    </row>
    <row r="122" spans="1:20" ht="21" customHeight="1" x14ac:dyDescent="0.2">
      <c r="A122" s="430"/>
      <c r="B122" s="431"/>
      <c r="C122" s="432"/>
      <c r="D122" s="377" t="s">
        <v>21</v>
      </c>
      <c r="E122" s="377"/>
      <c r="F122" s="1923" t="s">
        <v>273</v>
      </c>
      <c r="G122" s="578"/>
      <c r="H122" s="433"/>
      <c r="I122" s="558"/>
      <c r="J122" s="559"/>
      <c r="K122" s="560"/>
      <c r="L122" s="584"/>
      <c r="M122" s="2115" t="s">
        <v>274</v>
      </c>
      <c r="N122" s="585">
        <v>100</v>
      </c>
      <c r="O122" s="563"/>
      <c r="P122" s="564"/>
      <c r="Q122" s="565"/>
      <c r="R122" s="566"/>
      <c r="S122" s="104"/>
      <c r="T122" s="104"/>
    </row>
    <row r="123" spans="1:20" ht="21" customHeight="1" thickBot="1" x14ac:dyDescent="0.25">
      <c r="A123" s="430"/>
      <c r="B123" s="431"/>
      <c r="C123" s="432"/>
      <c r="D123" s="370"/>
      <c r="E123" s="370"/>
      <c r="F123" s="1879"/>
      <c r="G123" s="578"/>
      <c r="H123" s="433"/>
      <c r="I123" s="558"/>
      <c r="J123" s="559"/>
      <c r="K123" s="560"/>
      <c r="L123" s="584"/>
      <c r="M123" s="2116"/>
      <c r="N123" s="586"/>
      <c r="O123" s="573"/>
      <c r="P123" s="574"/>
      <c r="Q123" s="575"/>
      <c r="R123" s="566"/>
      <c r="S123" s="104"/>
      <c r="T123" s="104"/>
    </row>
    <row r="124" spans="1:20" s="104" customFormat="1" ht="24.75" customHeight="1" x14ac:dyDescent="0.2">
      <c r="A124" s="430"/>
      <c r="B124" s="431"/>
      <c r="C124" s="587"/>
      <c r="D124" s="588" t="s">
        <v>175</v>
      </c>
      <c r="E124" s="589"/>
      <c r="F124" s="2114" t="s">
        <v>275</v>
      </c>
      <c r="G124" s="590"/>
      <c r="H124" s="498">
        <v>6</v>
      </c>
      <c r="I124" s="591" t="s">
        <v>15</v>
      </c>
      <c r="J124" s="592">
        <v>1166.7</v>
      </c>
      <c r="K124" s="593">
        <f>1166.7-11-42.9</f>
        <v>1112.8</v>
      </c>
      <c r="L124" s="594"/>
      <c r="M124" s="595" t="s">
        <v>74</v>
      </c>
      <c r="N124" s="444">
        <v>1</v>
      </c>
      <c r="O124" s="443"/>
      <c r="P124" s="596"/>
      <c r="Q124" s="597"/>
      <c r="R124" s="551"/>
      <c r="S124" s="551"/>
      <c r="T124" s="551"/>
    </row>
    <row r="125" spans="1:20" s="104" customFormat="1" ht="18" customHeight="1" x14ac:dyDescent="0.2">
      <c r="A125" s="430"/>
      <c r="B125" s="431"/>
      <c r="C125" s="587"/>
      <c r="D125" s="598"/>
      <c r="E125" s="599"/>
      <c r="F125" s="1924"/>
      <c r="G125" s="600"/>
      <c r="H125" s="433"/>
      <c r="I125" s="83" t="s">
        <v>127</v>
      </c>
      <c r="J125" s="601">
        <v>302.5</v>
      </c>
      <c r="K125" s="126">
        <v>302.5</v>
      </c>
      <c r="L125" s="112"/>
      <c r="M125" s="305" t="s">
        <v>187</v>
      </c>
      <c r="N125" s="187"/>
      <c r="O125" s="240"/>
      <c r="P125" s="254"/>
      <c r="Q125" s="135"/>
      <c r="R125" s="110"/>
    </row>
    <row r="126" spans="1:20" ht="18.75" customHeight="1" x14ac:dyDescent="0.2">
      <c r="A126" s="430"/>
      <c r="B126" s="431"/>
      <c r="C126" s="426"/>
      <c r="D126" s="376" t="s">
        <v>178</v>
      </c>
      <c r="E126" s="602"/>
      <c r="F126" s="1923" t="s">
        <v>276</v>
      </c>
      <c r="G126" s="603"/>
      <c r="H126" s="371"/>
      <c r="I126" s="83"/>
      <c r="J126" s="50"/>
      <c r="K126" s="66"/>
      <c r="L126" s="112"/>
      <c r="M126" s="215" t="s">
        <v>188</v>
      </c>
      <c r="N126" s="177">
        <v>3</v>
      </c>
      <c r="O126" s="101"/>
      <c r="P126" s="216"/>
      <c r="Q126" s="102"/>
      <c r="R126" s="604"/>
      <c r="S126" s="605"/>
    </row>
    <row r="127" spans="1:20" ht="30" customHeight="1" x14ac:dyDescent="0.2">
      <c r="A127" s="430"/>
      <c r="B127" s="431"/>
      <c r="C127" s="426"/>
      <c r="D127" s="414"/>
      <c r="E127" s="606"/>
      <c r="F127" s="1924"/>
      <c r="G127" s="603"/>
      <c r="H127" s="371"/>
      <c r="I127" s="148"/>
      <c r="J127" s="380"/>
      <c r="K127" s="381"/>
      <c r="L127" s="607"/>
      <c r="M127" s="221" t="s">
        <v>189</v>
      </c>
      <c r="N127" s="186">
        <v>1</v>
      </c>
      <c r="O127" s="91"/>
      <c r="P127" s="223"/>
      <c r="Q127" s="224"/>
      <c r="R127" s="605"/>
      <c r="S127" s="605"/>
    </row>
    <row r="128" spans="1:20" ht="17.25" customHeight="1" x14ac:dyDescent="0.2">
      <c r="A128" s="454"/>
      <c r="B128" s="431"/>
      <c r="C128" s="369"/>
      <c r="D128" s="377" t="s">
        <v>235</v>
      </c>
      <c r="E128" s="377"/>
      <c r="F128" s="1989" t="s">
        <v>190</v>
      </c>
      <c r="G128" s="401"/>
      <c r="H128" s="401"/>
      <c r="I128" s="83"/>
      <c r="J128" s="124"/>
      <c r="K128" s="126"/>
      <c r="L128" s="84"/>
      <c r="M128" s="2118" t="s">
        <v>76</v>
      </c>
      <c r="N128" s="608">
        <v>50</v>
      </c>
      <c r="O128" s="609"/>
      <c r="P128" s="608"/>
      <c r="Q128" s="610"/>
      <c r="R128" s="341"/>
    </row>
    <row r="129" spans="1:21" ht="13.5" customHeight="1" x14ac:dyDescent="0.2">
      <c r="A129" s="454"/>
      <c r="B129" s="431"/>
      <c r="C129" s="369"/>
      <c r="D129" s="370"/>
      <c r="E129" s="370"/>
      <c r="F129" s="1990"/>
      <c r="G129" s="401"/>
      <c r="H129" s="401"/>
      <c r="I129" s="83"/>
      <c r="J129" s="124"/>
      <c r="K129" s="126"/>
      <c r="L129" s="84"/>
      <c r="M129" s="2119"/>
      <c r="N129" s="197"/>
      <c r="O129" s="611"/>
      <c r="P129" s="197"/>
      <c r="Q129" s="612"/>
      <c r="R129" s="341"/>
    </row>
    <row r="130" spans="1:21" ht="13.5" customHeight="1" thickBot="1" x14ac:dyDescent="0.25">
      <c r="A130" s="613"/>
      <c r="B130" s="484"/>
      <c r="C130" s="614"/>
      <c r="D130" s="388"/>
      <c r="E130" s="388"/>
      <c r="F130" s="2117"/>
      <c r="G130" s="1927" t="s">
        <v>16</v>
      </c>
      <c r="H130" s="1928"/>
      <c r="I130" s="1929"/>
      <c r="J130" s="150">
        <f>SUM(J110:J129)</f>
        <v>5240.8999999999996</v>
      </c>
      <c r="K130" s="535">
        <f>SUM(K110:K129)</f>
        <v>2793.8</v>
      </c>
      <c r="L130" s="536">
        <f>SUM(L110:L129)</f>
        <v>0</v>
      </c>
      <c r="M130" s="615"/>
      <c r="N130" s="616"/>
      <c r="O130" s="617"/>
      <c r="P130" s="618"/>
      <c r="Q130" s="619"/>
    </row>
    <row r="131" spans="1:21" ht="16.5" customHeight="1" x14ac:dyDescent="0.2">
      <c r="A131" s="463" t="s">
        <v>17</v>
      </c>
      <c r="B131" s="464" t="s">
        <v>14</v>
      </c>
      <c r="C131" s="359" t="s">
        <v>19</v>
      </c>
      <c r="D131" s="360"/>
      <c r="E131" s="360"/>
      <c r="F131" s="2120" t="s">
        <v>191</v>
      </c>
      <c r="G131" s="30" t="s">
        <v>2</v>
      </c>
      <c r="H131" s="620">
        <v>5</v>
      </c>
      <c r="I131" s="144" t="s">
        <v>15</v>
      </c>
      <c r="J131" s="621">
        <v>232.9</v>
      </c>
      <c r="K131" s="622">
        <v>232.9</v>
      </c>
      <c r="L131" s="623"/>
      <c r="M131" s="530"/>
      <c r="N131" s="468"/>
      <c r="O131" s="107"/>
      <c r="P131" s="540"/>
      <c r="Q131" s="541"/>
      <c r="R131" s="605"/>
      <c r="S131" s="605"/>
    </row>
    <row r="132" spans="1:21" ht="16.5" customHeight="1" x14ac:dyDescent="0.2">
      <c r="A132" s="454"/>
      <c r="B132" s="431"/>
      <c r="C132" s="369"/>
      <c r="D132" s="370"/>
      <c r="E132" s="370"/>
      <c r="F132" s="1990"/>
      <c r="G132" s="19"/>
      <c r="H132" s="603"/>
      <c r="I132" s="624" t="s">
        <v>127</v>
      </c>
      <c r="J132" s="67">
        <v>125.3</v>
      </c>
      <c r="K132" s="71">
        <v>125.3</v>
      </c>
      <c r="L132" s="625"/>
      <c r="M132" s="83"/>
      <c r="N132" s="436"/>
      <c r="O132" s="544"/>
      <c r="P132" s="545"/>
      <c r="Q132" s="108"/>
      <c r="R132" s="605"/>
      <c r="S132" s="605"/>
    </row>
    <row r="133" spans="1:21" ht="16.5" customHeight="1" x14ac:dyDescent="0.2">
      <c r="A133" s="454"/>
      <c r="B133" s="431"/>
      <c r="C133" s="369"/>
      <c r="D133" s="370"/>
      <c r="E133" s="370"/>
      <c r="F133" s="1990"/>
      <c r="G133" s="19"/>
      <c r="H133" s="603"/>
      <c r="I133" s="148" t="s">
        <v>271</v>
      </c>
      <c r="J133" s="79"/>
      <c r="K133" s="88"/>
      <c r="L133" s="626"/>
      <c r="M133" s="83"/>
      <c r="N133" s="436"/>
      <c r="O133" s="544"/>
      <c r="P133" s="545"/>
      <c r="Q133" s="108"/>
    </row>
    <row r="134" spans="1:21" ht="16.5" customHeight="1" x14ac:dyDescent="0.2">
      <c r="A134" s="454"/>
      <c r="B134" s="431"/>
      <c r="C134" s="369"/>
      <c r="D134" s="370"/>
      <c r="E134" s="370"/>
      <c r="F134" s="290"/>
      <c r="G134" s="19"/>
      <c r="H134" s="603"/>
      <c r="I134" s="627" t="s">
        <v>97</v>
      </c>
      <c r="J134" s="628">
        <v>90</v>
      </c>
      <c r="K134" s="629">
        <v>0</v>
      </c>
      <c r="L134" s="630"/>
      <c r="M134" s="83"/>
      <c r="N134" s="436"/>
      <c r="O134" s="330"/>
      <c r="P134" s="545"/>
      <c r="Q134" s="108"/>
    </row>
    <row r="135" spans="1:21" ht="57" customHeight="1" x14ac:dyDescent="0.2">
      <c r="A135" s="454"/>
      <c r="B135" s="431"/>
      <c r="C135" s="432"/>
      <c r="D135" s="435" t="s">
        <v>14</v>
      </c>
      <c r="E135" s="435"/>
      <c r="F135" s="631" t="s">
        <v>277</v>
      </c>
      <c r="G135" s="248"/>
      <c r="H135" s="537"/>
      <c r="I135" s="558"/>
      <c r="J135" s="559"/>
      <c r="K135" s="560"/>
      <c r="L135" s="632"/>
      <c r="M135" s="324" t="s">
        <v>134</v>
      </c>
      <c r="N135" s="187">
        <v>1</v>
      </c>
      <c r="O135" s="240"/>
      <c r="P135" s="254"/>
      <c r="Q135" s="135"/>
      <c r="R135" s="566"/>
      <c r="S135" s="566"/>
      <c r="T135" s="104"/>
    </row>
    <row r="136" spans="1:21" ht="18.75" customHeight="1" x14ac:dyDescent="0.2">
      <c r="A136" s="454"/>
      <c r="B136" s="431"/>
      <c r="C136" s="369"/>
      <c r="D136" s="370" t="s">
        <v>17</v>
      </c>
      <c r="E136" s="370"/>
      <c r="F136" s="1923" t="s">
        <v>278</v>
      </c>
      <c r="G136" s="255"/>
      <c r="H136" s="401"/>
      <c r="I136" s="633"/>
      <c r="J136" s="559"/>
      <c r="K136" s="560"/>
      <c r="L136" s="634"/>
      <c r="M136" s="2121" t="s">
        <v>134</v>
      </c>
      <c r="N136" s="635">
        <v>1</v>
      </c>
      <c r="O136" s="636"/>
      <c r="P136" s="637"/>
      <c r="Q136" s="102"/>
    </row>
    <row r="137" spans="1:21" ht="41.25" customHeight="1" x14ac:dyDescent="0.2">
      <c r="A137" s="454"/>
      <c r="B137" s="431"/>
      <c r="C137" s="369"/>
      <c r="D137" s="370"/>
      <c r="E137" s="370"/>
      <c r="F137" s="1924"/>
      <c r="G137" s="255"/>
      <c r="H137" s="401"/>
      <c r="I137" s="633"/>
      <c r="J137" s="559"/>
      <c r="K137" s="560"/>
      <c r="L137" s="634"/>
      <c r="M137" s="2122"/>
      <c r="N137" s="638"/>
      <c r="O137" s="639"/>
      <c r="P137" s="640"/>
      <c r="Q137" s="218"/>
    </row>
    <row r="138" spans="1:21" ht="26.25" customHeight="1" x14ac:dyDescent="0.2">
      <c r="A138" s="454"/>
      <c r="B138" s="431"/>
      <c r="C138" s="432"/>
      <c r="D138" s="377" t="s">
        <v>19</v>
      </c>
      <c r="E138" s="377"/>
      <c r="F138" s="28" t="s">
        <v>279</v>
      </c>
      <c r="G138" s="255"/>
      <c r="H138" s="401"/>
      <c r="I138" s="633"/>
      <c r="J138" s="559"/>
      <c r="K138" s="560"/>
      <c r="L138" s="632"/>
      <c r="M138" s="641" t="s">
        <v>134</v>
      </c>
      <c r="N138" s="642">
        <v>2</v>
      </c>
      <c r="O138" s="643"/>
      <c r="P138" s="644"/>
      <c r="Q138" s="645"/>
      <c r="S138" s="198"/>
      <c r="T138" s="198"/>
    </row>
    <row r="139" spans="1:21" ht="26.25" customHeight="1" x14ac:dyDescent="0.2">
      <c r="A139" s="454"/>
      <c r="B139" s="431"/>
      <c r="C139" s="432"/>
      <c r="D139" s="370"/>
      <c r="E139" s="370"/>
      <c r="F139" s="1878" t="s">
        <v>280</v>
      </c>
      <c r="G139" s="255"/>
      <c r="H139" s="97"/>
      <c r="I139" s="633"/>
      <c r="J139" s="559"/>
      <c r="K139" s="560"/>
      <c r="L139" s="632"/>
      <c r="M139" s="646" t="s">
        <v>78</v>
      </c>
      <c r="N139" s="647"/>
      <c r="O139" s="648"/>
      <c r="P139" s="649"/>
      <c r="Q139" s="650"/>
      <c r="S139" s="198"/>
      <c r="T139" s="198"/>
    </row>
    <row r="140" spans="1:21" ht="26.25" customHeight="1" x14ac:dyDescent="0.2">
      <c r="A140" s="430"/>
      <c r="B140" s="431"/>
      <c r="C140" s="432"/>
      <c r="D140" s="370"/>
      <c r="E140" s="370"/>
      <c r="F140" s="1924"/>
      <c r="G140" s="255"/>
      <c r="H140" s="97"/>
      <c r="I140" s="633"/>
      <c r="J140" s="559"/>
      <c r="K140" s="560"/>
      <c r="L140" s="632"/>
      <c r="M140" s="651"/>
      <c r="N140" s="652"/>
      <c r="O140" s="653"/>
      <c r="P140" s="654"/>
      <c r="Q140" s="655"/>
      <c r="S140" s="198"/>
      <c r="T140" s="198"/>
    </row>
    <row r="141" spans="1:21" ht="15.75" customHeight="1" x14ac:dyDescent="0.2">
      <c r="A141" s="454"/>
      <c r="B141" s="431"/>
      <c r="C141" s="432"/>
      <c r="D141" s="377" t="s">
        <v>21</v>
      </c>
      <c r="E141" s="377"/>
      <c r="F141" s="1874" t="s">
        <v>281</v>
      </c>
      <c r="G141" s="567"/>
      <c r="H141" s="403"/>
      <c r="I141" s="633"/>
      <c r="J141" s="559"/>
      <c r="K141" s="560"/>
      <c r="L141" s="632"/>
      <c r="M141" s="2192" t="s">
        <v>74</v>
      </c>
      <c r="N141" s="656">
        <v>1</v>
      </c>
      <c r="O141" s="251"/>
      <c r="P141" s="657"/>
      <c r="Q141" s="658"/>
      <c r="R141" s="659"/>
    </row>
    <row r="142" spans="1:21" ht="15.75" customHeight="1" x14ac:dyDescent="0.2">
      <c r="A142" s="430"/>
      <c r="B142" s="431"/>
      <c r="C142" s="660"/>
      <c r="D142" s="370"/>
      <c r="E142" s="370"/>
      <c r="F142" s="1886"/>
      <c r="G142" s="567"/>
      <c r="H142" s="403"/>
      <c r="I142" s="633"/>
      <c r="J142" s="559"/>
      <c r="K142" s="560"/>
      <c r="L142" s="632"/>
      <c r="M142" s="2187"/>
      <c r="N142" s="661"/>
      <c r="O142" s="573"/>
      <c r="P142" s="574"/>
      <c r="Q142" s="662"/>
      <c r="R142" s="659"/>
    </row>
    <row r="143" spans="1:21" ht="15.75" customHeight="1" x14ac:dyDescent="0.2">
      <c r="A143" s="430"/>
      <c r="B143" s="431"/>
      <c r="C143" s="660"/>
      <c r="D143" s="370"/>
      <c r="E143" s="370"/>
      <c r="F143" s="1886"/>
      <c r="G143" s="663"/>
      <c r="H143" s="664"/>
      <c r="I143" s="633"/>
      <c r="J143" s="665"/>
      <c r="K143" s="666"/>
      <c r="L143" s="667"/>
      <c r="M143" s="2188" t="s">
        <v>185</v>
      </c>
      <c r="N143" s="668"/>
      <c r="O143" s="648"/>
      <c r="P143" s="649"/>
      <c r="Q143" s="669"/>
    </row>
    <row r="144" spans="1:21" ht="13.5" customHeight="1" thickBot="1" x14ac:dyDescent="0.25">
      <c r="A144" s="613"/>
      <c r="B144" s="484"/>
      <c r="C144" s="485"/>
      <c r="D144" s="388"/>
      <c r="E144" s="388"/>
      <c r="F144" s="1861"/>
      <c r="G144" s="1909" t="s">
        <v>16</v>
      </c>
      <c r="H144" s="1910"/>
      <c r="I144" s="1911"/>
      <c r="J144" s="184">
        <f>SUM(J131:J143)</f>
        <v>448.2</v>
      </c>
      <c r="K144" s="459">
        <f>SUM(K131:K143)</f>
        <v>358.2</v>
      </c>
      <c r="L144" s="670">
        <f>SUM(L131:L143)</f>
        <v>0</v>
      </c>
      <c r="M144" s="2116"/>
      <c r="N144" s="244"/>
      <c r="O144" s="245"/>
      <c r="P144" s="576"/>
      <c r="Q144" s="577"/>
      <c r="R144" s="605"/>
      <c r="S144" s="605"/>
      <c r="T144" s="127"/>
      <c r="U144" s="1915"/>
    </row>
    <row r="145" spans="1:21" ht="15.75" customHeight="1" x14ac:dyDescent="0.2">
      <c r="A145" s="463" t="s">
        <v>17</v>
      </c>
      <c r="B145" s="464" t="s">
        <v>14</v>
      </c>
      <c r="C145" s="465" t="s">
        <v>21</v>
      </c>
      <c r="D145" s="360"/>
      <c r="E145" s="360"/>
      <c r="F145" s="1916" t="s">
        <v>192</v>
      </c>
      <c r="G145" s="22" t="s">
        <v>2</v>
      </c>
      <c r="H145" s="671">
        <v>5</v>
      </c>
      <c r="I145" s="149" t="s">
        <v>15</v>
      </c>
      <c r="J145" s="672">
        <f>225.9-45.1</f>
        <v>180.8</v>
      </c>
      <c r="K145" s="673">
        <f>225.9-45.1</f>
        <v>180.8</v>
      </c>
      <c r="L145" s="630"/>
      <c r="M145" s="292"/>
      <c r="N145" s="468"/>
      <c r="O145" s="107"/>
      <c r="P145" s="540"/>
      <c r="Q145" s="541"/>
      <c r="S145" s="297"/>
      <c r="T145" s="674"/>
      <c r="U145" s="1915"/>
    </row>
    <row r="146" spans="1:21" ht="15.75" customHeight="1" x14ac:dyDescent="0.2">
      <c r="A146" s="454"/>
      <c r="B146" s="431"/>
      <c r="C146" s="432"/>
      <c r="D146" s="370"/>
      <c r="E146" s="370"/>
      <c r="F146" s="1917"/>
      <c r="G146" s="258"/>
      <c r="H146" s="537"/>
      <c r="I146" s="675" t="s">
        <v>97</v>
      </c>
      <c r="J146" s="672">
        <v>426.7</v>
      </c>
      <c r="K146" s="673">
        <f>423.6-421.1</f>
        <v>2.5</v>
      </c>
      <c r="L146" s="630"/>
      <c r="M146" s="293"/>
      <c r="N146" s="436"/>
      <c r="O146" s="544"/>
      <c r="P146" s="545"/>
      <c r="Q146" s="108"/>
      <c r="S146" s="676"/>
      <c r="U146" s="297"/>
    </row>
    <row r="147" spans="1:21" ht="15.75" customHeight="1" x14ac:dyDescent="0.2">
      <c r="A147" s="454"/>
      <c r="B147" s="431"/>
      <c r="C147" s="432"/>
      <c r="D147" s="370"/>
      <c r="E147" s="370"/>
      <c r="F147" s="299"/>
      <c r="G147" s="258"/>
      <c r="H147" s="537"/>
      <c r="I147" s="675" t="s">
        <v>265</v>
      </c>
      <c r="J147" s="677"/>
      <c r="K147" s="678">
        <v>3.1</v>
      </c>
      <c r="L147" s="679"/>
      <c r="M147" s="293"/>
      <c r="N147" s="436"/>
      <c r="O147" s="544"/>
      <c r="P147" s="545"/>
      <c r="Q147" s="108"/>
      <c r="S147" s="680"/>
      <c r="T147" s="681"/>
      <c r="U147" s="297"/>
    </row>
    <row r="148" spans="1:21" ht="15.75" customHeight="1" x14ac:dyDescent="0.2">
      <c r="A148" s="454"/>
      <c r="B148" s="431"/>
      <c r="C148" s="432"/>
      <c r="D148" s="370"/>
      <c r="E148" s="370"/>
      <c r="F148" s="299"/>
      <c r="G148" s="258"/>
      <c r="H148" s="537"/>
      <c r="I148" s="627" t="s">
        <v>127</v>
      </c>
      <c r="J148" s="113">
        <v>2.8</v>
      </c>
      <c r="K148" s="119">
        <v>2.8</v>
      </c>
      <c r="L148" s="679"/>
      <c r="M148" s="293"/>
      <c r="N148" s="436"/>
      <c r="O148" s="544"/>
      <c r="P148" s="545"/>
      <c r="Q148" s="108"/>
      <c r="S148" s="297"/>
      <c r="T148" s="297"/>
      <c r="U148" s="297"/>
    </row>
    <row r="149" spans="1:21" ht="27" customHeight="1" x14ac:dyDescent="0.2">
      <c r="A149" s="454"/>
      <c r="B149" s="431"/>
      <c r="C149" s="432"/>
      <c r="D149" s="377" t="s">
        <v>17</v>
      </c>
      <c r="E149" s="377"/>
      <c r="F149" s="1874" t="s">
        <v>193</v>
      </c>
      <c r="G149" s="567"/>
      <c r="H149" s="403"/>
      <c r="I149" s="682"/>
      <c r="J149" s="559"/>
      <c r="K149" s="560"/>
      <c r="L149" s="632"/>
      <c r="M149" s="683" t="s">
        <v>129</v>
      </c>
      <c r="N149" s="250"/>
      <c r="O149" s="251"/>
      <c r="P149" s="657"/>
      <c r="Q149" s="684"/>
      <c r="S149" s="297"/>
      <c r="T149" s="297"/>
      <c r="U149" s="297"/>
    </row>
    <row r="150" spans="1:21" ht="30" customHeight="1" x14ac:dyDescent="0.2">
      <c r="A150" s="430"/>
      <c r="B150" s="431"/>
      <c r="C150" s="660"/>
      <c r="D150" s="370"/>
      <c r="E150" s="370"/>
      <c r="F150" s="1886"/>
      <c r="G150" s="567"/>
      <c r="H150" s="403"/>
      <c r="I150" s="685"/>
      <c r="J150" s="686"/>
      <c r="K150" s="687"/>
      <c r="L150" s="688"/>
      <c r="M150" s="2188" t="s">
        <v>282</v>
      </c>
      <c r="N150" s="689">
        <v>100</v>
      </c>
      <c r="O150" s="690"/>
      <c r="P150" s="691"/>
      <c r="Q150" s="650"/>
      <c r="S150" s="297"/>
      <c r="T150" s="297"/>
      <c r="U150" s="297"/>
    </row>
    <row r="151" spans="1:21" ht="15.75" customHeight="1" thickBot="1" x14ac:dyDescent="0.25">
      <c r="A151" s="489"/>
      <c r="B151" s="484"/>
      <c r="C151" s="485"/>
      <c r="D151" s="388"/>
      <c r="E151" s="388"/>
      <c r="F151" s="1861"/>
      <c r="G151" s="1909" t="s">
        <v>64</v>
      </c>
      <c r="H151" s="1910"/>
      <c r="I151" s="1911"/>
      <c r="J151" s="184">
        <f>SUM(J145:J150)</f>
        <v>610.29999999999995</v>
      </c>
      <c r="K151" s="459">
        <f>SUM(K145:K150)</f>
        <v>189.20000000000002</v>
      </c>
      <c r="L151" s="488">
        <f>SUM(L145:L150)</f>
        <v>0</v>
      </c>
      <c r="M151" s="2116"/>
      <c r="N151" s="244"/>
      <c r="O151" s="245"/>
      <c r="P151" s="576"/>
      <c r="Q151" s="577"/>
      <c r="R151" s="605"/>
      <c r="S151" s="605"/>
      <c r="T151" s="127"/>
      <c r="U151" s="1915"/>
    </row>
    <row r="152" spans="1:21" ht="29.25" customHeight="1" x14ac:dyDescent="0.2">
      <c r="A152" s="463" t="s">
        <v>17</v>
      </c>
      <c r="B152" s="464" t="s">
        <v>14</v>
      </c>
      <c r="C152" s="465" t="s">
        <v>22</v>
      </c>
      <c r="D152" s="360"/>
      <c r="E152" s="360"/>
      <c r="F152" s="298" t="s">
        <v>130</v>
      </c>
      <c r="G152" s="199"/>
      <c r="H152" s="498">
        <v>2</v>
      </c>
      <c r="I152" s="149" t="s">
        <v>15</v>
      </c>
      <c r="J152" s="130">
        <v>332.3</v>
      </c>
      <c r="K152" s="131">
        <v>416.7</v>
      </c>
      <c r="L152" s="692"/>
      <c r="M152" s="293"/>
      <c r="N152" s="468"/>
      <c r="O152" s="107"/>
      <c r="P152" s="540"/>
      <c r="Q152" s="541"/>
      <c r="S152" s="127"/>
      <c r="T152" s="127"/>
      <c r="U152" s="1915"/>
    </row>
    <row r="153" spans="1:21" ht="21" customHeight="1" x14ac:dyDescent="0.2">
      <c r="A153" s="454"/>
      <c r="B153" s="431"/>
      <c r="C153" s="426"/>
      <c r="D153" s="376" t="s">
        <v>14</v>
      </c>
      <c r="E153" s="377"/>
      <c r="F153" s="1874" t="s">
        <v>283</v>
      </c>
      <c r="G153" s="267"/>
      <c r="H153" s="433"/>
      <c r="I153" s="147"/>
      <c r="J153" s="239"/>
      <c r="K153" s="62"/>
      <c r="L153" s="257"/>
      <c r="M153" s="324" t="s">
        <v>148</v>
      </c>
      <c r="N153" s="693">
        <v>7</v>
      </c>
      <c r="O153" s="694"/>
      <c r="P153" s="695"/>
      <c r="Q153" s="696"/>
    </row>
    <row r="154" spans="1:21" ht="21" customHeight="1" x14ac:dyDescent="0.2">
      <c r="A154" s="454"/>
      <c r="B154" s="431"/>
      <c r="C154" s="426"/>
      <c r="D154" s="414"/>
      <c r="E154" s="406"/>
      <c r="F154" s="1875"/>
      <c r="G154" s="267"/>
      <c r="H154" s="433"/>
      <c r="I154" s="697"/>
      <c r="J154" s="410"/>
      <c r="K154" s="411"/>
      <c r="L154" s="551"/>
      <c r="M154" s="260"/>
      <c r="N154" s="182"/>
      <c r="O154" s="81"/>
      <c r="P154" s="280"/>
      <c r="Q154" s="200"/>
    </row>
    <row r="155" spans="1:21" ht="30" customHeight="1" x14ac:dyDescent="0.2">
      <c r="A155" s="430"/>
      <c r="B155" s="431"/>
      <c r="C155" s="587"/>
      <c r="D155" s="698" t="s">
        <v>17</v>
      </c>
      <c r="E155" s="698"/>
      <c r="F155" s="296" t="s">
        <v>284</v>
      </c>
      <c r="G155" s="263"/>
      <c r="H155" s="433"/>
      <c r="I155" s="697"/>
      <c r="J155" s="239"/>
      <c r="K155" s="62"/>
      <c r="L155" s="699"/>
      <c r="M155" s="293" t="s">
        <v>148</v>
      </c>
      <c r="N155" s="188">
        <v>29</v>
      </c>
      <c r="O155" s="171"/>
      <c r="P155" s="152"/>
      <c r="Q155" s="7"/>
    </row>
    <row r="156" spans="1:21" s="13" customFormat="1" ht="18.75" customHeight="1" x14ac:dyDescent="0.2">
      <c r="A156" s="181"/>
      <c r="B156" s="291"/>
      <c r="C156" s="262"/>
      <c r="D156" s="196" t="s">
        <v>19</v>
      </c>
      <c r="E156" s="196"/>
      <c r="F156" s="1874" t="s">
        <v>285</v>
      </c>
      <c r="G156" s="263"/>
      <c r="H156" s="37"/>
      <c r="I156" s="1901"/>
      <c r="J156" s="2189"/>
      <c r="K156" s="2190"/>
      <c r="L156" s="2191"/>
      <c r="M156" s="265" t="s">
        <v>286</v>
      </c>
      <c r="N156" s="471">
        <v>757.2</v>
      </c>
      <c r="O156" s="100"/>
      <c r="P156" s="252"/>
      <c r="Q156" s="26"/>
    </row>
    <row r="157" spans="1:21" s="13" customFormat="1" ht="20.25" customHeight="1" x14ac:dyDescent="0.2">
      <c r="A157" s="181"/>
      <c r="B157" s="291"/>
      <c r="C157" s="262"/>
      <c r="D157" s="196"/>
      <c r="E157" s="196"/>
      <c r="F157" s="1875"/>
      <c r="G157" s="263"/>
      <c r="H157" s="37"/>
      <c r="I157" s="1901"/>
      <c r="J157" s="2189"/>
      <c r="K157" s="2190"/>
      <c r="L157" s="2191"/>
      <c r="M157" s="265" t="s">
        <v>197</v>
      </c>
      <c r="N157" s="237">
        <v>20</v>
      </c>
      <c r="O157" s="100"/>
      <c r="P157" s="252"/>
      <c r="Q157" s="26"/>
    </row>
    <row r="158" spans="1:21" s="13" customFormat="1" ht="28.5" customHeight="1" x14ac:dyDescent="0.2">
      <c r="A158" s="175"/>
      <c r="B158" s="291"/>
      <c r="C158" s="306"/>
      <c r="D158" s="700" t="s">
        <v>21</v>
      </c>
      <c r="E158" s="700"/>
      <c r="F158" s="25" t="s">
        <v>287</v>
      </c>
      <c r="G158" s="433"/>
      <c r="H158" s="433"/>
      <c r="I158" s="697"/>
      <c r="J158" s="239"/>
      <c r="K158" s="62"/>
      <c r="L158" s="699"/>
      <c r="M158" s="259" t="s">
        <v>288</v>
      </c>
      <c r="N158" s="188">
        <v>3</v>
      </c>
      <c r="O158" s="171"/>
      <c r="P158" s="152"/>
      <c r="Q158" s="170"/>
      <c r="S158" s="127"/>
      <c r="T158" s="127"/>
      <c r="U158" s="297"/>
    </row>
    <row r="159" spans="1:21" s="13" customFormat="1" ht="16.5" customHeight="1" x14ac:dyDescent="0.2">
      <c r="A159" s="181"/>
      <c r="B159" s="291"/>
      <c r="C159" s="23"/>
      <c r="D159" s="701" t="s">
        <v>22</v>
      </c>
      <c r="E159" s="701"/>
      <c r="F159" s="1874" t="s">
        <v>289</v>
      </c>
      <c r="G159" s="600"/>
      <c r="H159" s="433"/>
      <c r="I159" s="697"/>
      <c r="J159" s="239"/>
      <c r="K159" s="62"/>
      <c r="L159" s="699"/>
      <c r="M159" s="2125" t="s">
        <v>290</v>
      </c>
      <c r="N159" s="693">
        <v>1</v>
      </c>
      <c r="O159" s="93"/>
      <c r="P159" s="270"/>
      <c r="Q159" s="154"/>
      <c r="S159" s="127"/>
      <c r="T159" s="127"/>
      <c r="U159" s="297"/>
    </row>
    <row r="160" spans="1:21" ht="16.5" customHeight="1" thickBot="1" x14ac:dyDescent="0.25">
      <c r="A160" s="430"/>
      <c r="B160" s="431"/>
      <c r="C160" s="660"/>
      <c r="D160" s="388"/>
      <c r="E160" s="388"/>
      <c r="F160" s="1861"/>
      <c r="G160" s="1909" t="s">
        <v>64</v>
      </c>
      <c r="H160" s="1910"/>
      <c r="I160" s="1911"/>
      <c r="J160" s="184">
        <f>SUM(J152:J158)</f>
        <v>332.3</v>
      </c>
      <c r="K160" s="459">
        <f>SUM(K152:K158)</f>
        <v>416.7</v>
      </c>
      <c r="L160" s="488">
        <f>SUM(L152:L158)</f>
        <v>0</v>
      </c>
      <c r="M160" s="2126"/>
      <c r="N160" s="244"/>
      <c r="O160" s="245"/>
      <c r="P160" s="576"/>
      <c r="Q160" s="577"/>
    </row>
    <row r="161" spans="1:19" ht="15.75" customHeight="1" thickBot="1" x14ac:dyDescent="0.25">
      <c r="A161" s="702" t="s">
        <v>17</v>
      </c>
      <c r="B161" s="703" t="s">
        <v>14</v>
      </c>
      <c r="C161" s="1831" t="s">
        <v>20</v>
      </c>
      <c r="D161" s="1832"/>
      <c r="E161" s="1832"/>
      <c r="F161" s="1832"/>
      <c r="G161" s="1832"/>
      <c r="H161" s="1832"/>
      <c r="I161" s="2105"/>
      <c r="J161" s="505">
        <f>J151+J144+J130+J160+J109</f>
        <v>6850.3</v>
      </c>
      <c r="K161" s="704">
        <f>K151+K144+K130+K160+K109</f>
        <v>3976.5</v>
      </c>
      <c r="L161" s="704">
        <f>L151+L144+L130+L160+L109</f>
        <v>0</v>
      </c>
      <c r="M161" s="506"/>
      <c r="N161" s="507"/>
      <c r="O161" s="507"/>
      <c r="P161" s="507"/>
      <c r="Q161" s="508"/>
    </row>
    <row r="162" spans="1:19" ht="17.25" customHeight="1" thickBot="1" x14ac:dyDescent="0.25">
      <c r="A162" s="430" t="s">
        <v>17</v>
      </c>
      <c r="B162" s="504" t="s">
        <v>17</v>
      </c>
      <c r="C162" s="1897" t="s">
        <v>89</v>
      </c>
      <c r="D162" s="1898"/>
      <c r="E162" s="1898"/>
      <c r="F162" s="1898"/>
      <c r="G162" s="1898"/>
      <c r="H162" s="1898"/>
      <c r="I162" s="1898"/>
      <c r="J162" s="1898"/>
      <c r="K162" s="1898"/>
      <c r="L162" s="1898"/>
      <c r="M162" s="1898"/>
      <c r="N162" s="1898"/>
      <c r="O162" s="1898"/>
      <c r="P162" s="1898"/>
      <c r="Q162" s="1899"/>
    </row>
    <row r="163" spans="1:19" ht="15.75" customHeight="1" x14ac:dyDescent="0.2">
      <c r="A163" s="705" t="s">
        <v>17</v>
      </c>
      <c r="B163" s="706" t="s">
        <v>17</v>
      </c>
      <c r="C163" s="707" t="s">
        <v>14</v>
      </c>
      <c r="D163" s="360"/>
      <c r="E163" s="360"/>
      <c r="F163" s="1860" t="s">
        <v>195</v>
      </c>
      <c r="G163" s="288"/>
      <c r="H163" s="491">
        <v>2</v>
      </c>
      <c r="I163" s="708" t="s">
        <v>15</v>
      </c>
      <c r="J163" s="499">
        <v>44</v>
      </c>
      <c r="K163" s="500">
        <v>44</v>
      </c>
      <c r="L163" s="500"/>
      <c r="M163" s="142" t="s">
        <v>148</v>
      </c>
      <c r="N163" s="709">
        <v>8</v>
      </c>
      <c r="O163" s="94"/>
      <c r="P163" s="710"/>
      <c r="Q163" s="597"/>
    </row>
    <row r="164" spans="1:19" ht="17.25" customHeight="1" thickBot="1" x14ac:dyDescent="0.25">
      <c r="A164" s="711"/>
      <c r="B164" s="456"/>
      <c r="C164" s="485"/>
      <c r="D164" s="486"/>
      <c r="E164" s="486"/>
      <c r="F164" s="1861"/>
      <c r="G164" s="294"/>
      <c r="H164" s="487"/>
      <c r="I164" s="190" t="s">
        <v>16</v>
      </c>
      <c r="J164" s="184">
        <f>J163</f>
        <v>44</v>
      </c>
      <c r="K164" s="459">
        <f>K163</f>
        <v>44</v>
      </c>
      <c r="L164" s="459">
        <f>L163</f>
        <v>0</v>
      </c>
      <c r="M164" s="241" t="s">
        <v>196</v>
      </c>
      <c r="N164" s="712">
        <v>586</v>
      </c>
      <c r="O164" s="266"/>
      <c r="P164" s="712"/>
      <c r="Q164" s="242"/>
    </row>
    <row r="165" spans="1:19" ht="16.5" customHeight="1" x14ac:dyDescent="0.2">
      <c r="A165" s="463" t="s">
        <v>17</v>
      </c>
      <c r="B165" s="464" t="s">
        <v>17</v>
      </c>
      <c r="C165" s="713" t="s">
        <v>17</v>
      </c>
      <c r="D165" s="714"/>
      <c r="E165" s="360"/>
      <c r="F165" s="201" t="s">
        <v>131</v>
      </c>
      <c r="G165" s="326"/>
      <c r="H165" s="491">
        <v>2</v>
      </c>
      <c r="I165" s="468" t="s">
        <v>15</v>
      </c>
      <c r="J165" s="715">
        <v>77.2</v>
      </c>
      <c r="K165" s="716">
        <v>77.2</v>
      </c>
      <c r="L165" s="716"/>
      <c r="M165" s="284"/>
      <c r="N165" s="468"/>
      <c r="O165" s="107"/>
      <c r="P165" s="540"/>
      <c r="Q165" s="541"/>
    </row>
    <row r="166" spans="1:19" s="13" customFormat="1" ht="18" customHeight="1" x14ac:dyDescent="0.2">
      <c r="A166" s="175"/>
      <c r="B166" s="291"/>
      <c r="C166" s="1"/>
      <c r="D166" s="717" t="s">
        <v>14</v>
      </c>
      <c r="E166" s="718"/>
      <c r="F166" s="1874" t="s">
        <v>99</v>
      </c>
      <c r="G166" s="719"/>
      <c r="H166" s="37"/>
      <c r="I166" s="404"/>
      <c r="J166" s="410"/>
      <c r="K166" s="411"/>
      <c r="L166" s="411"/>
      <c r="M166" s="34" t="s">
        <v>148</v>
      </c>
      <c r="N166" s="237">
        <v>31</v>
      </c>
      <c r="O166" s="100"/>
      <c r="P166" s="252"/>
      <c r="Q166" s="26"/>
      <c r="R166" s="29"/>
    </row>
    <row r="167" spans="1:19" s="13" customFormat="1" ht="14.25" customHeight="1" x14ac:dyDescent="0.2">
      <c r="A167" s="175"/>
      <c r="B167" s="291"/>
      <c r="C167" s="1"/>
      <c r="D167" s="720"/>
      <c r="E167" s="701"/>
      <c r="F167" s="1875"/>
      <c r="G167" s="719"/>
      <c r="H167" s="37"/>
      <c r="I167" s="404"/>
      <c r="J167" s="410"/>
      <c r="K167" s="411"/>
      <c r="L167" s="411"/>
      <c r="M167" s="34" t="s">
        <v>85</v>
      </c>
      <c r="N167" s="188">
        <v>39</v>
      </c>
      <c r="O167" s="171"/>
      <c r="P167" s="152"/>
      <c r="Q167" s="154"/>
      <c r="R167" s="2193"/>
      <c r="S167" s="2194"/>
    </row>
    <row r="168" spans="1:19" s="13" customFormat="1" ht="43.5" customHeight="1" x14ac:dyDescent="0.2">
      <c r="A168" s="175"/>
      <c r="B168" s="291"/>
      <c r="C168" s="1"/>
      <c r="D168" s="717" t="s">
        <v>17</v>
      </c>
      <c r="E168" s="717"/>
      <c r="F168" s="253" t="s">
        <v>291</v>
      </c>
      <c r="G168" s="719"/>
      <c r="H168" s="37"/>
      <c r="I168" s="404"/>
      <c r="J168" s="138"/>
      <c r="K168" s="721"/>
      <c r="L168" s="721"/>
      <c r="M168" s="722" t="s">
        <v>198</v>
      </c>
      <c r="N168" s="237">
        <v>5</v>
      </c>
      <c r="O168" s="100"/>
      <c r="P168" s="252"/>
      <c r="Q168" s="145"/>
      <c r="R168" s="2193"/>
      <c r="S168" s="2194"/>
    </row>
    <row r="169" spans="1:19" s="13" customFormat="1" ht="15.75" customHeight="1" x14ac:dyDescent="0.2">
      <c r="A169" s="175"/>
      <c r="B169" s="291"/>
      <c r="C169" s="1"/>
      <c r="D169" s="723"/>
      <c r="E169" s="720"/>
      <c r="F169" s="296" t="s">
        <v>292</v>
      </c>
      <c r="G169" s="719"/>
      <c r="H169" s="37"/>
      <c r="I169" s="182"/>
      <c r="J169" s="724"/>
      <c r="K169" s="725"/>
      <c r="L169" s="725"/>
      <c r="M169" s="238" t="s">
        <v>162</v>
      </c>
      <c r="N169" s="693">
        <v>1</v>
      </c>
      <c r="O169" s="93"/>
      <c r="P169" s="270"/>
      <c r="Q169" s="696"/>
      <c r="R169" s="2193"/>
      <c r="S169" s="2194"/>
    </row>
    <row r="170" spans="1:19" s="13" customFormat="1" ht="14.25" customHeight="1" x14ac:dyDescent="0.2">
      <c r="A170" s="175"/>
      <c r="B170" s="291"/>
      <c r="C170" s="1"/>
      <c r="D170" s="723"/>
      <c r="E170" s="720"/>
      <c r="F170" s="296" t="s">
        <v>293</v>
      </c>
      <c r="G170" s="719"/>
      <c r="H170" s="726">
        <v>1</v>
      </c>
      <c r="I170" s="187" t="s">
        <v>15</v>
      </c>
      <c r="J170" s="42">
        <v>158</v>
      </c>
      <c r="K170" s="61">
        <v>158</v>
      </c>
      <c r="L170" s="61"/>
      <c r="M170" s="238" t="s">
        <v>148</v>
      </c>
      <c r="N170" s="693">
        <v>10</v>
      </c>
      <c r="O170" s="93"/>
      <c r="P170" s="270"/>
      <c r="Q170" s="154"/>
      <c r="R170" s="2193"/>
      <c r="S170" s="2194"/>
    </row>
    <row r="171" spans="1:19" s="13" customFormat="1" ht="14.25" customHeight="1" thickBot="1" x14ac:dyDescent="0.25">
      <c r="A171" s="175"/>
      <c r="B171" s="291"/>
      <c r="C171" s="1"/>
      <c r="D171" s="723"/>
      <c r="E171" s="701"/>
      <c r="F171" s="287"/>
      <c r="G171" s="719"/>
      <c r="H171" s="37"/>
      <c r="I171" s="727" t="s">
        <v>16</v>
      </c>
      <c r="J171" s="45">
        <f>SUM(J165:J170)</f>
        <v>235.2</v>
      </c>
      <c r="K171" s="60">
        <f>SUM(K165:K170)</f>
        <v>235.2</v>
      </c>
      <c r="L171" s="60">
        <f>SUM(L165:L170)</f>
        <v>0</v>
      </c>
      <c r="M171" s="80"/>
      <c r="N171" s="188"/>
      <c r="O171" s="171"/>
      <c r="P171" s="728"/>
      <c r="Q171" s="155"/>
    </row>
    <row r="172" spans="1:19" ht="15.75" customHeight="1" thickBot="1" x14ac:dyDescent="0.25">
      <c r="A172" s="503" t="s">
        <v>17</v>
      </c>
      <c r="B172" s="504" t="s">
        <v>17</v>
      </c>
      <c r="C172" s="1831" t="s">
        <v>20</v>
      </c>
      <c r="D172" s="1832"/>
      <c r="E172" s="1832"/>
      <c r="F172" s="1832"/>
      <c r="G172" s="1832"/>
      <c r="H172" s="1832"/>
      <c r="I172" s="2105"/>
      <c r="J172" s="729">
        <f>+J164+J171</f>
        <v>279.2</v>
      </c>
      <c r="K172" s="730">
        <f>+K164+K171</f>
        <v>279.2</v>
      </c>
      <c r="L172" s="731">
        <f>+L164+L171</f>
        <v>0</v>
      </c>
      <c r="M172" s="506"/>
      <c r="N172" s="507"/>
      <c r="O172" s="507"/>
      <c r="P172" s="507"/>
      <c r="Q172" s="508"/>
    </row>
    <row r="173" spans="1:19" ht="15.75" customHeight="1" thickBot="1" x14ac:dyDescent="0.25">
      <c r="A173" s="503" t="s">
        <v>17</v>
      </c>
      <c r="B173" s="732" t="s">
        <v>19</v>
      </c>
      <c r="C173" s="1897" t="s">
        <v>33</v>
      </c>
      <c r="D173" s="1898"/>
      <c r="E173" s="1898"/>
      <c r="F173" s="1898"/>
      <c r="G173" s="1898"/>
      <c r="H173" s="1898"/>
      <c r="I173" s="1898"/>
      <c r="J173" s="1898"/>
      <c r="K173" s="1898"/>
      <c r="L173" s="1898"/>
      <c r="M173" s="1898"/>
      <c r="N173" s="1898"/>
      <c r="O173" s="1898"/>
      <c r="P173" s="1898"/>
      <c r="Q173" s="1899"/>
    </row>
    <row r="174" spans="1:19" ht="15.75" customHeight="1" x14ac:dyDescent="0.2">
      <c r="A174" s="463" t="s">
        <v>17</v>
      </c>
      <c r="B174" s="464" t="s">
        <v>19</v>
      </c>
      <c r="C174" s="465" t="s">
        <v>14</v>
      </c>
      <c r="D174" s="466"/>
      <c r="E174" s="466"/>
      <c r="F174" s="2195" t="s">
        <v>34</v>
      </c>
      <c r="G174" s="288"/>
      <c r="H174" s="467">
        <v>6</v>
      </c>
      <c r="I174" s="192" t="s">
        <v>15</v>
      </c>
      <c r="J174" s="134">
        <v>2182.4</v>
      </c>
      <c r="K174" s="125">
        <f>2143.7-10.1+10</f>
        <v>2143.6</v>
      </c>
      <c r="L174" s="125"/>
      <c r="M174" s="733"/>
      <c r="N174" s="468"/>
      <c r="O174" s="107"/>
      <c r="P174" s="540"/>
      <c r="Q174" s="541"/>
      <c r="S174" s="297"/>
    </row>
    <row r="175" spans="1:19" ht="15.75" customHeight="1" x14ac:dyDescent="0.2">
      <c r="A175" s="454"/>
      <c r="B175" s="431"/>
      <c r="C175" s="432"/>
      <c r="D175" s="476"/>
      <c r="E175" s="476"/>
      <c r="F175" s="2196"/>
      <c r="G175" s="289"/>
      <c r="H175" s="403"/>
      <c r="I175" s="734" t="s">
        <v>127</v>
      </c>
      <c r="J175" s="735">
        <f>56.4+7.4</f>
        <v>63.8</v>
      </c>
      <c r="K175" s="736">
        <v>102.5</v>
      </c>
      <c r="L175" s="736"/>
      <c r="M175" s="737"/>
      <c r="N175" s="436"/>
      <c r="O175" s="544"/>
      <c r="P175" s="545"/>
      <c r="Q175" s="108"/>
      <c r="S175" s="297"/>
    </row>
    <row r="176" spans="1:19" ht="15.75" customHeight="1" x14ac:dyDescent="0.2">
      <c r="A176" s="454"/>
      <c r="B176" s="431"/>
      <c r="C176" s="432"/>
      <c r="D176" s="476"/>
      <c r="E176" s="476"/>
      <c r="F176" s="2197"/>
      <c r="G176" s="289"/>
      <c r="H176" s="403"/>
      <c r="I176" s="734" t="s">
        <v>18</v>
      </c>
      <c r="J176" s="738">
        <v>7.4</v>
      </c>
      <c r="K176" s="739">
        <v>40.200000000000003</v>
      </c>
      <c r="L176" s="739"/>
      <c r="M176" s="737"/>
      <c r="N176" s="436"/>
      <c r="O176" s="544"/>
      <c r="P176" s="545"/>
      <c r="Q176" s="108"/>
      <c r="S176" s="297"/>
    </row>
    <row r="177" spans="1:19" ht="105" customHeight="1" x14ac:dyDescent="0.2">
      <c r="A177" s="454"/>
      <c r="B177" s="431"/>
      <c r="C177" s="740"/>
      <c r="D177" s="435" t="s">
        <v>14</v>
      </c>
      <c r="E177" s="435"/>
      <c r="F177" s="24" t="s">
        <v>294</v>
      </c>
      <c r="G177" s="289"/>
      <c r="H177" s="403"/>
      <c r="I177" s="189"/>
      <c r="J177" s="239"/>
      <c r="K177" s="62"/>
      <c r="L177" s="62"/>
      <c r="M177" s="249" t="s">
        <v>199</v>
      </c>
      <c r="N177" s="237">
        <v>17</v>
      </c>
      <c r="O177" s="100"/>
      <c r="P177" s="252"/>
      <c r="Q177" s="26"/>
    </row>
    <row r="178" spans="1:19" s="127" customFormat="1" ht="28.5" customHeight="1" x14ac:dyDescent="0.2">
      <c r="A178" s="454"/>
      <c r="B178" s="431"/>
      <c r="C178" s="740"/>
      <c r="D178" s="370" t="s">
        <v>17</v>
      </c>
      <c r="E178" s="370"/>
      <c r="F178" s="15" t="s">
        <v>132</v>
      </c>
      <c r="G178" s="289"/>
      <c r="H178" s="403"/>
      <c r="I178" s="189"/>
      <c r="J178" s="239"/>
      <c r="K178" s="62"/>
      <c r="L178" s="62"/>
      <c r="M178" s="305" t="s">
        <v>148</v>
      </c>
      <c r="N178" s="693">
        <v>93</v>
      </c>
      <c r="O178" s="93"/>
      <c r="P178" s="270"/>
      <c r="Q178" s="154"/>
    </row>
    <row r="179" spans="1:19" ht="28.5" customHeight="1" x14ac:dyDescent="0.2">
      <c r="A179" s="454"/>
      <c r="B179" s="431"/>
      <c r="C179" s="740"/>
      <c r="D179" s="741" t="s">
        <v>19</v>
      </c>
      <c r="E179" s="435"/>
      <c r="F179" s="24" t="s">
        <v>39</v>
      </c>
      <c r="G179" s="289"/>
      <c r="H179" s="403"/>
      <c r="I179" s="189"/>
      <c r="J179" s="239"/>
      <c r="K179" s="62"/>
      <c r="L179" s="62"/>
      <c r="M179" s="249" t="s">
        <v>200</v>
      </c>
      <c r="N179" s="237">
        <v>30</v>
      </c>
      <c r="O179" s="100"/>
      <c r="P179" s="252"/>
      <c r="Q179" s="26"/>
    </row>
    <row r="180" spans="1:19" ht="29.25" customHeight="1" x14ac:dyDescent="0.2">
      <c r="A180" s="454"/>
      <c r="B180" s="431"/>
      <c r="C180" s="740"/>
      <c r="D180" s="370" t="s">
        <v>21</v>
      </c>
      <c r="E180" s="370"/>
      <c r="F180" s="36" t="s">
        <v>42</v>
      </c>
      <c r="G180" s="289"/>
      <c r="H180" s="403"/>
      <c r="I180" s="189"/>
      <c r="J180" s="239"/>
      <c r="K180" s="62"/>
      <c r="L180" s="62"/>
      <c r="M180" s="321" t="s">
        <v>201</v>
      </c>
      <c r="N180" s="179">
        <v>3</v>
      </c>
      <c r="O180" s="153"/>
      <c r="P180" s="275"/>
      <c r="Q180" s="11"/>
    </row>
    <row r="181" spans="1:19" ht="18" customHeight="1" x14ac:dyDescent="0.2">
      <c r="A181" s="454"/>
      <c r="B181" s="431"/>
      <c r="C181" s="740"/>
      <c r="D181" s="435" t="s">
        <v>22</v>
      </c>
      <c r="E181" s="435"/>
      <c r="F181" s="24" t="s">
        <v>38</v>
      </c>
      <c r="G181" s="289"/>
      <c r="H181" s="403"/>
      <c r="I181" s="189"/>
      <c r="J181" s="239"/>
      <c r="K181" s="62"/>
      <c r="L181" s="62"/>
      <c r="M181" s="249" t="s">
        <v>43</v>
      </c>
      <c r="N181" s="237">
        <v>35</v>
      </c>
      <c r="O181" s="100"/>
      <c r="P181" s="252"/>
      <c r="Q181" s="26"/>
      <c r="R181" s="127"/>
      <c r="S181" s="331"/>
    </row>
    <row r="182" spans="1:19" ht="30.75" customHeight="1" x14ac:dyDescent="0.2">
      <c r="A182" s="454"/>
      <c r="B182" s="431"/>
      <c r="C182" s="432"/>
      <c r="D182" s="476" t="s">
        <v>175</v>
      </c>
      <c r="E182" s="476"/>
      <c r="F182" s="268" t="s">
        <v>202</v>
      </c>
      <c r="G182" s="289"/>
      <c r="H182" s="403"/>
      <c r="I182" s="189"/>
      <c r="J182" s="239"/>
      <c r="K182" s="62"/>
      <c r="L182" s="62"/>
      <c r="M182" s="305" t="s">
        <v>203</v>
      </c>
      <c r="N182" s="237">
        <v>7</v>
      </c>
      <c r="O182" s="100"/>
      <c r="P182" s="252"/>
      <c r="Q182" s="26"/>
      <c r="R182" s="127"/>
      <c r="S182" s="331"/>
    </row>
    <row r="183" spans="1:19" ht="14.25" customHeight="1" x14ac:dyDescent="0.2">
      <c r="A183" s="454"/>
      <c r="B183" s="431"/>
      <c r="C183" s="432"/>
      <c r="D183" s="602" t="s">
        <v>178</v>
      </c>
      <c r="E183" s="602"/>
      <c r="F183" s="282" t="s">
        <v>40</v>
      </c>
      <c r="G183" s="289"/>
      <c r="H183" s="403"/>
      <c r="I183" s="189"/>
      <c r="J183" s="239"/>
      <c r="K183" s="62"/>
      <c r="L183" s="62"/>
      <c r="M183" s="2125" t="s">
        <v>204</v>
      </c>
      <c r="N183" s="188">
        <v>101</v>
      </c>
      <c r="O183" s="171"/>
      <c r="P183" s="152"/>
      <c r="Q183" s="170"/>
      <c r="R183" s="127"/>
      <c r="S183" s="331"/>
    </row>
    <row r="184" spans="1:19" ht="14.25" customHeight="1" x14ac:dyDescent="0.2">
      <c r="A184" s="454"/>
      <c r="B184" s="431"/>
      <c r="C184" s="432"/>
      <c r="D184" s="606"/>
      <c r="E184" s="606"/>
      <c r="F184" s="329"/>
      <c r="G184" s="289"/>
      <c r="H184" s="403"/>
      <c r="I184" s="188"/>
      <c r="J184" s="239"/>
      <c r="K184" s="62"/>
      <c r="L184" s="62"/>
      <c r="M184" s="2198"/>
      <c r="N184" s="188"/>
      <c r="O184" s="171"/>
      <c r="P184" s="152"/>
      <c r="Q184" s="170"/>
      <c r="R184" s="127"/>
      <c r="S184" s="331"/>
    </row>
    <row r="185" spans="1:19" ht="27" customHeight="1" x14ac:dyDescent="0.2">
      <c r="A185" s="454"/>
      <c r="B185" s="431"/>
      <c r="C185" s="740"/>
      <c r="D185" s="370" t="s">
        <v>235</v>
      </c>
      <c r="E185" s="370"/>
      <c r="F185" s="78" t="s">
        <v>61</v>
      </c>
      <c r="G185" s="16"/>
      <c r="H185" s="51"/>
      <c r="I185" s="188"/>
      <c r="J185" s="239"/>
      <c r="K185" s="62"/>
      <c r="L185" s="62"/>
      <c r="M185" s="234" t="s">
        <v>148</v>
      </c>
      <c r="N185" s="237">
        <v>16</v>
      </c>
      <c r="O185" s="100"/>
      <c r="P185" s="252"/>
      <c r="Q185" s="26"/>
      <c r="R185" s="110"/>
      <c r="S185" s="331"/>
    </row>
    <row r="186" spans="1:19" ht="30.75" customHeight="1" x14ac:dyDescent="0.2">
      <c r="A186" s="454"/>
      <c r="B186" s="431"/>
      <c r="C186" s="740"/>
      <c r="D186" s="435" t="s">
        <v>5</v>
      </c>
      <c r="E186" s="435"/>
      <c r="F186" s="174" t="s">
        <v>73</v>
      </c>
      <c r="G186" s="16"/>
      <c r="H186" s="51"/>
      <c r="I186" s="188"/>
      <c r="J186" s="239"/>
      <c r="K186" s="62"/>
      <c r="L186" s="62"/>
      <c r="M186" s="234" t="s">
        <v>148</v>
      </c>
      <c r="N186" s="179">
        <v>10</v>
      </c>
      <c r="O186" s="153"/>
      <c r="P186" s="275"/>
      <c r="Q186" s="11"/>
    </row>
    <row r="187" spans="1:19" ht="18" customHeight="1" x14ac:dyDescent="0.2">
      <c r="A187" s="454"/>
      <c r="B187" s="431"/>
      <c r="C187" s="740"/>
      <c r="D187" s="435" t="s">
        <v>237</v>
      </c>
      <c r="E187" s="435"/>
      <c r="F187" s="295" t="s">
        <v>133</v>
      </c>
      <c r="G187" s="89"/>
      <c r="H187" s="51"/>
      <c r="I187" s="188"/>
      <c r="J187" s="239"/>
      <c r="K187" s="62"/>
      <c r="L187" s="62"/>
      <c r="M187" s="234" t="s">
        <v>148</v>
      </c>
      <c r="N187" s="179">
        <v>12</v>
      </c>
      <c r="O187" s="153"/>
      <c r="P187" s="275"/>
      <c r="Q187" s="11"/>
    </row>
    <row r="188" spans="1:19" ht="27.75" customHeight="1" x14ac:dyDescent="0.2">
      <c r="A188" s="454"/>
      <c r="B188" s="431"/>
      <c r="C188" s="432"/>
      <c r="D188" s="476" t="s">
        <v>240</v>
      </c>
      <c r="E188" s="476"/>
      <c r="F188" s="1874" t="s">
        <v>295</v>
      </c>
      <c r="G188" s="1876" t="s">
        <v>60</v>
      </c>
      <c r="H188" s="403"/>
      <c r="I188" s="189"/>
      <c r="J188" s="239"/>
      <c r="K188" s="62"/>
      <c r="L188" s="62"/>
      <c r="M188" s="325" t="s">
        <v>205</v>
      </c>
      <c r="N188" s="179">
        <v>2</v>
      </c>
      <c r="O188" s="153"/>
      <c r="P188" s="275"/>
      <c r="Q188" s="11"/>
    </row>
    <row r="189" spans="1:19" ht="27.75" customHeight="1" x14ac:dyDescent="0.2">
      <c r="A189" s="454"/>
      <c r="B189" s="431"/>
      <c r="C189" s="432"/>
      <c r="D189" s="476"/>
      <c r="E189" s="476"/>
      <c r="F189" s="1875"/>
      <c r="G189" s="1877"/>
      <c r="H189" s="403"/>
      <c r="I189" s="189"/>
      <c r="J189" s="239"/>
      <c r="K189" s="62"/>
      <c r="L189" s="62"/>
      <c r="M189" s="249" t="s">
        <v>206</v>
      </c>
      <c r="N189" s="693">
        <v>5</v>
      </c>
      <c r="O189" s="93"/>
      <c r="P189" s="270"/>
      <c r="Q189" s="154"/>
    </row>
    <row r="190" spans="1:19" ht="28.5" customHeight="1" x14ac:dyDescent="0.2">
      <c r="A190" s="454"/>
      <c r="B190" s="431"/>
      <c r="C190" s="432"/>
      <c r="D190" s="741" t="s">
        <v>242</v>
      </c>
      <c r="E190" s="741"/>
      <c r="F190" s="195" t="s">
        <v>207</v>
      </c>
      <c r="G190" s="742"/>
      <c r="H190" s="433"/>
      <c r="I190" s="404"/>
      <c r="J190" s="239"/>
      <c r="K190" s="62"/>
      <c r="L190" s="62"/>
      <c r="M190" s="305" t="s">
        <v>148</v>
      </c>
      <c r="N190" s="693">
        <v>33</v>
      </c>
      <c r="O190" s="93"/>
      <c r="P190" s="270"/>
      <c r="Q190" s="154"/>
    </row>
    <row r="191" spans="1:19" ht="14.25" customHeight="1" x14ac:dyDescent="0.2">
      <c r="A191" s="454"/>
      <c r="B191" s="431"/>
      <c r="C191" s="432"/>
      <c r="D191" s="476" t="s">
        <v>246</v>
      </c>
      <c r="E191" s="476"/>
      <c r="F191" s="1923" t="s">
        <v>296</v>
      </c>
      <c r="G191" s="269"/>
      <c r="H191" s="600"/>
      <c r="I191" s="404"/>
      <c r="J191" s="239"/>
      <c r="K191" s="62"/>
      <c r="L191" s="62"/>
      <c r="M191" s="2125" t="s">
        <v>199</v>
      </c>
      <c r="N191" s="693">
        <v>2</v>
      </c>
      <c r="O191" s="93"/>
      <c r="P191" s="270"/>
      <c r="Q191" s="154"/>
    </row>
    <row r="192" spans="1:19" ht="14.25" customHeight="1" thickBot="1" x14ac:dyDescent="0.25">
      <c r="A192" s="613"/>
      <c r="B192" s="484"/>
      <c r="C192" s="485"/>
      <c r="D192" s="486"/>
      <c r="E192" s="486"/>
      <c r="F192" s="1879"/>
      <c r="G192" s="294"/>
      <c r="H192" s="743"/>
      <c r="I192" s="190" t="s">
        <v>16</v>
      </c>
      <c r="J192" s="184">
        <f>SUM(J174:J190)</f>
        <v>2253.6000000000004</v>
      </c>
      <c r="K192" s="459">
        <f>SUM(K174:K190)</f>
        <v>2286.2999999999997</v>
      </c>
      <c r="L192" s="459">
        <f>SUM(L174:L190)</f>
        <v>0</v>
      </c>
      <c r="M192" s="2126"/>
      <c r="N192" s="554"/>
      <c r="O192" s="555"/>
      <c r="P192" s="556"/>
      <c r="Q192" s="557"/>
    </row>
    <row r="193" spans="1:29" s="13" customFormat="1" ht="26.25" customHeight="1" x14ac:dyDescent="0.2">
      <c r="A193" s="2095" t="s">
        <v>17</v>
      </c>
      <c r="B193" s="2127" t="s">
        <v>19</v>
      </c>
      <c r="C193" s="1" t="s">
        <v>17</v>
      </c>
      <c r="D193" s="744"/>
      <c r="E193" s="745"/>
      <c r="F193" s="2114" t="s">
        <v>297</v>
      </c>
      <c r="G193" s="2129"/>
      <c r="H193" s="2130">
        <v>2</v>
      </c>
      <c r="I193" s="185" t="s">
        <v>15</v>
      </c>
      <c r="J193" s="40">
        <v>31.3</v>
      </c>
      <c r="K193" s="63">
        <v>31.3</v>
      </c>
      <c r="L193" s="63"/>
      <c r="M193" s="2132" t="s">
        <v>298</v>
      </c>
      <c r="N193" s="185">
        <v>300</v>
      </c>
      <c r="O193" s="151"/>
      <c r="P193" s="746"/>
      <c r="Q193" s="54"/>
    </row>
    <row r="194" spans="1:29" s="13" customFormat="1" ht="16.5" customHeight="1" thickBot="1" x14ac:dyDescent="0.25">
      <c r="A194" s="2096"/>
      <c r="B194" s="2128"/>
      <c r="C194" s="204"/>
      <c r="D194" s="747"/>
      <c r="E194" s="748"/>
      <c r="F194" s="1879"/>
      <c r="G194" s="1888"/>
      <c r="H194" s="2131"/>
      <c r="I194" s="190" t="s">
        <v>16</v>
      </c>
      <c r="J194" s="45">
        <f>SUM(J193:J193)</f>
        <v>31.3</v>
      </c>
      <c r="K194" s="60">
        <f>SUM(K193:K193)</f>
        <v>31.3</v>
      </c>
      <c r="L194" s="118">
        <f>SUM(L193:L193)</f>
        <v>0</v>
      </c>
      <c r="M194" s="2126"/>
      <c r="N194" s="194"/>
      <c r="O194" s="191"/>
      <c r="P194" s="749"/>
      <c r="Q194" s="98"/>
    </row>
    <row r="195" spans="1:29" ht="19.5" customHeight="1" x14ac:dyDescent="0.2">
      <c r="A195" s="463" t="s">
        <v>17</v>
      </c>
      <c r="B195" s="464" t="s">
        <v>19</v>
      </c>
      <c r="C195" s="750" t="s">
        <v>19</v>
      </c>
      <c r="D195" s="714"/>
      <c r="E195" s="360"/>
      <c r="F195" s="1860" t="s">
        <v>208</v>
      </c>
      <c r="G195" s="2129" t="s">
        <v>58</v>
      </c>
      <c r="H195" s="199">
        <v>2</v>
      </c>
      <c r="I195" s="192" t="s">
        <v>15</v>
      </c>
      <c r="J195" s="130">
        <v>35</v>
      </c>
      <c r="K195" s="131">
        <v>1.5</v>
      </c>
      <c r="L195" s="692"/>
      <c r="M195" s="142" t="s">
        <v>209</v>
      </c>
      <c r="N195" s="206">
        <v>1</v>
      </c>
      <c r="O195" s="107"/>
      <c r="P195" s="540"/>
      <c r="Q195" s="541"/>
    </row>
    <row r="196" spans="1:29" ht="19.5" customHeight="1" x14ac:dyDescent="0.2">
      <c r="A196" s="454"/>
      <c r="B196" s="431"/>
      <c r="C196" s="751"/>
      <c r="D196" s="379"/>
      <c r="E196" s="370"/>
      <c r="F196" s="1886"/>
      <c r="G196" s="2133"/>
      <c r="H196" s="264"/>
      <c r="I196" s="189"/>
      <c r="J196" s="114"/>
      <c r="K196" s="120"/>
      <c r="L196" s="681"/>
      <c r="M196" s="80"/>
      <c r="N196" s="752"/>
      <c r="O196" s="544"/>
      <c r="P196" s="545"/>
      <c r="Q196" s="108"/>
    </row>
    <row r="197" spans="1:29" ht="15" customHeight="1" thickBot="1" x14ac:dyDescent="0.25">
      <c r="A197" s="613"/>
      <c r="B197" s="484"/>
      <c r="C197" s="753"/>
      <c r="D197" s="458"/>
      <c r="E197" s="388"/>
      <c r="F197" s="287"/>
      <c r="G197" s="271" t="s">
        <v>194</v>
      </c>
      <c r="H197" s="754"/>
      <c r="I197" s="272" t="s">
        <v>16</v>
      </c>
      <c r="J197" s="150">
        <f>+J195</f>
        <v>35</v>
      </c>
      <c r="K197" s="535">
        <f>+K195</f>
        <v>1.5</v>
      </c>
      <c r="L197" s="755"/>
      <c r="M197" s="246"/>
      <c r="N197" s="436"/>
      <c r="O197" s="544"/>
      <c r="P197" s="545"/>
      <c r="Q197" s="108"/>
    </row>
    <row r="198" spans="1:29" ht="15" customHeight="1" x14ac:dyDescent="0.2">
      <c r="A198" s="463" t="s">
        <v>17</v>
      </c>
      <c r="B198" s="464" t="s">
        <v>19</v>
      </c>
      <c r="C198" s="707" t="s">
        <v>21</v>
      </c>
      <c r="D198" s="360"/>
      <c r="E198" s="360"/>
      <c r="F198" s="2120" t="s">
        <v>135</v>
      </c>
      <c r="G198" s="205"/>
      <c r="H198" s="199">
        <v>6</v>
      </c>
      <c r="I198" s="206" t="s">
        <v>15</v>
      </c>
      <c r="J198" s="362">
        <v>2239</v>
      </c>
      <c r="K198" s="363">
        <f>1856.2-68.8-14</f>
        <v>1773.4</v>
      </c>
      <c r="L198" s="363"/>
      <c r="M198" s="284"/>
      <c r="N198" s="468"/>
      <c r="O198" s="107"/>
      <c r="P198" s="540"/>
      <c r="Q198" s="541"/>
      <c r="R198" s="90"/>
      <c r="S198" s="308"/>
    </row>
    <row r="199" spans="1:29" ht="15" customHeight="1" x14ac:dyDescent="0.2">
      <c r="A199" s="454"/>
      <c r="B199" s="431"/>
      <c r="C199" s="740"/>
      <c r="D199" s="370"/>
      <c r="E199" s="370"/>
      <c r="F199" s="1990"/>
      <c r="G199" s="183"/>
      <c r="H199" s="264"/>
      <c r="I199" s="186" t="s">
        <v>127</v>
      </c>
      <c r="J199" s="117">
        <v>6</v>
      </c>
      <c r="K199" s="123">
        <v>388.8</v>
      </c>
      <c r="L199" s="123"/>
      <c r="M199" s="325"/>
      <c r="N199" s="436"/>
      <c r="O199" s="544"/>
      <c r="P199" s="545"/>
      <c r="Q199" s="108"/>
      <c r="R199" s="90"/>
      <c r="S199" s="308"/>
    </row>
    <row r="200" spans="1:29" ht="15" customHeight="1" x14ac:dyDescent="0.2">
      <c r="A200" s="454"/>
      <c r="B200" s="431"/>
      <c r="C200" s="740"/>
      <c r="D200" s="370"/>
      <c r="E200" s="370"/>
      <c r="F200" s="290"/>
      <c r="G200" s="183"/>
      <c r="H200" s="264"/>
      <c r="I200" s="756" t="s">
        <v>3</v>
      </c>
      <c r="J200" s="42">
        <v>143</v>
      </c>
      <c r="K200" s="61">
        <f>143-70</f>
        <v>73</v>
      </c>
      <c r="L200" s="61"/>
      <c r="M200" s="325"/>
      <c r="N200" s="436"/>
      <c r="O200" s="544"/>
      <c r="P200" s="545"/>
      <c r="Q200" s="108"/>
      <c r="R200" s="90"/>
      <c r="S200" s="757"/>
    </row>
    <row r="201" spans="1:29" ht="15" customHeight="1" x14ac:dyDescent="0.2">
      <c r="A201" s="454"/>
      <c r="B201" s="431"/>
      <c r="C201" s="740"/>
      <c r="D201" s="370"/>
      <c r="E201" s="370"/>
      <c r="F201" s="290"/>
      <c r="G201" s="183"/>
      <c r="H201" s="758">
        <v>2</v>
      </c>
      <c r="I201" s="756" t="s">
        <v>15</v>
      </c>
      <c r="J201" s="46"/>
      <c r="K201" s="64">
        <v>14</v>
      </c>
      <c r="L201" s="61"/>
      <c r="M201" s="325"/>
      <c r="N201" s="436"/>
      <c r="O201" s="544"/>
      <c r="P201" s="545"/>
      <c r="Q201" s="108"/>
      <c r="R201" s="90"/>
    </row>
    <row r="202" spans="1:29" ht="15" customHeight="1" x14ac:dyDescent="0.2">
      <c r="A202" s="454"/>
      <c r="B202" s="431"/>
      <c r="C202" s="740"/>
      <c r="D202" s="370"/>
      <c r="E202" s="370"/>
      <c r="F202" s="290"/>
      <c r="G202" s="183"/>
      <c r="H202" s="759"/>
      <c r="I202" s="760" t="s">
        <v>3</v>
      </c>
      <c r="J202" s="53"/>
      <c r="K202" s="75">
        <v>70</v>
      </c>
      <c r="L202" s="76"/>
      <c r="M202" s="325"/>
      <c r="N202" s="436"/>
      <c r="O202" s="544"/>
      <c r="P202" s="545"/>
      <c r="Q202" s="108"/>
      <c r="R202" s="90"/>
    </row>
    <row r="203" spans="1:29" s="763" customFormat="1" ht="18" customHeight="1" x14ac:dyDescent="0.2">
      <c r="A203" s="454"/>
      <c r="B203" s="431"/>
      <c r="C203" s="751"/>
      <c r="D203" s="761" t="s">
        <v>14</v>
      </c>
      <c r="E203" s="435"/>
      <c r="F203" s="57" t="s">
        <v>136</v>
      </c>
      <c r="G203" s="247"/>
      <c r="H203" s="264"/>
      <c r="I203" s="189"/>
      <c r="J203" s="239"/>
      <c r="K203" s="62"/>
      <c r="L203" s="62"/>
      <c r="M203" s="249" t="s">
        <v>210</v>
      </c>
      <c r="N203" s="223">
        <v>92</v>
      </c>
      <c r="O203" s="91"/>
      <c r="P203" s="223"/>
      <c r="Q203" s="273"/>
      <c r="R203" s="605"/>
      <c r="S203" s="762"/>
      <c r="T203" s="762"/>
      <c r="U203" s="762"/>
      <c r="V203" s="762"/>
      <c r="W203" s="762"/>
      <c r="X203" s="762"/>
      <c r="Y203" s="762"/>
      <c r="Z203" s="762"/>
      <c r="AA203" s="762"/>
      <c r="AB203" s="762"/>
      <c r="AC203" s="762"/>
    </row>
    <row r="204" spans="1:29" s="763" customFormat="1" ht="28.5" customHeight="1" x14ac:dyDescent="0.2">
      <c r="A204" s="454"/>
      <c r="B204" s="431"/>
      <c r="C204" s="208"/>
      <c r="D204" s="764" t="s">
        <v>17</v>
      </c>
      <c r="E204" s="764"/>
      <c r="F204" s="1864" t="s">
        <v>137</v>
      </c>
      <c r="G204" s="274"/>
      <c r="H204" s="264"/>
      <c r="I204" s="765"/>
      <c r="J204" s="766"/>
      <c r="K204" s="767"/>
      <c r="L204" s="767"/>
      <c r="M204" s="768" t="s">
        <v>211</v>
      </c>
      <c r="N204" s="312">
        <v>59</v>
      </c>
      <c r="O204" s="313"/>
      <c r="P204" s="769"/>
      <c r="Q204" s="770"/>
      <c r="R204" s="762"/>
      <c r="S204" s="762"/>
      <c r="T204" s="762"/>
      <c r="U204" s="762"/>
      <c r="V204" s="762"/>
      <c r="W204" s="762"/>
      <c r="X204" s="762"/>
      <c r="Y204" s="762"/>
      <c r="Z204" s="762"/>
      <c r="AA204" s="762"/>
      <c r="AB204" s="762"/>
      <c r="AC204" s="762"/>
    </row>
    <row r="205" spans="1:29" s="763" customFormat="1" ht="29.25" customHeight="1" x14ac:dyDescent="0.2">
      <c r="A205" s="454"/>
      <c r="B205" s="431"/>
      <c r="C205" s="208"/>
      <c r="D205" s="764"/>
      <c r="E205" s="764"/>
      <c r="F205" s="1863"/>
      <c r="G205" s="247"/>
      <c r="H205" s="264"/>
      <c r="I205" s="771"/>
      <c r="J205" s="772"/>
      <c r="K205" s="773"/>
      <c r="L205" s="773"/>
      <c r="M205" s="276" t="s">
        <v>212</v>
      </c>
      <c r="N205" s="222">
        <v>20</v>
      </c>
      <c r="O205" s="35"/>
      <c r="P205" s="222"/>
      <c r="Q205" s="774"/>
      <c r="R205" s="762"/>
      <c r="S205" s="762"/>
      <c r="T205" s="762"/>
      <c r="U205" s="762"/>
      <c r="V205" s="762"/>
      <c r="W205" s="762"/>
      <c r="X205" s="762"/>
      <c r="Y205" s="762"/>
      <c r="Z205" s="762"/>
      <c r="AA205" s="762"/>
      <c r="AB205" s="762"/>
      <c r="AC205" s="762"/>
    </row>
    <row r="206" spans="1:29" s="176" customFormat="1" ht="42" customHeight="1" x14ac:dyDescent="0.2">
      <c r="A206" s="175"/>
      <c r="B206" s="291"/>
      <c r="C206" s="208"/>
      <c r="D206" s="775" t="s">
        <v>19</v>
      </c>
      <c r="E206" s="775"/>
      <c r="F206" s="283" t="s">
        <v>299</v>
      </c>
      <c r="G206" s="274"/>
      <c r="H206" s="39"/>
      <c r="I206" s="765"/>
      <c r="J206" s="239"/>
      <c r="K206" s="62"/>
      <c r="L206" s="776"/>
      <c r="M206" s="768" t="s">
        <v>210</v>
      </c>
      <c r="N206" s="270">
        <v>1</v>
      </c>
      <c r="O206" s="171"/>
      <c r="P206" s="152"/>
      <c r="Q206" s="8"/>
      <c r="R206" s="207"/>
      <c r="S206" s="207"/>
      <c r="T206" s="207"/>
      <c r="U206" s="207"/>
      <c r="V206" s="207"/>
      <c r="W206" s="207"/>
      <c r="X206" s="207"/>
      <c r="Y206" s="207"/>
      <c r="Z206" s="207"/>
      <c r="AA206" s="207"/>
      <c r="AB206" s="207"/>
      <c r="AC206" s="207"/>
    </row>
    <row r="207" spans="1:29" s="763" customFormat="1" ht="31.5" customHeight="1" x14ac:dyDescent="0.2">
      <c r="A207" s="454"/>
      <c r="B207" s="425"/>
      <c r="C207" s="208"/>
      <c r="D207" s="764" t="s">
        <v>21</v>
      </c>
      <c r="E207" s="764"/>
      <c r="F207" s="1864" t="s">
        <v>300</v>
      </c>
      <c r="G207" s="274"/>
      <c r="H207" s="264"/>
      <c r="I207" s="765"/>
      <c r="J207" s="239"/>
      <c r="K207" s="62"/>
      <c r="L207" s="62"/>
      <c r="M207" s="777" t="s">
        <v>213</v>
      </c>
      <c r="N207" s="252">
        <v>4</v>
      </c>
      <c r="O207" s="100"/>
      <c r="P207" s="252"/>
      <c r="Q207" s="140"/>
      <c r="R207" s="762"/>
      <c r="S207" s="762"/>
      <c r="T207" s="762"/>
      <c r="U207" s="762"/>
      <c r="V207" s="762"/>
      <c r="W207" s="762"/>
      <c r="X207" s="762"/>
      <c r="Y207" s="762"/>
      <c r="Z207" s="762"/>
      <c r="AA207" s="762"/>
      <c r="AB207" s="762"/>
      <c r="AC207" s="762"/>
    </row>
    <row r="208" spans="1:29" s="763" customFormat="1" ht="20.25" customHeight="1" x14ac:dyDescent="0.2">
      <c r="A208" s="454"/>
      <c r="B208" s="425"/>
      <c r="C208" s="208"/>
      <c r="D208" s="764"/>
      <c r="E208" s="764"/>
      <c r="F208" s="1862"/>
      <c r="G208" s="274"/>
      <c r="H208" s="264"/>
      <c r="I208" s="765"/>
      <c r="J208" s="239"/>
      <c r="K208" s="62"/>
      <c r="L208" s="62"/>
      <c r="M208" s="2123" t="s">
        <v>301</v>
      </c>
      <c r="N208" s="778">
        <v>2</v>
      </c>
      <c r="O208" s="779"/>
      <c r="P208" s="152"/>
      <c r="Q208" s="477"/>
      <c r="R208" s="762"/>
      <c r="S208" s="762"/>
      <c r="T208" s="762"/>
      <c r="U208" s="762"/>
      <c r="V208" s="762"/>
      <c r="W208" s="762"/>
      <c r="X208" s="762"/>
      <c r="Y208" s="762"/>
      <c r="Z208" s="762"/>
      <c r="AA208" s="762"/>
      <c r="AB208" s="762"/>
      <c r="AC208" s="762"/>
    </row>
    <row r="209" spans="1:29" s="763" customFormat="1" ht="20.25" customHeight="1" x14ac:dyDescent="0.2">
      <c r="A209" s="454"/>
      <c r="B209" s="425"/>
      <c r="C209" s="208"/>
      <c r="D209" s="764"/>
      <c r="E209" s="764"/>
      <c r="F209" s="1862"/>
      <c r="G209" s="274"/>
      <c r="H209" s="264"/>
      <c r="I209" s="765"/>
      <c r="J209" s="239"/>
      <c r="K209" s="62"/>
      <c r="L209" s="62"/>
      <c r="M209" s="2124"/>
      <c r="N209" s="188"/>
      <c r="O209" s="171"/>
      <c r="P209" s="152"/>
      <c r="Q209" s="477"/>
      <c r="R209" s="762"/>
      <c r="S209" s="762"/>
      <c r="T209" s="762"/>
      <c r="U209" s="762"/>
      <c r="V209" s="762"/>
      <c r="W209" s="762"/>
      <c r="X209" s="762"/>
      <c r="Y209" s="762"/>
      <c r="Z209" s="762"/>
      <c r="AA209" s="762"/>
      <c r="AB209" s="762"/>
      <c r="AC209" s="762"/>
    </row>
    <row r="210" spans="1:29" ht="42.75" customHeight="1" x14ac:dyDescent="0.2">
      <c r="A210" s="454"/>
      <c r="B210" s="425"/>
      <c r="C210" s="208"/>
      <c r="D210" s="764"/>
      <c r="E210" s="764"/>
      <c r="F210" s="1863"/>
      <c r="G210" s="247"/>
      <c r="H210" s="264"/>
      <c r="I210" s="780"/>
      <c r="J210" s="724"/>
      <c r="K210" s="725"/>
      <c r="L210" s="725"/>
      <c r="M210" s="276" t="s">
        <v>302</v>
      </c>
      <c r="N210" s="252">
        <v>2</v>
      </c>
      <c r="O210" s="100"/>
      <c r="P210" s="252"/>
      <c r="Q210" s="106"/>
    </row>
    <row r="211" spans="1:29" ht="29.25" customHeight="1" x14ac:dyDescent="0.2">
      <c r="A211" s="454"/>
      <c r="B211" s="431"/>
      <c r="C211" s="208"/>
      <c r="D211" s="781" t="s">
        <v>22</v>
      </c>
      <c r="E211" s="781"/>
      <c r="F211" s="1864" t="s">
        <v>303</v>
      </c>
      <c r="G211" s="274"/>
      <c r="H211" s="782">
        <v>5</v>
      </c>
      <c r="I211" s="756" t="s">
        <v>15</v>
      </c>
      <c r="J211" s="42">
        <v>237.1</v>
      </c>
      <c r="K211" s="61">
        <v>237.1</v>
      </c>
      <c r="L211" s="61"/>
      <c r="M211" s="277" t="s">
        <v>304</v>
      </c>
      <c r="N211" s="270">
        <v>30</v>
      </c>
      <c r="O211" s="93"/>
      <c r="P211" s="270"/>
      <c r="Q211" s="135"/>
      <c r="R211" s="605"/>
    </row>
    <row r="212" spans="1:29" ht="16.5" customHeight="1" x14ac:dyDescent="0.2">
      <c r="A212" s="454"/>
      <c r="B212" s="783"/>
      <c r="C212" s="209"/>
      <c r="D212" s="784"/>
      <c r="E212" s="784"/>
      <c r="F212" s="1862"/>
      <c r="G212" s="274"/>
      <c r="H212" s="782">
        <v>6</v>
      </c>
      <c r="I212" s="760" t="s">
        <v>127</v>
      </c>
      <c r="J212" s="68">
        <v>5</v>
      </c>
      <c r="K212" s="76">
        <v>5</v>
      </c>
      <c r="L212" s="76"/>
      <c r="M212" s="2137"/>
      <c r="N212" s="152"/>
      <c r="O212" s="171"/>
      <c r="P212" s="152"/>
      <c r="Q212" s="477"/>
    </row>
    <row r="213" spans="1:29" ht="14.25" customHeight="1" thickBot="1" x14ac:dyDescent="0.25">
      <c r="A213" s="454"/>
      <c r="B213" s="783"/>
      <c r="C213" s="209"/>
      <c r="D213" s="784"/>
      <c r="E213" s="784"/>
      <c r="F213" s="2136"/>
      <c r="G213" s="278"/>
      <c r="H213" s="754"/>
      <c r="I213" s="210" t="s">
        <v>16</v>
      </c>
      <c r="J213" s="184">
        <f>SUM(J198:J212)</f>
        <v>2630.1</v>
      </c>
      <c r="K213" s="459">
        <f>SUM(K198:K212)</f>
        <v>2561.3000000000002</v>
      </c>
      <c r="L213" s="459">
        <f>SUM(L198:L212)</f>
        <v>0</v>
      </c>
      <c r="M213" s="2138"/>
      <c r="N213" s="244"/>
      <c r="O213" s="245"/>
      <c r="P213" s="576"/>
      <c r="Q213" s="577"/>
    </row>
    <row r="214" spans="1:29" s="788" customFormat="1" ht="14.25" customHeight="1" thickBot="1" x14ac:dyDescent="0.25">
      <c r="A214" s="785" t="s">
        <v>17</v>
      </c>
      <c r="B214" s="703" t="s">
        <v>21</v>
      </c>
      <c r="C214" s="1831" t="s">
        <v>20</v>
      </c>
      <c r="D214" s="1832"/>
      <c r="E214" s="1832"/>
      <c r="F214" s="1832"/>
      <c r="G214" s="1832"/>
      <c r="H214" s="1832"/>
      <c r="I214" s="2105"/>
      <c r="J214" s="505">
        <f>+J192+J197+J213+J194</f>
        <v>4950.0000000000009</v>
      </c>
      <c r="K214" s="704">
        <f>+K192+K197+K213+K194</f>
        <v>4880.4000000000005</v>
      </c>
      <c r="L214" s="704">
        <f>+L192+L197+L213+L194</f>
        <v>0</v>
      </c>
      <c r="M214" s="506"/>
      <c r="N214" s="786"/>
      <c r="O214" s="786"/>
      <c r="P214" s="786"/>
      <c r="Q214" s="787"/>
    </row>
    <row r="215" spans="1:29" s="794" customFormat="1" ht="14.25" customHeight="1" thickBot="1" x14ac:dyDescent="0.25">
      <c r="A215" s="785" t="s">
        <v>17</v>
      </c>
      <c r="B215" s="2106" t="s">
        <v>6</v>
      </c>
      <c r="C215" s="2107"/>
      <c r="D215" s="2107"/>
      <c r="E215" s="2107"/>
      <c r="F215" s="2107"/>
      <c r="G215" s="2107"/>
      <c r="H215" s="2107"/>
      <c r="I215" s="2108"/>
      <c r="J215" s="789">
        <f>J214+J172+J161</f>
        <v>12079.5</v>
      </c>
      <c r="K215" s="790">
        <f>K214+K172+K161</f>
        <v>9136.1</v>
      </c>
      <c r="L215" s="790">
        <f>L214+L172+L161</f>
        <v>0</v>
      </c>
      <c r="M215" s="791"/>
      <c r="N215" s="792"/>
      <c r="O215" s="792"/>
      <c r="P215" s="792"/>
      <c r="Q215" s="793"/>
      <c r="S215" s="338"/>
      <c r="U215" s="338"/>
    </row>
    <row r="216" spans="1:29" s="794" customFormat="1" ht="14.25" customHeight="1" thickBot="1" x14ac:dyDescent="0.25">
      <c r="A216" s="795" t="s">
        <v>5</v>
      </c>
      <c r="B216" s="1835" t="s">
        <v>7</v>
      </c>
      <c r="C216" s="1805"/>
      <c r="D216" s="1805"/>
      <c r="E216" s="1805"/>
      <c r="F216" s="1805"/>
      <c r="G216" s="1805"/>
      <c r="H216" s="1805"/>
      <c r="I216" s="1806"/>
      <c r="J216" s="796">
        <f>J215+J103</f>
        <v>91184.099999999991</v>
      </c>
      <c r="K216" s="797">
        <f>K215+K103</f>
        <v>90491.9</v>
      </c>
      <c r="L216" s="797">
        <f>L215+L103</f>
        <v>0</v>
      </c>
      <c r="M216" s="798"/>
      <c r="N216" s="799"/>
      <c r="O216" s="799"/>
      <c r="P216" s="799"/>
      <c r="Q216" s="800"/>
    </row>
    <row r="217" spans="1:29" s="228" customFormat="1" ht="15.75" customHeight="1" x14ac:dyDescent="0.2">
      <c r="A217" s="2139" t="s">
        <v>305</v>
      </c>
      <c r="B217" s="2139"/>
      <c r="C217" s="2139"/>
      <c r="D217" s="2139"/>
      <c r="E217" s="2139"/>
      <c r="F217" s="2139"/>
      <c r="G217" s="2139"/>
      <c r="H217" s="2139"/>
      <c r="I217" s="2139"/>
      <c r="J217" s="2139"/>
      <c r="K217" s="2139"/>
      <c r="L217" s="2139"/>
      <c r="M217" s="2139"/>
      <c r="N217" s="2139"/>
      <c r="O217" s="2139"/>
    </row>
    <row r="218" spans="1:29" s="228" customFormat="1" x14ac:dyDescent="0.2">
      <c r="A218" s="2134" t="s">
        <v>306</v>
      </c>
      <c r="B218" s="2135"/>
      <c r="C218" s="2135"/>
      <c r="D218" s="2135"/>
      <c r="E218" s="2135"/>
      <c r="F218" s="2135"/>
      <c r="G218" s="2135"/>
      <c r="H218" s="2135"/>
      <c r="I218" s="2135"/>
      <c r="J218" s="2135"/>
      <c r="K218" s="2135"/>
      <c r="L218" s="2135"/>
      <c r="M218" s="2135"/>
      <c r="N218" s="2135"/>
      <c r="O218" s="2135"/>
      <c r="P218" s="801"/>
      <c r="Q218" s="801"/>
    </row>
    <row r="219" spans="1:29" s="794" customFormat="1" ht="23.25" customHeight="1" thickBot="1" x14ac:dyDescent="0.25">
      <c r="A219" s="1838" t="s">
        <v>0</v>
      </c>
      <c r="B219" s="1838"/>
      <c r="C219" s="1838"/>
      <c r="D219" s="1838"/>
      <c r="E219" s="1838"/>
      <c r="F219" s="1838"/>
      <c r="G219" s="1838"/>
      <c r="H219" s="1838"/>
      <c r="I219" s="1838"/>
      <c r="J219" s="1838"/>
      <c r="K219" s="1838"/>
      <c r="L219" s="1838"/>
      <c r="M219" s="802"/>
      <c r="N219" s="802"/>
      <c r="O219" s="802"/>
      <c r="P219" s="802"/>
      <c r="Q219" s="802"/>
    </row>
    <row r="220" spans="1:29" s="794" customFormat="1" ht="85.5" customHeight="1" thickBot="1" x14ac:dyDescent="0.25">
      <c r="A220" s="1839" t="s">
        <v>1</v>
      </c>
      <c r="B220" s="1840"/>
      <c r="C220" s="1840"/>
      <c r="D220" s="1840"/>
      <c r="E220" s="1840"/>
      <c r="F220" s="1840"/>
      <c r="G220" s="1840"/>
      <c r="H220" s="1840"/>
      <c r="I220" s="1841"/>
      <c r="J220" s="803" t="s">
        <v>219</v>
      </c>
      <c r="K220" s="804" t="s">
        <v>220</v>
      </c>
      <c r="L220" s="805" t="s">
        <v>221</v>
      </c>
      <c r="M220" s="173"/>
      <c r="N220" s="806"/>
      <c r="O220" s="806"/>
      <c r="P220" s="806"/>
      <c r="Q220" s="806"/>
      <c r="T220" s="338"/>
    </row>
    <row r="221" spans="1:29" s="794" customFormat="1" ht="13.5" customHeight="1" x14ac:dyDescent="0.2">
      <c r="A221" s="1842" t="s">
        <v>24</v>
      </c>
      <c r="B221" s="1843"/>
      <c r="C221" s="1843"/>
      <c r="D221" s="1843"/>
      <c r="E221" s="1843"/>
      <c r="F221" s="1843"/>
      <c r="G221" s="1843"/>
      <c r="H221" s="1843"/>
      <c r="I221" s="1844"/>
      <c r="J221" s="807">
        <f>+J222+J229+J230+J231+J232</f>
        <v>90527.900000000023</v>
      </c>
      <c r="K221" s="808">
        <f>+K222+K229+K230+K231+K232</f>
        <v>89835.699999999983</v>
      </c>
      <c r="L221" s="809">
        <f ca="1">+L222+L229+L230+L231+L232</f>
        <v>0</v>
      </c>
      <c r="M221" s="173"/>
      <c r="N221" s="806"/>
      <c r="O221" s="806"/>
      <c r="P221" s="806"/>
      <c r="Q221" s="806"/>
    </row>
    <row r="222" spans="1:29" s="794" customFormat="1" ht="13.5" customHeight="1" x14ac:dyDescent="0.2">
      <c r="A222" s="1845" t="s">
        <v>307</v>
      </c>
      <c r="B222" s="1846"/>
      <c r="C222" s="1846"/>
      <c r="D222" s="1846"/>
      <c r="E222" s="1846"/>
      <c r="F222" s="1846"/>
      <c r="G222" s="1846"/>
      <c r="H222" s="1846"/>
      <c r="I222" s="1847"/>
      <c r="J222" s="810">
        <f>SUM(J223:J228)</f>
        <v>89924.200000000026</v>
      </c>
      <c r="K222" s="811">
        <f>SUM(K223:K228)</f>
        <v>87905.499999999985</v>
      </c>
      <c r="L222" s="812">
        <f>SUM(L223:L228)</f>
        <v>0</v>
      </c>
      <c r="M222" s="173"/>
      <c r="N222" s="806"/>
      <c r="O222" s="806"/>
      <c r="P222" s="806"/>
      <c r="Q222" s="806"/>
    </row>
    <row r="223" spans="1:29" s="794" customFormat="1" ht="14.25" customHeight="1" x14ac:dyDescent="0.2">
      <c r="A223" s="1820" t="s">
        <v>27</v>
      </c>
      <c r="B223" s="1821"/>
      <c r="C223" s="1821"/>
      <c r="D223" s="1821"/>
      <c r="E223" s="1821"/>
      <c r="F223" s="1821"/>
      <c r="G223" s="1821"/>
      <c r="H223" s="1821"/>
      <c r="I223" s="1822"/>
      <c r="J223" s="67">
        <f>SUMIF(I16:I212,"sb",J16:J212)</f>
        <v>38914.100000000013</v>
      </c>
      <c r="K223" s="71">
        <f>SUMIF(I16:I212,"sb",K16:K212)</f>
        <v>39048.300000000003</v>
      </c>
      <c r="L223" s="813">
        <f>SUMIF(I16:I212,"sb",L16:L212)</f>
        <v>0</v>
      </c>
      <c r="M223" s="279"/>
      <c r="N223" s="806"/>
      <c r="O223" s="806"/>
      <c r="P223" s="806"/>
      <c r="Q223" s="806"/>
    </row>
    <row r="224" spans="1:29" s="794" customFormat="1" ht="15.75" customHeight="1" x14ac:dyDescent="0.2">
      <c r="A224" s="1820" t="s">
        <v>31</v>
      </c>
      <c r="B224" s="1821"/>
      <c r="C224" s="1821"/>
      <c r="D224" s="1821"/>
      <c r="E224" s="1821"/>
      <c r="F224" s="1821"/>
      <c r="G224" s="1821"/>
      <c r="H224" s="1821"/>
      <c r="I224" s="1822"/>
      <c r="J224" s="67">
        <f>SUMIF(I16:I212,"sb(sp)",J16:J212)</f>
        <v>5544.9</v>
      </c>
      <c r="K224" s="71">
        <f>SUMIF(I16:I212,"sb(sp)",K16:K212)</f>
        <v>5544.9</v>
      </c>
      <c r="L224" s="813">
        <f>SUMIF(I16:I212,"sb(sp)",L16:L212)</f>
        <v>0</v>
      </c>
      <c r="M224" s="172"/>
      <c r="N224" s="806"/>
      <c r="O224" s="806"/>
      <c r="P224" s="806"/>
      <c r="Q224" s="806"/>
    </row>
    <row r="225" spans="1:24" s="794" customFormat="1" ht="15.75" customHeight="1" x14ac:dyDescent="0.2">
      <c r="A225" s="1820" t="s">
        <v>308</v>
      </c>
      <c r="B225" s="1821"/>
      <c r="C225" s="1821"/>
      <c r="D225" s="1821"/>
      <c r="E225" s="1821"/>
      <c r="F225" s="1821"/>
      <c r="G225" s="1821"/>
      <c r="H225" s="1821"/>
      <c r="I225" s="1822"/>
      <c r="J225" s="67">
        <f>SUMIF(I16:I212,"sb(p)",J16:J212)</f>
        <v>2900</v>
      </c>
      <c r="K225" s="71">
        <f>SUMIF(I16:I212,"sb(p)",K16:K212)</f>
        <v>96.2</v>
      </c>
      <c r="L225" s="813">
        <f>SUMIF(I16:I212,"sb(p)",L16:L212)</f>
        <v>0</v>
      </c>
      <c r="M225" s="172"/>
      <c r="N225" s="806"/>
      <c r="O225" s="806"/>
      <c r="P225" s="806"/>
      <c r="Q225" s="806"/>
    </row>
    <row r="226" spans="1:24" s="794" customFormat="1" ht="15.75" customHeight="1" x14ac:dyDescent="0.2">
      <c r="A226" s="2203" t="s">
        <v>28</v>
      </c>
      <c r="B226" s="2204"/>
      <c r="C226" s="2204"/>
      <c r="D226" s="2204"/>
      <c r="E226" s="2204"/>
      <c r="F226" s="2204"/>
      <c r="G226" s="2204"/>
      <c r="H226" s="2204"/>
      <c r="I226" s="2205"/>
      <c r="J226" s="139">
        <f>SUMIF(I16:I212,"sb(vb)",J16:J212)</f>
        <v>40730.400000000001</v>
      </c>
      <c r="K226" s="87">
        <f>SUMIF(I16:I212,"sb(vb)",K16:K212)</f>
        <v>41707.399999999994</v>
      </c>
      <c r="L226" s="814">
        <f>SUMIF(I16:I212,"sb(vb)",L16:L212)</f>
        <v>0</v>
      </c>
      <c r="M226" s="172"/>
      <c r="N226" s="806"/>
      <c r="O226" s="806"/>
      <c r="P226" s="806"/>
      <c r="Q226" s="806"/>
      <c r="U226" s="338"/>
    </row>
    <row r="227" spans="1:24" ht="30" customHeight="1" x14ac:dyDescent="0.2">
      <c r="A227" s="1820" t="s">
        <v>214</v>
      </c>
      <c r="B227" s="1821"/>
      <c r="C227" s="1821"/>
      <c r="D227" s="1821"/>
      <c r="E227" s="1821"/>
      <c r="F227" s="1821"/>
      <c r="G227" s="1821"/>
      <c r="H227" s="1821"/>
      <c r="I227" s="1822"/>
      <c r="J227" s="79">
        <f>SUMIF(I15:I212,"sb(esa)",J15:J212)</f>
        <v>43.3</v>
      </c>
      <c r="K227" s="88">
        <f>SUMIF(I15:I212,"sb(esa)",K15:K212)</f>
        <v>0</v>
      </c>
      <c r="L227" s="815">
        <f>SUMIF(I16:I213,"sb(esa)",L16:L213)</f>
        <v>0</v>
      </c>
      <c r="M227" s="172"/>
      <c r="N227" s="806"/>
      <c r="O227" s="806"/>
      <c r="P227" s="806"/>
      <c r="R227" s="794"/>
      <c r="S227" s="794"/>
      <c r="T227" s="794"/>
      <c r="U227" s="794"/>
      <c r="V227" s="794"/>
      <c r="W227" s="794"/>
      <c r="X227" s="794"/>
    </row>
    <row r="228" spans="1:24" ht="28.5" customHeight="1" x14ac:dyDescent="0.2">
      <c r="A228" s="1820" t="s">
        <v>215</v>
      </c>
      <c r="B228" s="1821"/>
      <c r="C228" s="1821"/>
      <c r="D228" s="1821"/>
      <c r="E228" s="1821"/>
      <c r="F228" s="1821"/>
      <c r="G228" s="1821"/>
      <c r="H228" s="1821"/>
      <c r="I228" s="1822"/>
      <c r="J228" s="132">
        <f>SUMIF(I15:I212,"sb(es)",J15:J212)</f>
        <v>1791.5000000000002</v>
      </c>
      <c r="K228" s="73">
        <f>SUMIF(I15:I212,"sb(es)",K15:K212)</f>
        <v>1508.7</v>
      </c>
      <c r="L228" s="816">
        <f>SUMIF(I16:I213,"sb(es)",L16:L213)</f>
        <v>0</v>
      </c>
      <c r="M228" s="172"/>
      <c r="N228" s="806"/>
      <c r="O228" s="806"/>
      <c r="P228" s="806"/>
      <c r="Q228" s="806"/>
      <c r="R228" s="794"/>
      <c r="S228" s="794"/>
      <c r="T228" s="794"/>
      <c r="U228" s="794"/>
      <c r="V228" s="794"/>
      <c r="W228" s="794"/>
      <c r="X228" s="794"/>
    </row>
    <row r="229" spans="1:24" ht="16.5" customHeight="1" x14ac:dyDescent="0.2">
      <c r="A229" s="2206" t="s">
        <v>138</v>
      </c>
      <c r="B229" s="1824"/>
      <c r="C229" s="1824"/>
      <c r="D229" s="1824"/>
      <c r="E229" s="1824"/>
      <c r="F229" s="1824"/>
      <c r="G229" s="1824"/>
      <c r="H229" s="1824"/>
      <c r="I229" s="1825"/>
      <c r="J229" s="817">
        <f>SUMIF(I16:I212,"sb(l)",J16:J212)</f>
        <v>603.69999999999993</v>
      </c>
      <c r="K229" s="818">
        <f>SUMIF(I16:I212,"sb(l)",K16:K212)</f>
        <v>1435.8</v>
      </c>
      <c r="L229" s="819">
        <f>SUMIF(I16:I212,"sb(l)",L16:L212)</f>
        <v>0</v>
      </c>
      <c r="M229" s="172"/>
      <c r="N229" s="806"/>
      <c r="O229" s="806"/>
      <c r="P229" s="806"/>
      <c r="Q229" s="806"/>
      <c r="R229" s="794"/>
      <c r="S229" s="794"/>
      <c r="T229" s="794"/>
      <c r="U229" s="794"/>
      <c r="V229" s="794"/>
      <c r="W229" s="794"/>
      <c r="X229" s="794"/>
    </row>
    <row r="230" spans="1:24" ht="30.75" customHeight="1" x14ac:dyDescent="0.2">
      <c r="A230" s="2206" t="s">
        <v>309</v>
      </c>
      <c r="B230" s="1824"/>
      <c r="C230" s="1824"/>
      <c r="D230" s="1824"/>
      <c r="E230" s="1824"/>
      <c r="F230" s="1824"/>
      <c r="G230" s="1824"/>
      <c r="H230" s="1824"/>
      <c r="I230" s="1825"/>
      <c r="J230" s="817">
        <f>SUMIF(I17:I212,"sb(esl)",J17:J212)</f>
        <v>0</v>
      </c>
      <c r="K230" s="818">
        <f>SUMIF(I17:I212,"sb(esl)",K17:K212)</f>
        <v>11.399999999999999</v>
      </c>
      <c r="L230" s="819">
        <f>SUMIF(I18:I213,"sb(esl)",L18:L213)</f>
        <v>0</v>
      </c>
      <c r="M230" s="172"/>
      <c r="N230" s="806"/>
      <c r="O230" s="806"/>
      <c r="P230" s="806"/>
      <c r="Q230" s="806"/>
      <c r="R230" s="794"/>
      <c r="S230" s="794"/>
      <c r="T230" s="794"/>
      <c r="U230" s="794"/>
      <c r="V230" s="794"/>
      <c r="W230" s="794"/>
      <c r="X230" s="794"/>
    </row>
    <row r="231" spans="1:24" ht="16.5" customHeight="1" x14ac:dyDescent="0.2">
      <c r="A231" s="2206" t="s">
        <v>86</v>
      </c>
      <c r="B231" s="1824"/>
      <c r="C231" s="1824"/>
      <c r="D231" s="1824"/>
      <c r="E231" s="1824"/>
      <c r="F231" s="1824"/>
      <c r="G231" s="1824"/>
      <c r="H231" s="1824"/>
      <c r="I231" s="1825"/>
      <c r="J231" s="817">
        <f>SUMIF(I17:I212,"sb(spl)",J17:J212)</f>
        <v>0</v>
      </c>
      <c r="K231" s="818">
        <f>SUMIF(I17:I212,"sb(spl)",K17:K212)</f>
        <v>482.3</v>
      </c>
      <c r="L231" s="819">
        <f>SUMIF(I19:I214,"sb(spl)",L19:L214)</f>
        <v>0</v>
      </c>
      <c r="M231" s="172"/>
      <c r="N231" s="806"/>
      <c r="O231" s="806"/>
      <c r="P231" s="806"/>
      <c r="Q231" s="806"/>
      <c r="R231" s="794"/>
      <c r="S231" s="794"/>
      <c r="T231" s="794"/>
      <c r="U231" s="794"/>
      <c r="V231" s="794"/>
      <c r="W231" s="794"/>
      <c r="X231" s="794"/>
    </row>
    <row r="232" spans="1:24" ht="16.5" customHeight="1" x14ac:dyDescent="0.2">
      <c r="A232" s="2206" t="s">
        <v>310</v>
      </c>
      <c r="B232" s="1824"/>
      <c r="C232" s="1824"/>
      <c r="D232" s="1824"/>
      <c r="E232" s="1824"/>
      <c r="F232" s="1824"/>
      <c r="G232" s="1824"/>
      <c r="H232" s="1824"/>
      <c r="I232" s="1825"/>
      <c r="J232" s="817">
        <f>SUMIF(I10:I212,"sb(vbl)",J10:J212)</f>
        <v>0</v>
      </c>
      <c r="K232" s="818">
        <f>SUMIF(I10:I212,"sb(vbl)",K10:K212)</f>
        <v>0.7</v>
      </c>
      <c r="L232" s="819">
        <f ca="1">SUMIF(I17:I215,"sb(vbl)",L20:L215)</f>
        <v>0</v>
      </c>
      <c r="M232" s="172"/>
      <c r="N232" s="806"/>
      <c r="O232" s="806"/>
      <c r="P232" s="806"/>
      <c r="Q232" s="806"/>
      <c r="R232" s="794"/>
      <c r="S232" s="794"/>
      <c r="T232" s="794"/>
      <c r="U232" s="794"/>
      <c r="V232" s="794"/>
      <c r="W232" s="794"/>
      <c r="X232" s="794"/>
    </row>
    <row r="233" spans="1:24" ht="17.25" customHeight="1" thickBot="1" x14ac:dyDescent="0.25">
      <c r="A233" s="2207" t="s">
        <v>25</v>
      </c>
      <c r="B233" s="2208"/>
      <c r="C233" s="2208"/>
      <c r="D233" s="2208"/>
      <c r="E233" s="2208"/>
      <c r="F233" s="2208"/>
      <c r="G233" s="2208"/>
      <c r="H233" s="2208"/>
      <c r="I233" s="2209"/>
      <c r="J233" s="820">
        <f>SUM(J234:J235)</f>
        <v>656.2</v>
      </c>
      <c r="K233" s="821">
        <f>SUM(K234:K235)</f>
        <v>656.2</v>
      </c>
      <c r="L233" s="822">
        <f>SUM(L234:L235)</f>
        <v>0</v>
      </c>
      <c r="M233" s="173"/>
      <c r="N233" s="806"/>
      <c r="O233" s="806"/>
      <c r="P233" s="806"/>
      <c r="Q233" s="806"/>
      <c r="R233" s="794"/>
      <c r="S233" s="794"/>
      <c r="T233" s="794"/>
      <c r="U233" s="794"/>
      <c r="W233" s="794"/>
      <c r="X233" s="794"/>
    </row>
    <row r="234" spans="1:24" ht="15" customHeight="1" x14ac:dyDescent="0.2">
      <c r="A234" s="1953" t="s">
        <v>139</v>
      </c>
      <c r="B234" s="2199"/>
      <c r="C234" s="2199"/>
      <c r="D234" s="2199"/>
      <c r="E234" s="2199"/>
      <c r="F234" s="2199"/>
      <c r="G234" s="2199"/>
      <c r="H234" s="2199"/>
      <c r="I234" s="1954"/>
      <c r="J234" s="69">
        <f>SUMIF(I16:I212,"lrvb",J16:J212)</f>
        <v>146.80000000000001</v>
      </c>
      <c r="K234" s="72">
        <f>SUMIF(I16:I212,"lrvb",K16:K212)</f>
        <v>146.80000000000001</v>
      </c>
      <c r="L234" s="823">
        <f>SUMIF(I16:I212,"lrvb",L16:L212)</f>
        <v>0</v>
      </c>
      <c r="M234" s="172"/>
      <c r="N234" s="806"/>
      <c r="O234" s="806"/>
      <c r="P234" s="806"/>
      <c r="Q234" s="806"/>
    </row>
    <row r="235" spans="1:24" ht="15" customHeight="1" thickBot="1" x14ac:dyDescent="0.25">
      <c r="A235" s="2200" t="s">
        <v>311</v>
      </c>
      <c r="B235" s="2201"/>
      <c r="C235" s="2201"/>
      <c r="D235" s="2201"/>
      <c r="E235" s="2201"/>
      <c r="F235" s="2201"/>
      <c r="G235" s="2201"/>
      <c r="H235" s="2201"/>
      <c r="I235" s="2202"/>
      <c r="J235" s="69">
        <f>SUMIF(I18:I213,"es",J18:J213)</f>
        <v>509.4</v>
      </c>
      <c r="K235" s="72">
        <f>SUMIF(I18:I213,"es",K18:K213)</f>
        <v>509.4</v>
      </c>
      <c r="L235" s="824">
        <f>SUMIF(I18:I213,"es",L18:L213)</f>
        <v>0</v>
      </c>
      <c r="M235" s="172"/>
      <c r="N235" s="806"/>
      <c r="O235" s="806"/>
      <c r="P235" s="806"/>
      <c r="Q235" s="806"/>
    </row>
    <row r="236" spans="1:24" ht="16.5" customHeight="1" thickBot="1" x14ac:dyDescent="0.25">
      <c r="A236" s="1813" t="s">
        <v>26</v>
      </c>
      <c r="B236" s="1814"/>
      <c r="C236" s="1814"/>
      <c r="D236" s="1814"/>
      <c r="E236" s="1814"/>
      <c r="F236" s="1814"/>
      <c r="G236" s="1814"/>
      <c r="H236" s="1814"/>
      <c r="I236" s="1815"/>
      <c r="J236" s="70">
        <f>J233+J221</f>
        <v>91184.10000000002</v>
      </c>
      <c r="K236" s="74">
        <f>K233+K221</f>
        <v>90491.89999999998</v>
      </c>
      <c r="L236" s="825">
        <f ca="1">L233+L221</f>
        <v>0</v>
      </c>
      <c r="M236" s="173"/>
    </row>
    <row r="238" spans="1:24" ht="22.5" customHeight="1" x14ac:dyDescent="0.2">
      <c r="A238" s="1816" t="s">
        <v>312</v>
      </c>
      <c r="B238" s="1816"/>
      <c r="C238" s="1816"/>
      <c r="D238" s="1816"/>
      <c r="E238" s="1816"/>
      <c r="F238" s="1816"/>
      <c r="G238" s="1816"/>
      <c r="H238" s="1816"/>
      <c r="I238" s="1816"/>
      <c r="J238" s="1816"/>
      <c r="K238" s="1816"/>
      <c r="L238" s="1816"/>
      <c r="M238" s="1816"/>
      <c r="N238" s="1816"/>
      <c r="O238" s="1816"/>
      <c r="P238" s="1816"/>
      <c r="Q238" s="1816"/>
    </row>
    <row r="239" spans="1:24" x14ac:dyDescent="0.2">
      <c r="F239" s="338"/>
      <c r="G239" s="90"/>
      <c r="H239" s="90"/>
      <c r="I239" s="828"/>
      <c r="J239" s="829"/>
      <c r="K239" s="829"/>
      <c r="L239" s="829"/>
    </row>
    <row r="240" spans="1:24" x14ac:dyDescent="0.2">
      <c r="F240" s="338"/>
      <c r="G240" s="90"/>
      <c r="H240" s="90"/>
      <c r="I240" s="828"/>
      <c r="J240" s="829"/>
      <c r="K240" s="829"/>
      <c r="L240" s="829"/>
    </row>
    <row r="241" spans="1:13" x14ac:dyDescent="0.2">
      <c r="F241" s="338"/>
      <c r="G241" s="90"/>
      <c r="H241" s="90"/>
      <c r="I241" s="828"/>
      <c r="J241" s="829"/>
      <c r="K241" s="829"/>
      <c r="L241" s="829"/>
    </row>
    <row r="242" spans="1:13" x14ac:dyDescent="0.2">
      <c r="F242" s="338"/>
      <c r="G242" s="90"/>
      <c r="H242" s="90"/>
      <c r="I242" s="828"/>
      <c r="J242" s="829"/>
      <c r="K242" s="829"/>
      <c r="L242" s="829"/>
    </row>
    <row r="243" spans="1:13" x14ac:dyDescent="0.2">
      <c r="F243" s="338"/>
      <c r="G243" s="90"/>
      <c r="H243" s="90"/>
      <c r="I243" s="828"/>
      <c r="J243" s="829"/>
      <c r="K243" s="829"/>
      <c r="L243" s="829"/>
    </row>
    <row r="244" spans="1:13" x14ac:dyDescent="0.2">
      <c r="F244" s="338"/>
      <c r="G244" s="90"/>
      <c r="H244" s="90"/>
      <c r="I244" s="828"/>
      <c r="J244" s="829"/>
      <c r="K244" s="829"/>
      <c r="L244" s="829"/>
    </row>
    <row r="245" spans="1:13" x14ac:dyDescent="0.2">
      <c r="F245" s="338"/>
      <c r="G245" s="90"/>
      <c r="H245" s="90"/>
      <c r="I245" s="828"/>
      <c r="J245" s="829"/>
      <c r="K245" s="829"/>
      <c r="L245" s="829"/>
    </row>
    <row r="246" spans="1:13" x14ac:dyDescent="0.2">
      <c r="F246" s="338"/>
      <c r="G246" s="90"/>
      <c r="H246" s="90"/>
      <c r="I246" s="828"/>
      <c r="J246" s="829"/>
      <c r="K246" s="829"/>
      <c r="L246" s="829"/>
    </row>
    <row r="247" spans="1:13" x14ac:dyDescent="0.2">
      <c r="F247" s="338"/>
      <c r="G247" s="90"/>
      <c r="H247" s="90"/>
      <c r="I247" s="828"/>
      <c r="J247" s="829"/>
      <c r="K247" s="829"/>
      <c r="L247" s="829"/>
    </row>
    <row r="248" spans="1:13" x14ac:dyDescent="0.2">
      <c r="A248" s="830"/>
      <c r="B248" s="830"/>
      <c r="C248" s="830"/>
      <c r="D248" s="831"/>
      <c r="E248" s="832"/>
      <c r="F248" s="338"/>
      <c r="G248" s="90"/>
      <c r="H248" s="90"/>
      <c r="I248" s="828"/>
      <c r="J248" s="829"/>
      <c r="K248" s="829"/>
      <c r="L248" s="829"/>
      <c r="M248" s="338"/>
    </row>
    <row r="249" spans="1:13" x14ac:dyDescent="0.2">
      <c r="A249" s="830"/>
      <c r="B249" s="830"/>
      <c r="C249" s="830"/>
      <c r="D249" s="831"/>
      <c r="E249" s="832"/>
      <c r="F249" s="338"/>
      <c r="G249" s="90"/>
      <c r="H249" s="90"/>
      <c r="I249" s="828"/>
      <c r="J249" s="829"/>
      <c r="K249" s="829"/>
      <c r="L249" s="829"/>
      <c r="M249" s="338"/>
    </row>
    <row r="250" spans="1:13" x14ac:dyDescent="0.2">
      <c r="A250" s="830"/>
      <c r="B250" s="830"/>
      <c r="C250" s="830"/>
      <c r="D250" s="831"/>
      <c r="E250" s="832"/>
      <c r="F250" s="338"/>
      <c r="G250" s="90"/>
      <c r="H250" s="90"/>
      <c r="I250" s="828"/>
      <c r="J250" s="829"/>
      <c r="K250" s="829"/>
      <c r="L250" s="829"/>
      <c r="M250" s="338"/>
    </row>
    <row r="251" spans="1:13" x14ac:dyDescent="0.2">
      <c r="A251" s="830"/>
      <c r="B251" s="830"/>
      <c r="C251" s="830"/>
      <c r="D251" s="831"/>
      <c r="E251" s="832"/>
      <c r="F251" s="338"/>
      <c r="G251" s="90"/>
      <c r="H251" s="90"/>
      <c r="I251" s="828"/>
      <c r="J251" s="829"/>
      <c r="K251" s="829"/>
      <c r="L251" s="829"/>
      <c r="M251" s="338"/>
    </row>
    <row r="252" spans="1:13" x14ac:dyDescent="0.2">
      <c r="A252" s="830"/>
      <c r="B252" s="830"/>
      <c r="C252" s="830"/>
      <c r="D252" s="831"/>
      <c r="E252" s="832"/>
      <c r="F252" s="338"/>
      <c r="G252" s="90"/>
      <c r="H252" s="90"/>
      <c r="I252" s="828"/>
      <c r="J252" s="829"/>
      <c r="K252" s="829"/>
      <c r="L252" s="829"/>
      <c r="M252" s="338"/>
    </row>
    <row r="253" spans="1:13" x14ac:dyDescent="0.2">
      <c r="A253" s="830"/>
      <c r="B253" s="830"/>
      <c r="C253" s="830"/>
      <c r="D253" s="831"/>
      <c r="E253" s="832"/>
      <c r="F253" s="338"/>
      <c r="G253" s="90"/>
      <c r="H253" s="90"/>
      <c r="I253" s="828"/>
      <c r="J253" s="829"/>
      <c r="K253" s="829"/>
      <c r="L253" s="829"/>
      <c r="M253" s="338"/>
    </row>
    <row r="254" spans="1:13" x14ac:dyDescent="0.2">
      <c r="A254" s="830"/>
      <c r="B254" s="830"/>
      <c r="C254" s="830"/>
      <c r="D254" s="831"/>
      <c r="E254" s="832"/>
      <c r="F254" s="338"/>
      <c r="G254" s="90"/>
      <c r="H254" s="90"/>
      <c r="I254" s="828"/>
      <c r="J254" s="829"/>
      <c r="K254" s="829"/>
      <c r="L254" s="829"/>
      <c r="M254" s="338"/>
    </row>
    <row r="255" spans="1:13" x14ac:dyDescent="0.2">
      <c r="A255" s="830"/>
      <c r="B255" s="830"/>
      <c r="C255" s="830"/>
      <c r="D255" s="831"/>
      <c r="E255" s="832"/>
      <c r="F255" s="338"/>
      <c r="G255" s="90"/>
      <c r="H255" s="90"/>
      <c r="I255" s="828"/>
      <c r="J255" s="829"/>
      <c r="K255" s="829"/>
      <c r="L255" s="829"/>
      <c r="M255" s="338"/>
    </row>
    <row r="256" spans="1:13" x14ac:dyDescent="0.2">
      <c r="A256" s="830"/>
      <c r="B256" s="830"/>
      <c r="C256" s="830"/>
      <c r="D256" s="831"/>
      <c r="E256" s="832"/>
      <c r="F256" s="338"/>
      <c r="G256" s="90"/>
      <c r="H256" s="90"/>
      <c r="I256" s="828"/>
      <c r="J256" s="829"/>
      <c r="K256" s="829"/>
      <c r="L256" s="829"/>
      <c r="M256" s="338"/>
    </row>
    <row r="257" spans="1:13" x14ac:dyDescent="0.2">
      <c r="A257" s="830"/>
      <c r="B257" s="830"/>
      <c r="C257" s="830"/>
      <c r="D257" s="831"/>
      <c r="E257" s="832"/>
      <c r="F257" s="338"/>
      <c r="G257" s="90"/>
      <c r="H257" s="90"/>
      <c r="I257" s="828"/>
      <c r="J257" s="829"/>
      <c r="K257" s="829"/>
      <c r="L257" s="829"/>
      <c r="M257" s="338"/>
    </row>
    <row r="258" spans="1:13" x14ac:dyDescent="0.2">
      <c r="A258" s="830"/>
      <c r="B258" s="830"/>
      <c r="C258" s="830"/>
      <c r="D258" s="831"/>
      <c r="E258" s="832"/>
      <c r="F258" s="338"/>
      <c r="G258" s="90"/>
      <c r="H258" s="90"/>
      <c r="I258" s="828"/>
      <c r="J258" s="829"/>
      <c r="K258" s="829"/>
      <c r="L258" s="829"/>
      <c r="M258" s="338"/>
    </row>
    <row r="259" spans="1:13" x14ac:dyDescent="0.2">
      <c r="A259" s="830"/>
      <c r="B259" s="830"/>
      <c r="C259" s="830"/>
      <c r="D259" s="831"/>
      <c r="E259" s="832"/>
      <c r="F259" s="338"/>
      <c r="G259" s="90"/>
      <c r="H259" s="90"/>
      <c r="I259" s="828"/>
      <c r="J259" s="829"/>
      <c r="K259" s="829"/>
      <c r="L259" s="829"/>
      <c r="M259" s="338"/>
    </row>
    <row r="260" spans="1:13" x14ac:dyDescent="0.2">
      <c r="A260" s="830"/>
      <c r="B260" s="830"/>
      <c r="C260" s="830"/>
      <c r="D260" s="831"/>
      <c r="E260" s="832"/>
      <c r="F260" s="338"/>
      <c r="G260" s="90"/>
      <c r="H260" s="90"/>
      <c r="I260" s="828"/>
      <c r="J260" s="829"/>
      <c r="K260" s="829"/>
      <c r="L260" s="829"/>
      <c r="M260" s="338"/>
    </row>
  </sheetData>
  <mergeCells count="156">
    <mergeCell ref="A234:I234"/>
    <mergeCell ref="A235:I235"/>
    <mergeCell ref="A236:I236"/>
    <mergeCell ref="A238:Q238"/>
    <mergeCell ref="A225:I225"/>
    <mergeCell ref="A226:I226"/>
    <mergeCell ref="A227:I227"/>
    <mergeCell ref="A228:I228"/>
    <mergeCell ref="A229:I229"/>
    <mergeCell ref="A230:I230"/>
    <mergeCell ref="A231:I231"/>
    <mergeCell ref="A232:I232"/>
    <mergeCell ref="A233:I233"/>
    <mergeCell ref="R167:S170"/>
    <mergeCell ref="C172:I172"/>
    <mergeCell ref="C173:Q173"/>
    <mergeCell ref="F174:F176"/>
    <mergeCell ref="M183:M184"/>
    <mergeCell ref="F188:F189"/>
    <mergeCell ref="G188:G189"/>
    <mergeCell ref="F191:F192"/>
    <mergeCell ref="M191:M192"/>
    <mergeCell ref="U144:U145"/>
    <mergeCell ref="F145:F146"/>
    <mergeCell ref="F149:F151"/>
    <mergeCell ref="M150:M151"/>
    <mergeCell ref="G151:I151"/>
    <mergeCell ref="U151:U152"/>
    <mergeCell ref="F153:F154"/>
    <mergeCell ref="F156:F157"/>
    <mergeCell ref="I156:I157"/>
    <mergeCell ref="J156:J157"/>
    <mergeCell ref="K156:K157"/>
    <mergeCell ref="L156:L157"/>
    <mergeCell ref="F141:F144"/>
    <mergeCell ref="M141:M142"/>
    <mergeCell ref="M143:M144"/>
    <mergeCell ref="G144:I144"/>
    <mergeCell ref="A107:A109"/>
    <mergeCell ref="B107:B109"/>
    <mergeCell ref="C107:C109"/>
    <mergeCell ref="F107:F109"/>
    <mergeCell ref="G107:G109"/>
    <mergeCell ref="M107:M109"/>
    <mergeCell ref="F110:F112"/>
    <mergeCell ref="F117:F120"/>
    <mergeCell ref="M117:M118"/>
    <mergeCell ref="M119:M120"/>
    <mergeCell ref="F80:F81"/>
    <mergeCell ref="F82:F83"/>
    <mergeCell ref="G83:I83"/>
    <mergeCell ref="F88:F90"/>
    <mergeCell ref="M89:M90"/>
    <mergeCell ref="M93:M94"/>
    <mergeCell ref="F95:F97"/>
    <mergeCell ref="M96:M97"/>
    <mergeCell ref="F98:F99"/>
    <mergeCell ref="M98:M99"/>
    <mergeCell ref="M40:M41"/>
    <mergeCell ref="F42:F48"/>
    <mergeCell ref="S43:S44"/>
    <mergeCell ref="T43:T44"/>
    <mergeCell ref="F49:F50"/>
    <mergeCell ref="F51:F53"/>
    <mergeCell ref="M54:M55"/>
    <mergeCell ref="F59:F60"/>
    <mergeCell ref="F61:F62"/>
    <mergeCell ref="A8:Q8"/>
    <mergeCell ref="A9:Q9"/>
    <mergeCell ref="A10:A14"/>
    <mergeCell ref="B10:L14"/>
    <mergeCell ref="C15:Q15"/>
    <mergeCell ref="F16:F18"/>
    <mergeCell ref="G16:G18"/>
    <mergeCell ref="F24:F26"/>
    <mergeCell ref="F27:F29"/>
    <mergeCell ref="J5:L5"/>
    <mergeCell ref="M5:O5"/>
    <mergeCell ref="P5:P7"/>
    <mergeCell ref="Q5:Q7"/>
    <mergeCell ref="J6:J7"/>
    <mergeCell ref="K6:K7"/>
    <mergeCell ref="L6:L7"/>
    <mergeCell ref="M6:M7"/>
    <mergeCell ref="N6:O6"/>
    <mergeCell ref="A5:A7"/>
    <mergeCell ref="B5:B7"/>
    <mergeCell ref="C5:C7"/>
    <mergeCell ref="D5:D7"/>
    <mergeCell ref="E5:E7"/>
    <mergeCell ref="F5:F7"/>
    <mergeCell ref="G5:G7"/>
    <mergeCell ref="H5:H7"/>
    <mergeCell ref="I5:I7"/>
    <mergeCell ref="A218:O218"/>
    <mergeCell ref="A219:L219"/>
    <mergeCell ref="A220:I220"/>
    <mergeCell ref="A221:I221"/>
    <mergeCell ref="A222:I222"/>
    <mergeCell ref="A223:I223"/>
    <mergeCell ref="A224:I224"/>
    <mergeCell ref="F211:F213"/>
    <mergeCell ref="M212:M213"/>
    <mergeCell ref="C214:I214"/>
    <mergeCell ref="B215:I215"/>
    <mergeCell ref="B216:I216"/>
    <mergeCell ref="A217:O217"/>
    <mergeCell ref="B193:B194"/>
    <mergeCell ref="F193:F194"/>
    <mergeCell ref="G193:G194"/>
    <mergeCell ref="H193:H194"/>
    <mergeCell ref="M193:M194"/>
    <mergeCell ref="F195:F196"/>
    <mergeCell ref="G195:G196"/>
    <mergeCell ref="F198:F199"/>
    <mergeCell ref="F204:F205"/>
    <mergeCell ref="F126:F127"/>
    <mergeCell ref="F128:F130"/>
    <mergeCell ref="M128:M129"/>
    <mergeCell ref="G130:I130"/>
    <mergeCell ref="F131:F133"/>
    <mergeCell ref="F136:F137"/>
    <mergeCell ref="M136:M137"/>
    <mergeCell ref="F207:F210"/>
    <mergeCell ref="M208:M209"/>
    <mergeCell ref="F159:F160"/>
    <mergeCell ref="M159:M160"/>
    <mergeCell ref="G160:I160"/>
    <mergeCell ref="C161:I161"/>
    <mergeCell ref="C162:Q162"/>
    <mergeCell ref="F163:F164"/>
    <mergeCell ref="F166:F167"/>
    <mergeCell ref="A193:A194"/>
    <mergeCell ref="A1:Q1"/>
    <mergeCell ref="A2:Q2"/>
    <mergeCell ref="A3:Q3"/>
    <mergeCell ref="O4:Q4"/>
    <mergeCell ref="M49:M50"/>
    <mergeCell ref="F54:F55"/>
    <mergeCell ref="F68:F69"/>
    <mergeCell ref="F71:F72"/>
    <mergeCell ref="G71:G72"/>
    <mergeCell ref="F139:F140"/>
    <mergeCell ref="F100:F101"/>
    <mergeCell ref="C102:I102"/>
    <mergeCell ref="B103:I103"/>
    <mergeCell ref="B104:L104"/>
    <mergeCell ref="C106:Q106"/>
    <mergeCell ref="F93:F94"/>
    <mergeCell ref="F30:F32"/>
    <mergeCell ref="F33:F36"/>
    <mergeCell ref="F38:F39"/>
    <mergeCell ref="F40:F41"/>
    <mergeCell ref="F122:F123"/>
    <mergeCell ref="M122:M123"/>
    <mergeCell ref="F124:F125"/>
  </mergeCells>
  <printOptions horizontalCentered="1"/>
  <pageMargins left="0.11811023622047245" right="0" top="0.35433070866141736" bottom="0" header="0.31496062992125984" footer="0.31496062992125984"/>
  <pageSetup paperSize="9" scale="91" orientation="landscape" r:id="rId1"/>
  <rowBreaks count="12" manualBreakCount="12">
    <brk id="13" max="14" man="1"/>
    <brk id="35" max="14" man="1"/>
    <brk id="55" max="14" man="1"/>
    <brk id="74" max="14" man="1"/>
    <brk id="92" max="14" man="1"/>
    <brk id="110" max="14" man="1"/>
    <brk id="122" max="14" man="1"/>
    <brk id="151" max="14" man="1"/>
    <brk id="165" max="14" man="1"/>
    <brk id="182" max="14" man="1"/>
    <brk id="195" max="14" man="1"/>
    <brk id="217" max="1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5</vt:i4>
      </vt:variant>
      <vt:variant>
        <vt:lpstr>Įvardinti diapazonai</vt:lpstr>
      </vt:variant>
      <vt:variant>
        <vt:i4>6</vt:i4>
      </vt:variant>
    </vt:vector>
  </HeadingPairs>
  <TitlesOfParts>
    <vt:vector size="11" baseType="lpstr">
      <vt:lpstr>Asignavimu valdytojų kodai</vt:lpstr>
      <vt:lpstr>SPIS</vt:lpstr>
      <vt:lpstr>Ataskaita</vt:lpstr>
      <vt:lpstr>10 programa </vt:lpstr>
      <vt:lpstr>10 programa</vt:lpstr>
      <vt:lpstr>'10 programa'!Print_Area</vt:lpstr>
      <vt:lpstr>'10 programa '!Print_Area</vt:lpstr>
      <vt:lpstr>Ataskaita!Print_Area</vt:lpstr>
      <vt:lpstr>'10 programa'!Print_Titles</vt:lpstr>
      <vt:lpstr>'10 programa '!Print_Titles</vt:lpstr>
      <vt:lpstr>SPIS!Print_Titles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G.Uzkuriene</dc:creator>
  <cp:lastModifiedBy>Audra Cepiene</cp:lastModifiedBy>
  <cp:lastPrinted>2020-02-28T14:06:49Z</cp:lastPrinted>
  <dcterms:created xsi:type="dcterms:W3CDTF">2006-05-12T05:50:12Z</dcterms:created>
  <dcterms:modified xsi:type="dcterms:W3CDTF">2020-03-02T06:46:50Z</dcterms:modified>
</cp:coreProperties>
</file>