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PLANAI\2020-2022 SVP\SPRENDIMAS\"/>
    </mc:Choice>
  </mc:AlternateContent>
  <bookViews>
    <workbookView xWindow="0" yWindow="0" windowWidth="15360" windowHeight="5100" tabRatio="723" firstSheet="1" activeTab="1"/>
  </bookViews>
  <sheets>
    <sheet name="Lyginamasis po komitetų pastabų" sheetId="61" state="hidden" r:id="rId1"/>
    <sheet name="10 programa" sheetId="60" r:id="rId2"/>
    <sheet name="Aiskinamoji lentelė" sheetId="54" state="hidden" r:id="rId3"/>
  </sheets>
  <definedNames>
    <definedName name="_xlnm.Print_Area" localSheetId="1">'10 programa'!$A$1:$M$253</definedName>
    <definedName name="_xlnm.Print_Area" localSheetId="2">'Aiskinamoji lentelė'!$A$1:$S$274</definedName>
    <definedName name="_xlnm.Print_Area" localSheetId="0">'Lyginamasis po komitetų pastabų'!$A$1:$T$254</definedName>
    <definedName name="_xlnm.Print_Titles" localSheetId="1">'10 programa'!$7:$9</definedName>
    <definedName name="_xlnm.Print_Titles" localSheetId="2">'Aiskinamoji lentelė'!$6:$8</definedName>
    <definedName name="_xlnm.Print_Titles" localSheetId="0">'Lyginamasis po komitetų pastabų'!$7:$9</definedName>
  </definedNames>
  <calcPr calcId="162913"/>
</workbook>
</file>

<file path=xl/calcChain.xml><?xml version="1.0" encoding="utf-8"?>
<calcChain xmlns="http://schemas.openxmlformats.org/spreadsheetml/2006/main">
  <c r="H250" i="61" l="1"/>
  <c r="G250" i="61"/>
  <c r="M249" i="61"/>
  <c r="K249" i="61"/>
  <c r="J249" i="61"/>
  <c r="H249" i="61"/>
  <c r="G249" i="61"/>
  <c r="M248" i="61"/>
  <c r="M246" i="61" s="1"/>
  <c r="K248" i="61"/>
  <c r="J248" i="61"/>
  <c r="H248" i="61"/>
  <c r="G248" i="61"/>
  <c r="N247" i="61"/>
  <c r="M247" i="61"/>
  <c r="K247" i="61"/>
  <c r="K246" i="61" s="1"/>
  <c r="J247" i="61"/>
  <c r="J246" i="61" s="1"/>
  <c r="H247" i="61"/>
  <c r="H246" i="61" s="1"/>
  <c r="G247" i="61"/>
  <c r="M245" i="61"/>
  <c r="J245" i="61"/>
  <c r="H245" i="61"/>
  <c r="G245" i="61"/>
  <c r="J244" i="61"/>
  <c r="H244" i="61"/>
  <c r="G244" i="61"/>
  <c r="M243" i="61"/>
  <c r="J243" i="61"/>
  <c r="H243" i="61"/>
  <c r="G243" i="61"/>
  <c r="N241" i="61"/>
  <c r="M241" i="61"/>
  <c r="K241" i="61"/>
  <c r="J241" i="61"/>
  <c r="H241" i="61"/>
  <c r="G241" i="61"/>
  <c r="M240" i="61"/>
  <c r="J240" i="61"/>
  <c r="H240" i="61"/>
  <c r="G240" i="61"/>
  <c r="N239" i="61"/>
  <c r="M239" i="61"/>
  <c r="K239" i="61"/>
  <c r="J239" i="61"/>
  <c r="H239" i="61"/>
  <c r="G239" i="61"/>
  <c r="N238" i="61"/>
  <c r="M238" i="61"/>
  <c r="K238" i="61"/>
  <c r="J238" i="61"/>
  <c r="N237" i="61"/>
  <c r="M237" i="61"/>
  <c r="K237" i="61"/>
  <c r="J237" i="61"/>
  <c r="H237" i="61"/>
  <c r="G237" i="61"/>
  <c r="N228" i="61"/>
  <c r="M228" i="61"/>
  <c r="K228" i="61"/>
  <c r="J228" i="61"/>
  <c r="H228" i="61"/>
  <c r="G228" i="61"/>
  <c r="M224" i="61"/>
  <c r="H224" i="61"/>
  <c r="G224" i="61"/>
  <c r="N215" i="61" s="1"/>
  <c r="N224" i="61" s="1"/>
  <c r="M215" i="61"/>
  <c r="J215" i="61"/>
  <c r="J224" i="61" s="1"/>
  <c r="N213" i="61"/>
  <c r="M213" i="61"/>
  <c r="K213" i="61"/>
  <c r="J213" i="61"/>
  <c r="H213" i="61"/>
  <c r="G213" i="61"/>
  <c r="N210" i="61"/>
  <c r="M210" i="61"/>
  <c r="K210" i="61"/>
  <c r="J210" i="61"/>
  <c r="H210" i="61"/>
  <c r="G210" i="61"/>
  <c r="S193" i="61"/>
  <c r="R193" i="61"/>
  <c r="M185" i="61"/>
  <c r="M242" i="61" s="1"/>
  <c r="K185" i="61"/>
  <c r="K208" i="61" s="1"/>
  <c r="J185" i="61"/>
  <c r="J208" i="61" s="1"/>
  <c r="H185" i="61"/>
  <c r="G185" i="61"/>
  <c r="N185" i="61" s="1"/>
  <c r="N184" i="61"/>
  <c r="M184" i="61"/>
  <c r="M236" i="61" s="1"/>
  <c r="M235" i="61" s="1"/>
  <c r="K184" i="61"/>
  <c r="J184" i="61"/>
  <c r="H184" i="61"/>
  <c r="H208" i="61" s="1"/>
  <c r="G184" i="61"/>
  <c r="G208" i="61" s="1"/>
  <c r="K182" i="61"/>
  <c r="N181" i="61"/>
  <c r="M181" i="61"/>
  <c r="K181" i="61"/>
  <c r="J181" i="61"/>
  <c r="H181" i="61"/>
  <c r="G181" i="61"/>
  <c r="N174" i="61"/>
  <c r="M174" i="61"/>
  <c r="K174" i="61"/>
  <c r="J174" i="61"/>
  <c r="J182" i="61" s="1"/>
  <c r="H174" i="61"/>
  <c r="G174" i="61"/>
  <c r="N172" i="61"/>
  <c r="N182" i="61" s="1"/>
  <c r="M172" i="61"/>
  <c r="M182" i="61" s="1"/>
  <c r="K172" i="61"/>
  <c r="J172" i="61"/>
  <c r="H172" i="61"/>
  <c r="H182" i="61" s="1"/>
  <c r="G172" i="61"/>
  <c r="G182" i="61" s="1"/>
  <c r="N166" i="61"/>
  <c r="M166" i="61"/>
  <c r="K166" i="61"/>
  <c r="J166" i="61"/>
  <c r="H166" i="61"/>
  <c r="G166" i="61"/>
  <c r="K116" i="61"/>
  <c r="J116" i="61"/>
  <c r="H112" i="61"/>
  <c r="G112" i="61"/>
  <c r="G238" i="61" s="1"/>
  <c r="H107" i="61"/>
  <c r="H242" i="61" s="1"/>
  <c r="G107" i="61"/>
  <c r="G242" i="61" s="1"/>
  <c r="N106" i="61"/>
  <c r="N158" i="61" s="1"/>
  <c r="M106" i="61"/>
  <c r="M158" i="61" s="1"/>
  <c r="K106" i="61"/>
  <c r="K158" i="61" s="1"/>
  <c r="K167" i="61" s="1"/>
  <c r="J106" i="61"/>
  <c r="J236" i="61" s="1"/>
  <c r="J235" i="61" s="1"/>
  <c r="N105" i="61"/>
  <c r="M105" i="61"/>
  <c r="K105" i="61"/>
  <c r="J105" i="61"/>
  <c r="H102" i="61"/>
  <c r="H105" i="61" s="1"/>
  <c r="G102" i="61"/>
  <c r="G105" i="61" s="1"/>
  <c r="N97" i="61"/>
  <c r="M97" i="61"/>
  <c r="K97" i="61"/>
  <c r="J97" i="61"/>
  <c r="H97" i="61"/>
  <c r="G97" i="61"/>
  <c r="N95" i="61"/>
  <c r="M95" i="61"/>
  <c r="K95" i="61"/>
  <c r="J95" i="61"/>
  <c r="H95" i="61"/>
  <c r="G95" i="61"/>
  <c r="N93" i="61"/>
  <c r="M93" i="61"/>
  <c r="K93" i="61"/>
  <c r="J93" i="61"/>
  <c r="H93" i="61"/>
  <c r="G93" i="61"/>
  <c r="N91" i="61"/>
  <c r="M91" i="61"/>
  <c r="K91" i="61"/>
  <c r="J91" i="61"/>
  <c r="H91" i="61"/>
  <c r="G91" i="61"/>
  <c r="N89" i="61"/>
  <c r="M89" i="61"/>
  <c r="K89" i="61"/>
  <c r="J89" i="61"/>
  <c r="H89" i="61"/>
  <c r="G89" i="61"/>
  <c r="N83" i="61"/>
  <c r="N98" i="61" s="1"/>
  <c r="N99" i="61" s="1"/>
  <c r="M83" i="61"/>
  <c r="M98" i="61" s="1"/>
  <c r="M99" i="61" s="1"/>
  <c r="K83" i="61"/>
  <c r="K98" i="61" s="1"/>
  <c r="K99" i="61" s="1"/>
  <c r="J83" i="61"/>
  <c r="J98" i="61" s="1"/>
  <c r="J99" i="61" s="1"/>
  <c r="G83" i="61"/>
  <c r="S45" i="61"/>
  <c r="R45" i="61"/>
  <c r="Q45" i="61"/>
  <c r="H14" i="61"/>
  <c r="G14" i="61"/>
  <c r="G246" i="61" l="1"/>
  <c r="M234" i="61"/>
  <c r="M251" i="61" s="1"/>
  <c r="H167" i="61"/>
  <c r="N167" i="61"/>
  <c r="N208" i="61"/>
  <c r="G229" i="61"/>
  <c r="M229" i="61"/>
  <c r="K229" i="61"/>
  <c r="K230" i="61" s="1"/>
  <c r="K231" i="61" s="1"/>
  <c r="H229" i="61"/>
  <c r="H230" i="61" s="1"/>
  <c r="N229" i="61"/>
  <c r="N230" i="61" s="1"/>
  <c r="N231" i="61" s="1"/>
  <c r="G167" i="61"/>
  <c r="N242" i="61" s="1"/>
  <c r="M167" i="61"/>
  <c r="J229" i="61"/>
  <c r="K243" i="61"/>
  <c r="H83" i="61"/>
  <c r="N236" i="61"/>
  <c r="N240" i="61"/>
  <c r="N249" i="61"/>
  <c r="G98" i="61"/>
  <c r="G99" i="61" s="1"/>
  <c r="J158" i="61"/>
  <c r="J167" i="61" s="1"/>
  <c r="G236" i="61"/>
  <c r="G235" i="61" s="1"/>
  <c r="G234" i="61" s="1"/>
  <c r="G251" i="61" s="1"/>
  <c r="J242" i="61"/>
  <c r="J234" i="61" s="1"/>
  <c r="J251" i="61" s="1"/>
  <c r="K215" i="61"/>
  <c r="K224" i="61" s="1"/>
  <c r="H236" i="61"/>
  <c r="G158" i="61"/>
  <c r="M208" i="61"/>
  <c r="N248" i="61"/>
  <c r="N246" i="61" s="1"/>
  <c r="H158" i="61"/>
  <c r="K240" i="61"/>
  <c r="H106" i="60"/>
  <c r="M124" i="54"/>
  <c r="M230" i="61" l="1"/>
  <c r="M231" i="61" s="1"/>
  <c r="G230" i="61"/>
  <c r="G231" i="61" s="1"/>
  <c r="H238" i="61"/>
  <c r="N243" i="61"/>
  <c r="N235" i="61"/>
  <c r="K245" i="61"/>
  <c r="K242" i="61"/>
  <c r="H235" i="61"/>
  <c r="H234" i="61" s="1"/>
  <c r="H251" i="61" s="1"/>
  <c r="K244" i="61"/>
  <c r="H98" i="61"/>
  <c r="J230" i="61"/>
  <c r="J231" i="61" s="1"/>
  <c r="K236" i="61"/>
  <c r="K235" i="61" s="1"/>
  <c r="K234" i="61" s="1"/>
  <c r="K251" i="61" s="1"/>
  <c r="I106" i="60"/>
  <c r="N159" i="54"/>
  <c r="N155" i="54"/>
  <c r="H99" i="61" l="1"/>
  <c r="O242" i="61"/>
  <c r="O241" i="61"/>
  <c r="O239" i="61"/>
  <c r="N245" i="61"/>
  <c r="N234" i="61" s="1"/>
  <c r="N251" i="61" s="1"/>
  <c r="L196" i="54"/>
  <c r="H231" i="61" l="1"/>
  <c r="O245" i="61"/>
  <c r="O243" i="61"/>
  <c r="O249" i="61"/>
  <c r="O236" i="61"/>
  <c r="O237" i="61"/>
  <c r="O247" i="61"/>
  <c r="O240" i="61"/>
  <c r="O248" i="61"/>
  <c r="O238" i="61"/>
  <c r="G158" i="60"/>
  <c r="G107" i="60"/>
  <c r="L125" i="54"/>
  <c r="O246" i="61" l="1"/>
  <c r="O235" i="61"/>
  <c r="O234" i="61" s="1"/>
  <c r="I184" i="60"/>
  <c r="H184" i="60"/>
  <c r="M159" i="54"/>
  <c r="L159" i="54"/>
  <c r="O251" i="61" l="1"/>
  <c r="G185" i="60"/>
  <c r="N141" i="54" l="1"/>
  <c r="I158" i="60"/>
  <c r="H116" i="60"/>
  <c r="H158" i="60" s="1"/>
  <c r="G112" i="60"/>
  <c r="L114" i="54"/>
  <c r="L94" i="54"/>
  <c r="L202" i="54"/>
  <c r="L201" i="54"/>
  <c r="L226" i="54" s="1"/>
  <c r="G14" i="60"/>
  <c r="G184" i="60"/>
  <c r="K157" i="54" l="1"/>
  <c r="K155" i="54"/>
  <c r="K159" i="54" s="1"/>
  <c r="H243" i="60" l="1"/>
  <c r="I242" i="60"/>
  <c r="H242" i="60"/>
  <c r="I240" i="60"/>
  <c r="H240" i="60"/>
  <c r="I239" i="60"/>
  <c r="H239" i="60"/>
  <c r="I238" i="60"/>
  <c r="H238" i="60"/>
  <c r="I237" i="60"/>
  <c r="H237" i="60"/>
  <c r="I236" i="60"/>
  <c r="H236" i="60"/>
  <c r="I235" i="60"/>
  <c r="G248" i="60"/>
  <c r="G247" i="60"/>
  <c r="G246" i="60"/>
  <c r="G244" i="60"/>
  <c r="G243" i="60"/>
  <c r="G242" i="60"/>
  <c r="G239" i="60"/>
  <c r="G238" i="60"/>
  <c r="G237" i="60"/>
  <c r="G236" i="60"/>
  <c r="G227" i="60"/>
  <c r="G223" i="60"/>
  <c r="G207" i="60"/>
  <c r="G181" i="60"/>
  <c r="G89" i="60"/>
  <c r="G83" i="60"/>
  <c r="I105" i="60"/>
  <c r="H105" i="60"/>
  <c r="G102" i="60"/>
  <c r="G235" i="60" s="1"/>
  <c r="K182" i="54"/>
  <c r="L182" i="54"/>
  <c r="G166" i="60"/>
  <c r="G249" i="60"/>
  <c r="G240" i="60"/>
  <c r="H166" i="60"/>
  <c r="I166" i="60"/>
  <c r="G105" i="60" l="1"/>
  <c r="G234" i="60"/>
  <c r="G245" i="60"/>
  <c r="I214" i="60"/>
  <c r="I223" i="60" s="1"/>
  <c r="H214" i="60"/>
  <c r="H223" i="60" s="1"/>
  <c r="I185" i="60"/>
  <c r="H185" i="60"/>
  <c r="H207" i="60" s="1"/>
  <c r="H181" i="60"/>
  <c r="I181" i="60"/>
  <c r="H235" i="60"/>
  <c r="I241" i="60" l="1"/>
  <c r="G241" i="60"/>
  <c r="G167" i="60"/>
  <c r="I207" i="60"/>
  <c r="H241" i="60"/>
  <c r="H83" i="60" l="1"/>
  <c r="I83" i="60"/>
  <c r="I248" i="60" l="1"/>
  <c r="I247" i="60"/>
  <c r="H247" i="60"/>
  <c r="I246" i="60"/>
  <c r="H246" i="60"/>
  <c r="I244" i="60"/>
  <c r="H244" i="60"/>
  <c r="G233" i="60"/>
  <c r="I227" i="60"/>
  <c r="H227" i="60"/>
  <c r="I212" i="60"/>
  <c r="H212" i="60"/>
  <c r="G212" i="60"/>
  <c r="I209" i="60"/>
  <c r="H209" i="60"/>
  <c r="G209" i="60"/>
  <c r="L193" i="60"/>
  <c r="M193" i="60" s="1"/>
  <c r="I174" i="60"/>
  <c r="H174" i="60"/>
  <c r="G174" i="60"/>
  <c r="I172" i="60"/>
  <c r="H172" i="60"/>
  <c r="G172" i="60"/>
  <c r="I167" i="60"/>
  <c r="I97" i="60"/>
  <c r="H97" i="60"/>
  <c r="G97" i="60"/>
  <c r="I95" i="60"/>
  <c r="H95" i="60"/>
  <c r="G95" i="60"/>
  <c r="I93" i="60"/>
  <c r="H93" i="60"/>
  <c r="G93" i="60"/>
  <c r="I91" i="60"/>
  <c r="H91" i="60"/>
  <c r="G91" i="60"/>
  <c r="I89" i="60"/>
  <c r="H89" i="60"/>
  <c r="M45" i="60"/>
  <c r="L45" i="60"/>
  <c r="K45" i="60"/>
  <c r="G228" i="60" l="1"/>
  <c r="G182" i="60"/>
  <c r="G98" i="60"/>
  <c r="H248" i="60"/>
  <c r="H245" i="60" s="1"/>
  <c r="I245" i="60"/>
  <c r="I182" i="60"/>
  <c r="H182" i="60"/>
  <c r="H228" i="60"/>
  <c r="I228" i="60"/>
  <c r="K263" i="54"/>
  <c r="L263" i="54"/>
  <c r="I229" i="60" l="1"/>
  <c r="G250" i="60"/>
  <c r="G99" i="60"/>
  <c r="H167" i="60"/>
  <c r="H229" i="60" s="1"/>
  <c r="H98" i="60"/>
  <c r="H99" i="60" s="1"/>
  <c r="G229" i="60"/>
  <c r="L42" i="54"/>
  <c r="G230" i="60" l="1"/>
  <c r="H234" i="60"/>
  <c r="H233" i="60" s="1"/>
  <c r="H250" i="60" s="1"/>
  <c r="I98" i="60"/>
  <c r="I99" i="60" s="1"/>
  <c r="I234" i="60"/>
  <c r="H230" i="60"/>
  <c r="S39" i="54"/>
  <c r="R39" i="54"/>
  <c r="Q39" i="54"/>
  <c r="I230" i="60" l="1"/>
  <c r="I233" i="60"/>
  <c r="I250" i="60" s="1"/>
  <c r="M38" i="54"/>
  <c r="N38" i="54"/>
  <c r="L38" i="54"/>
  <c r="M242" i="54" l="1"/>
  <c r="L246" i="54"/>
  <c r="M246" i="54"/>
  <c r="N246" i="54"/>
  <c r="K246" i="54"/>
  <c r="N261" i="54" l="1"/>
  <c r="N267" i="54" l="1"/>
  <c r="M267" i="54"/>
  <c r="L267" i="54" l="1"/>
  <c r="K170" i="54" l="1"/>
  <c r="N28" i="54" l="1"/>
  <c r="M28" i="54"/>
  <c r="L28" i="54"/>
  <c r="L27" i="54" l="1"/>
  <c r="L239" i="54" l="1"/>
  <c r="L242" i="54" s="1"/>
  <c r="K196" i="54" l="1"/>
  <c r="N49" i="54" l="1"/>
  <c r="M49" i="54"/>
  <c r="M127" i="54" l="1"/>
  <c r="L127" i="54"/>
  <c r="L141" i="54" s="1"/>
  <c r="L33" i="54" l="1"/>
  <c r="L55" i="54" l="1"/>
  <c r="L269" i="54" l="1"/>
  <c r="L268" i="54"/>
  <c r="L61" i="54" l="1"/>
  <c r="L87" i="54" s="1"/>
  <c r="L255" i="54" l="1"/>
  <c r="M141" i="54"/>
  <c r="L163" i="54" l="1"/>
  <c r="L170" i="54" s="1"/>
  <c r="L171" i="54" s="1"/>
  <c r="L183" i="54" s="1"/>
  <c r="L261" i="54" l="1"/>
  <c r="N17" i="54"/>
  <c r="M17" i="54"/>
  <c r="M87" i="54" l="1"/>
  <c r="N87" i="54"/>
  <c r="M196" i="54"/>
  <c r="N196" i="54"/>
  <c r="K94" i="54" l="1"/>
  <c r="K267" i="54" l="1"/>
  <c r="M268" i="54" l="1"/>
  <c r="M266" i="54"/>
  <c r="M264" i="54"/>
  <c r="M263" i="54"/>
  <c r="M262" i="54"/>
  <c r="M261" i="54"/>
  <c r="M260" i="54"/>
  <c r="M259" i="54"/>
  <c r="M257" i="54"/>
  <c r="M256" i="54"/>
  <c r="M265" i="54" l="1"/>
  <c r="M182" i="54"/>
  <c r="N182" i="54"/>
  <c r="L188" i="54" l="1"/>
  <c r="K73" i="54"/>
  <c r="K96" i="54" l="1"/>
  <c r="L96" i="54"/>
  <c r="M96" i="54"/>
  <c r="N96" i="54"/>
  <c r="K188" i="54"/>
  <c r="K235" i="54" l="1"/>
  <c r="K233" i="54"/>
  <c r="K215" i="54"/>
  <c r="K213" i="54"/>
  <c r="K211" i="54"/>
  <c r="R207" i="54"/>
  <c r="S207" i="54" s="1"/>
  <c r="M207" i="54"/>
  <c r="K206" i="54"/>
  <c r="K226" i="54" s="1"/>
  <c r="K228" i="54"/>
  <c r="L228" i="54"/>
  <c r="M228" i="54"/>
  <c r="N228" i="54"/>
  <c r="K229" i="54"/>
  <c r="K127" i="54"/>
  <c r="M255" i="54" l="1"/>
  <c r="M226" i="54"/>
  <c r="K242" i="54"/>
  <c r="K141" i="54"/>
  <c r="K171" i="54" s="1"/>
  <c r="N207" i="54"/>
  <c r="N255" i="54" s="1"/>
  <c r="N226" i="54" l="1"/>
  <c r="L105" i="54"/>
  <c r="M105" i="54"/>
  <c r="N105" i="54"/>
  <c r="K105" i="54"/>
  <c r="N242" i="54" l="1"/>
  <c r="L231" i="54"/>
  <c r="L247" i="54" s="1"/>
  <c r="M231" i="54"/>
  <c r="M247" i="54" s="1"/>
  <c r="N231" i="54"/>
  <c r="N247" i="54" s="1"/>
  <c r="L190" i="54"/>
  <c r="L197" i="54" s="1"/>
  <c r="M190" i="54"/>
  <c r="N190" i="54"/>
  <c r="K190" i="54"/>
  <c r="K197" i="54" s="1"/>
  <c r="M188" i="54"/>
  <c r="N188" i="54"/>
  <c r="M114" i="54"/>
  <c r="N114" i="54"/>
  <c r="K114" i="54"/>
  <c r="K183" i="54" s="1"/>
  <c r="L103" i="54"/>
  <c r="M103" i="54"/>
  <c r="N103" i="54"/>
  <c r="K103" i="54"/>
  <c r="L101" i="54"/>
  <c r="M101" i="54"/>
  <c r="N101" i="54"/>
  <c r="K101" i="54"/>
  <c r="L98" i="54"/>
  <c r="L106" i="54" s="1"/>
  <c r="M98" i="54"/>
  <c r="N98" i="54"/>
  <c r="K98" i="54"/>
  <c r="M94" i="54"/>
  <c r="N94" i="54"/>
  <c r="N268" i="54"/>
  <c r="K268" i="54"/>
  <c r="N266" i="54"/>
  <c r="L266" i="54"/>
  <c r="L265" i="54" s="1"/>
  <c r="K266" i="54"/>
  <c r="N264" i="54"/>
  <c r="L264" i="54"/>
  <c r="K264" i="54"/>
  <c r="N262" i="54"/>
  <c r="L262" i="54"/>
  <c r="K262" i="54"/>
  <c r="K261" i="54"/>
  <c r="N260" i="54"/>
  <c r="L260" i="54"/>
  <c r="K260" i="54"/>
  <c r="N259" i="54"/>
  <c r="L259" i="54"/>
  <c r="K259" i="54"/>
  <c r="N257" i="54"/>
  <c r="L257" i="54"/>
  <c r="K257" i="54"/>
  <c r="N256" i="54"/>
  <c r="L256" i="54"/>
  <c r="K265" i="54" l="1"/>
  <c r="N197" i="54"/>
  <c r="M197" i="54"/>
  <c r="N265" i="54"/>
  <c r="M258" i="54" l="1"/>
  <c r="M254" i="54" s="1"/>
  <c r="L258" i="54"/>
  <c r="N258" i="54"/>
  <c r="N254" i="54" s="1"/>
  <c r="L254" i="54" l="1"/>
  <c r="L253" i="54" s="1"/>
  <c r="L270" i="54" s="1"/>
  <c r="K71" i="54" l="1"/>
  <c r="K255" i="54" s="1"/>
  <c r="P44" i="54"/>
  <c r="K28" i="54"/>
  <c r="K258" i="54" s="1"/>
  <c r="K24" i="54"/>
  <c r="K87" i="54" s="1"/>
  <c r="K106" i="54" l="1"/>
  <c r="K107" i="54" s="1"/>
  <c r="K256" i="54"/>
  <c r="K254" i="54" s="1"/>
  <c r="K253" i="54" s="1"/>
  <c r="N170" i="54"/>
  <c r="M253" i="54"/>
  <c r="M270" i="54" s="1"/>
  <c r="K231" i="54"/>
  <c r="K247" i="54" s="1"/>
  <c r="N171" i="54" l="1"/>
  <c r="N183" i="54" s="1"/>
  <c r="N248" i="54" s="1"/>
  <c r="K248" i="54"/>
  <c r="K249" i="54" s="1"/>
  <c r="L248" i="54"/>
  <c r="K270" i="54"/>
  <c r="N263" i="54"/>
  <c r="N253" i="54" s="1"/>
  <c r="M170" i="54"/>
  <c r="M171" i="54" s="1"/>
  <c r="K272" i="54" l="1"/>
  <c r="M183" i="54"/>
  <c r="M248" i="54" s="1"/>
  <c r="N270" i="54" l="1"/>
  <c r="N106" i="54" l="1"/>
  <c r="N107" i="54" s="1"/>
  <c r="N249" i="54" s="1"/>
  <c r="L107" i="54"/>
  <c r="L249" i="54" s="1"/>
  <c r="M106" i="54"/>
  <c r="M107" i="54" s="1"/>
  <c r="M249" i="54" s="1"/>
  <c r="M272" i="54" s="1"/>
  <c r="L272" i="54" l="1"/>
  <c r="N272" i="54"/>
</calcChain>
</file>

<file path=xl/comments1.xml><?xml version="1.0" encoding="utf-8"?>
<comments xmlns="http://schemas.openxmlformats.org/spreadsheetml/2006/main">
  <authors>
    <author>Snieguole Kacerauskaite</author>
    <author>Indrė Butenienė</author>
    <author>Inga Kubiliene</author>
    <author>Saulina Paulauskiene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5.1.1. Ikimokyklinio ar priešmokyklinio ugdymo mokytojų, dirbančių vienoje ikimokyklinės įstaigos grupėje, etatų skaičius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5.1.7. Sumažintos įmokos už pailgintos dienos grupę bendrojo ugdymo mokyklų 1-4 kl. mokiniams, proc.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E6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E73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2.2.1. Įsteigti tarptautinių ikimokyklinio ir bendrojo ugdymo įstaigų, kuriose būtų mokoma anglų kalba</t>
        </r>
        <r>
          <rPr>
            <b/>
            <sz val="9"/>
            <color indexed="81"/>
            <rFont val="Tahoma"/>
            <family val="2"/>
            <charset val="186"/>
          </rPr>
          <t xml:space="preserve"> 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E77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E94" authorId="0" shape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  <charset val="186"/>
          </rPr>
          <t>H.Zudermano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S12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Maksimo Gorkio progimnazija -
</t>
        </r>
        <r>
          <rPr>
            <sz val="9"/>
            <color indexed="81"/>
            <rFont val="Tahoma"/>
            <family val="2"/>
            <charset val="186"/>
          </rPr>
          <t>20 tūkst. Eur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T12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Maksimo Gorkio progimnazija -
</t>
        </r>
        <r>
          <rPr>
            <sz val="9"/>
            <color indexed="81"/>
            <rFont val="Tahoma"/>
            <family val="2"/>
            <charset val="186"/>
          </rPr>
          <t>20 tūkst. Eur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5.1.4. Įrengta naujų ikimokyklinio ugdymo vietų centrinėje ir šiaurinėje miesto dalyse 
5.1.5. Renovuota ikimokyklinio ugdymo įstaigų pastatų, vnt.
5.1.12. Įgyvendinta investicinių projektų bendrojo lavinimo ir neformalaus ugdymo srityje, vnt.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
5.1.12. Įgyvendinta investicinių projektų bendrojo lavinimo ir neformalaus ugdymo srityje, vnt.</t>
        </r>
      </text>
    </comment>
    <comment ref="S147" authorId="0" shapeId="0">
      <text>
        <r>
          <rPr>
            <sz val="9"/>
            <color indexed="81"/>
            <rFont val="Tahoma"/>
            <family val="2"/>
            <charset val="186"/>
          </rPr>
          <t xml:space="preserve">l.-d „Kregždutė“
</t>
        </r>
      </text>
    </comment>
    <comment ref="T147" authorId="0" shapeId="0">
      <text>
        <r>
          <rPr>
            <sz val="9"/>
            <color indexed="81"/>
            <rFont val="Tahoma"/>
            <family val="2"/>
            <charset val="186"/>
          </rPr>
          <t xml:space="preserve">l.-d „Kregždutė“
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E18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5.1.8. Įrengta inovatyvių išmanių klasių bendrojo lavinimo mokyklose, vnt. </t>
        </r>
      </text>
    </comment>
    <comment ref="Q187" authorId="0" shapeId="0">
      <text>
        <r>
          <rPr>
            <sz val="9"/>
            <color indexed="81"/>
            <rFont val="Tahoma"/>
            <family val="2"/>
            <charset val="186"/>
          </rPr>
          <t>14 suplanuotų įstaigų + 6  nenumatytiems avriniams atvejams</t>
        </r>
      </text>
    </comment>
    <comment ref="Q192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"Eglutė", l/d "Alksniukas", l/d "Traukinukas", Moksleivių saviraiškos centras</t>
        </r>
      </text>
    </comment>
    <comment ref="Q197" authorId="2" shapeId="0">
      <text>
        <r>
          <rPr>
            <sz val="9"/>
            <color indexed="81"/>
            <rFont val="Tahoma"/>
            <family val="2"/>
            <charset val="186"/>
          </rPr>
          <t>"Varpo" gimnazija, Suaugusiųjų gimnazija, "Saulėtekio" progimnazija, Vydūno gimnazija, l/d "Alksniukas", l/d "Du gaideliai", l/d "Bangelė", l/d "Pumpurėlis", l/d "Pagrandukas", l/d "Pakalnutė",  l/d "Sakalėlis"</t>
        </r>
      </text>
    </comment>
    <comment ref="Q198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"Radatėlė", l/d "Bangelė", l/d "Berželis", l/d "Kregždutė", l/d "Pagrandukas", l/d "Nykštukas",l/d "Papartėlis", Regos ugdymo centras, l/d "Dobiliukas", "Vitės" progimnazija</t>
        </r>
      </text>
    </comment>
    <comment ref="Q199" authorId="2" shapeId="0">
      <text>
        <r>
          <rPr>
            <sz val="9"/>
            <color indexed="81"/>
            <rFont val="Tahoma"/>
            <family val="2"/>
            <charset val="186"/>
          </rPr>
          <t>l/d "Čiauškutė", l/d "Sakalėlis", l/d "Pušaitė", Regos ugdymo centras, M. Mažvydo, "Saulėtekio", 'Pajūrio" progimnazijos, "Varpo" gimnazija, avariniams darbams</t>
        </r>
      </text>
    </comment>
    <comment ref="E200" authorId="0" shape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Q200" authorId="2" shapeId="0">
      <text>
        <r>
          <rPr>
            <sz val="9"/>
            <color indexed="81"/>
            <rFont val="Tahoma"/>
            <family val="2"/>
            <charset val="186"/>
          </rPr>
          <t>l/d "Dobiliukas"</t>
        </r>
      </text>
    </comment>
    <comment ref="Q201" authorId="2" shapeId="0">
      <text>
        <r>
          <rPr>
            <sz val="9"/>
            <color indexed="81"/>
            <rFont val="Tahoma"/>
            <family val="2"/>
            <charset val="186"/>
          </rPr>
          <t>l/d "Dobiliukas",
„Švyturėlis“,
"Aitvaro", "Žaliakalnio" gimnazijos</t>
        </r>
      </text>
    </comment>
    <comment ref="Q203" authorId="2" shapeId="0">
      <text>
        <r>
          <rPr>
            <sz val="9"/>
            <color indexed="81"/>
            <rFont val="Tahoma"/>
            <family val="2"/>
            <charset val="186"/>
          </rPr>
          <t>"Pajūrio", P. Mašioto progimnazijos, H. Zudermano</t>
        </r>
      </text>
    </comment>
    <comment ref="Q218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"Versmė" ir "Aitvarėlis"</t>
        </r>
      </text>
    </comment>
    <comment ref="Q221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"Aitvarėlis" ir Verdenės progimnazija</t>
        </r>
      </text>
    </comment>
    <comment ref="R221" authorId="3" shapeId="0">
      <text>
        <r>
          <rPr>
            <b/>
            <sz val="9"/>
            <color indexed="81"/>
            <rFont val="Tahoma"/>
            <family val="2"/>
            <charset val="186"/>
          </rPr>
          <t>Saulina Paulauskiene:</t>
        </r>
        <r>
          <rPr>
            <sz val="9"/>
            <color indexed="81"/>
            <rFont val="Tahoma"/>
            <family val="2"/>
            <charset val="186"/>
          </rPr>
          <t xml:space="preserve">
Versmė</t>
        </r>
      </text>
    </comment>
    <comment ref="R222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liko Čiauškutė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Indrė Butenienė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5.1.1. Ikimokyklinio ar priešmokyklinio ugdymo mokytojų, dirbančių vienoje ikimokyklinės įstaigos grupėje, etatų skaičius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5.1.7. Sumažintos įmokos už pailgintos dienos grupę bendrojo ugdymo mokyklų 1-4 kl. mokiniams, proc.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E6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E73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2.2.1. Įsteigti tarptautinių ikimokyklinio ir bendrojo ugdymo įstaigų, kuriose būtų mokoma anglų kalba</t>
        </r>
        <r>
          <rPr>
            <b/>
            <sz val="9"/>
            <color indexed="81"/>
            <rFont val="Tahoma"/>
            <family val="2"/>
            <charset val="186"/>
          </rPr>
          <t xml:space="preserve"> 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E77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E94" authorId="0" shape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E1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E14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5.1.4. Įrengta naujų ikimokyklinio ugdymo vietų centrinėje ir šiaurinėje miesto dalyse 
5.1.5. Renovuota ikimokyklinio ugdymo įstaigų pastatų, vnt.
5.1.12. Įgyvendinta investicinių projektų bendrojo lavinimo ir neformalaus ugdymo srityje, vnt.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
5.1.12. Įgyvendinta investicinių projektų bendrojo lavinimo ir neformalaus ugdymo srityje, vnt.</t>
        </r>
      </text>
    </comment>
    <comment ref="M147" authorId="0" shapeId="0">
      <text>
        <r>
          <rPr>
            <sz val="9"/>
            <color indexed="81"/>
            <rFont val="Tahoma"/>
            <family val="2"/>
            <charset val="186"/>
          </rPr>
          <t xml:space="preserve">l.-d „Kregždutė“
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E156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E18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5.1.8. Įrengta inovatyvių išmanių klasių bendrojo lavinimo mokyklose, vnt. </t>
        </r>
      </text>
    </comment>
    <comment ref="E200" authorId="0" shape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  <author>Indrė Butenienė</author>
    <author>Inga Kubiliene</author>
    <author>Inga Mikalauskiene</author>
    <author>Saulina Paulauskiene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: 
5.1.3. Įrengta inovatyvių išmanių grupių ikimokyklinio ugdymo įstaigose, vnt. 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5.1.1. Ikimokyklinio ar priešmokyklinio ugdymo mokytojų, dirbančių vienoje ikimokyklinės įstaigos grupėje, etatų skaičius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nuo 2020-09-01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19" authorId="0" shapeId="0">
      <text>
        <r>
          <rPr>
            <sz val="9"/>
            <color indexed="81"/>
            <rFont val="Tahoma"/>
            <family val="2"/>
            <charset val="186"/>
          </rPr>
          <t>VšĮ: Mažųjų pasaulis, Jūros žvaigždutė, Pasakėlė, Vaikų giraitė, Saulė ir mėnulis, Laimingų vaikų pilis, Niektauza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5.1.7. Sumažintos įmokos už pailgintos dienos grupę bendrojo ugdymo mokyklų 1-4 kl. mokiniams, proc.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5.1.2. Padidintas psichologų, teikiančių paslaugas ikimokyklinio ugdymo įstaigoms, etatų skaičius BĮ Klaipėdos pedagoginė psichologinė tarnyba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2.2.4. </t>
        </r>
        <r>
          <rPr>
            <sz val="9"/>
            <color indexed="81"/>
            <rFont val="Tahoma"/>
            <family val="2"/>
            <charset val="186"/>
          </rPr>
          <t xml:space="preserve"> Įsteigti gamtos mokslų, technologijų ir inžinerijos, matematikos ir menų (STEAM) centrą </t>
        </r>
      </text>
    </comment>
    <comment ref="G68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2.2.1. Įsteigti tarptautinių ikimokyklinio ir bendrojo ugdymo įstaigų, kuriose būtų mokoma anglų kalba</t>
        </r>
        <r>
          <rPr>
            <b/>
            <sz val="9"/>
            <color indexed="81"/>
            <rFont val="Tahoma"/>
            <family val="2"/>
            <charset val="186"/>
          </rPr>
          <t xml:space="preserve"> 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>:
5.2.1. Įgyvendintų bendrų projektų su aukštosiomis mokyklomis skaičius
5.2.2. Įsteigta universitetinių klasių, vnt.</t>
        </r>
      </text>
    </comment>
    <comment ref="G76" authorId="1" shapeId="0">
      <text>
        <r>
          <rPr>
            <b/>
            <sz val="9"/>
            <color indexed="81"/>
            <rFont val="Tahoma"/>
            <family val="2"/>
            <charset val="186"/>
          </rPr>
          <t>KEPS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  <r>
          <rPr>
            <b/>
            <sz val="9"/>
            <color indexed="81"/>
            <rFont val="Tahoma"/>
            <family val="2"/>
            <charset val="186"/>
          </rPr>
          <t>2.2.2</t>
        </r>
        <r>
          <rPr>
            <sz val="9"/>
            <color indexed="81"/>
            <rFont val="Tahoma"/>
            <family val="2"/>
            <charset val="186"/>
          </rPr>
          <t xml:space="preserve">. Įsteigti universitetinių klasių ir universitetinę ikimokyklinę įstaigą, gimnaziją ir progimnaziją, kurių ugdymo turinys būtų derinamas su Klaipėdos universitetu 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 
5.1.11. Padidintas finansavimas vasaros poilsio stovykloms, proc.</t>
        </r>
      </text>
    </comment>
    <comment ref="G99" authorId="0" shape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5.1. Ikimokyklinio ir bendrojo ugdymo paslaugų prieinamumo ir kokybės gerinimas: </t>
        </r>
        <r>
          <rPr>
            <sz val="9"/>
            <color indexed="81"/>
            <rFont val="Tahoma"/>
            <family val="2"/>
            <charset val="186"/>
          </rPr>
          <t xml:space="preserve">5.1.4. Įrengta naujų ikimokyklinio ugdymo vietų centrinėje ir šiaurinėje miesto dalyse 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5.1.9. Įrengta naujų bendrojo ugdymo vietų šiaurinėje miesto dalyje, vnt.
5.1.12. Įgyvendinta investicinių projektų bendrojo lavinimo ir neformalaus ugdymo srityje, vnt.</t>
        </r>
      </text>
    </comment>
    <comment ref="P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Verdenės progimnazija (377,2 t.€)
Simono Dacho progimnazija (250 t.€)
</t>
        </r>
        <r>
          <rPr>
            <u/>
            <sz val="9"/>
            <color indexed="81"/>
            <rFont val="Tahoma"/>
            <family val="2"/>
            <charset val="186"/>
          </rPr>
          <t>„Vyturio“ progimnazija (123 t.€)</t>
        </r>
        <r>
          <rPr>
            <sz val="9"/>
            <color indexed="81"/>
            <rFont val="Tahoma"/>
            <family val="2"/>
            <charset val="186"/>
          </rPr>
          <t xml:space="preserve">
Iš viso: 750,2 t. €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  <charset val="186"/>
          </rPr>
          <t>H.Zudermano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S12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Maksimo Gorkio progimnazija -
</t>
        </r>
        <r>
          <rPr>
            <sz val="9"/>
            <color indexed="81"/>
            <rFont val="Tahoma"/>
            <family val="2"/>
            <charset val="186"/>
          </rPr>
          <t>20 tūkst. Eur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29" authorId="1" shapeId="0">
      <text>
        <r>
          <rPr>
            <sz val="9"/>
            <color indexed="81"/>
            <rFont val="Tahoma"/>
            <family val="2"/>
            <charset val="186"/>
          </rPr>
          <t xml:space="preserve">
Klasco sutarties lėšų likutis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5.1.12. Įgyvendinta investicinių projektų bendrojo lavinimo ir neformalaus ugdymo srityje, vnt.</t>
        </r>
      </text>
    </comment>
    <comment ref="G144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>:
5.1.4. Įrengta naujų ikimokyklinio ugdymo vietų centrinėje ir šiaurinėje miesto dalyse
5.1.5. Renovuota ikimokyklinio ugdymo įstaigų pastatų, vnt.
5.1.12. Įgyvendinta investicinių projektų bendrojo lavinimo ir neformalaus ugdymo srityje, vnt.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5.1.4. Įrengta naujų ikimokyklinio ugdymo vietų centrinėje ir šiaurinėje miesto dalyse 
5.1.5. Renovuota ikimokyklinio ugdymo įstaigų pastatų, vnt.
5.1.12. Įgyvendinta investicinių projektų bendrojo lavinimo ir neformalaus ugdymo srityje, vnt.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
5.1.12. Įgyvendinta investicinių projektų bendrojo lavinimo ir neformalaus ugdymo srityje, vnt.</t>
        </r>
      </text>
    </comment>
    <comment ref="P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m/d "Saulutė" ir l/d "Vėrinėlis"
</t>
        </r>
      </text>
    </comment>
    <comment ref="S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l.-d „Kregždutė“, 2023 m. -  l.-d „Pingvinukas“, l.-d „Putinėlis“, 2024 m. - Radastėlė“, l.-d „Boružėlė“
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5.1.5. Renovuota ikimokyklinio ugdymo įstaigų pastatų, vnt.</t>
        </r>
      </text>
    </comment>
    <comment ref="R158" authorId="0" shapeId="0">
      <text>
        <r>
          <rPr>
            <sz val="9"/>
            <color indexed="81"/>
            <rFont val="Tahoma"/>
            <family val="2"/>
            <charset val="186"/>
          </rPr>
          <t xml:space="preserve">l/d "Alksniukas"
</t>
        </r>
      </text>
    </comment>
    <comment ref="G162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gerinimas:</t>
        </r>
        <r>
          <rPr>
            <sz val="9"/>
            <color indexed="81"/>
            <rFont val="Tahoma"/>
            <family val="2"/>
            <charset val="186"/>
          </rPr>
          <t xml:space="preserve">
5.1.12. Įgyvendinta investicinių projektų bendrojo lavinimo ir neformalaus ugdymo srityje, vnt.</t>
        </r>
      </text>
    </comment>
    <comment ref="G195" authorId="0" shapeId="0">
      <text>
        <r>
          <rPr>
            <b/>
            <sz val="9"/>
            <color indexed="81"/>
            <rFont val="Tahoma"/>
            <family val="2"/>
            <charset val="186"/>
          </rPr>
          <t>5.1. Ikimokyklinio ir bendrojo ugdymo paslaugų prieinamumo ir kokybės gerinimas</t>
        </r>
        <r>
          <rPr>
            <sz val="9"/>
            <color indexed="81"/>
            <rFont val="Tahoma"/>
            <family val="2"/>
            <charset val="186"/>
          </rPr>
          <t xml:space="preserve">
5.1.8. Įrengta inovatyvių išmanių klasių bendrojo lavinimo mokyklose, vnt. </t>
        </r>
      </text>
    </comment>
    <comment ref="F201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2018 m. – l.-d. „Berželis“, „Kregždutė“, „Ąžuoliukas“, „Aitvarėlis“, „Žemuogėlė“,  „Nykštukas“, „Žilvitis“, „Pumpurėlis“, „Pagrandukas“, „Eglutė“, Klaipėdos karalienės Luizės jaunimo centras, 3–6 švietimo įstaigų buitinių tinklų remontas
</t>
        </r>
      </text>
    </comment>
    <comment ref="P201" authorId="0" shapeId="0">
      <text>
        <r>
          <rPr>
            <sz val="9"/>
            <color indexed="81"/>
            <rFont val="Tahoma"/>
            <family val="2"/>
            <charset val="186"/>
          </rPr>
          <t xml:space="preserve">(2019 m. – l.-d. „Čiauškutė“, „Eglutė“,  „Linelis“,  „Liepaitė“, „Vyturėlis“,  „Vyturio“,  „Aitvarėlis“, „Santarvės“ progimnazijos, „Vėtrungės“, „Pajūrio“ gimnazijos, Regos ugdymo centras, klubas „Draugystė“, 3–6 švietimo įstaigų buitinių tinklų remontas
</t>
        </r>
      </text>
    </comment>
    <comment ref="Q201" authorId="0" shapeId="0">
      <text>
        <r>
          <rPr>
            <sz val="9"/>
            <color indexed="81"/>
            <rFont val="Tahoma"/>
            <family val="2"/>
            <charset val="186"/>
          </rPr>
          <t>14 suplanuotų įstaigų + 6  nenumatytiems avriniams atvejams</t>
        </r>
      </text>
    </comment>
    <comment ref="P206" authorId="0" shapeId="0">
      <text>
        <r>
          <rPr>
            <sz val="9"/>
            <color indexed="81"/>
            <rFont val="Tahoma"/>
            <family val="2"/>
            <charset val="186"/>
          </rPr>
          <t xml:space="preserve">l/d "Varpelis", "Pingvinukas" ir "Du gaideliai"
</t>
        </r>
      </text>
    </comment>
    <comment ref="Q206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"Eglutė", l/d "Alksniukas", l/d "Traukinukas", Moksleivių saviraiškos centras</t>
        </r>
      </text>
    </comment>
    <comment ref="P211" authorId="0" shapeId="0">
      <text>
        <r>
          <rPr>
            <sz val="9"/>
            <color indexed="81"/>
            <rFont val="Tahoma"/>
            <family val="2"/>
            <charset val="186"/>
          </rPr>
          <t>„Varpo“ gimnazija, S. Dacho progimnazija, L/d „Varpelis“, „Berželis“, „Alksniukas“, „Du  gaideliai“, „Putinėlis“, „Bangelė“, „Pumpurėlis“, „Pagrandukas“, „Inkarėlis“, “Linelis“, „Nykštukas“, „Aitvarėlis“, „Sakalėlis“ ir „Vyturio“ progimnazija</t>
        </r>
      </text>
    </comment>
    <comment ref="Q211" authorId="2" shapeId="0">
      <text>
        <r>
          <rPr>
            <sz val="9"/>
            <color indexed="81"/>
            <rFont val="Tahoma"/>
            <family val="2"/>
            <charset val="186"/>
          </rPr>
          <t>"Varpo" gimnazija, Suaugusiųjų gimnazija, "Saulėtekio" progimnazija, Vydūno gimnazija, l/d "Alksniukas", l/d "Du gaideliai", l/d "Bangelė", l/d "Pumpurėlis", l/d "Pagrandukas", l/d "Pakalnutė",  l/d "Sakalėlis"</t>
        </r>
      </text>
    </comment>
    <comment ref="P212" authorId="0" shapeId="0">
      <text>
        <r>
          <rPr>
            <sz val="9"/>
            <color indexed="81"/>
            <rFont val="Tahoma"/>
            <family val="2"/>
            <charset val="186"/>
          </rPr>
          <t>l/d "Liepaitė", "Pingvinukas", "Rūta", "Boružėlė", "Eglutė", Zudermano, Vydūno gimnazijos, Gabijos progimnazija, Sendvario m-kla, klubas "Draugystė"</t>
        </r>
      </text>
    </comment>
    <comment ref="Q212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"Radatėlė", l/d "Bangelė", l/d "Berželis", l/d "Kregždutė", l/d "Pagrandukas", l/d "Nykštukas",l/d "Papartėlis", Regos ugdymo centras, l/d "Dobiliukas", "Vitės" progimnazija</t>
        </r>
      </text>
    </comment>
    <comment ref="P213" authorId="3" shapeId="0">
      <text>
        <r>
          <rPr>
            <sz val="9"/>
            <color indexed="81"/>
            <rFont val="Tahoma"/>
            <family val="2"/>
            <charset val="186"/>
          </rPr>
          <t>2019 m. - l/d "Ąžuoliukas", "Žuvėdra", "Radastėlė", "Žemuogėlė", "Linelis", "Šermukšnėlė", "Traukinukas", "Versmė", RUC, Gedminų prog., H. Zudermano gimnazija, klubas "Žuvėdra".</t>
        </r>
      </text>
    </comment>
    <comment ref="Q213" authorId="2" shapeId="0">
      <text>
        <r>
          <rPr>
            <sz val="9"/>
            <color indexed="81"/>
            <rFont val="Tahoma"/>
            <family val="2"/>
            <charset val="186"/>
          </rPr>
          <t>l/d "Čiauškutė", l/d "Sakalėlis", l/d "Pušaitė", Regos ugdymo centras, M. Mažvydo, "Saulėtekio", 'Pajūrio" progimnazijos, "Varpo" gimnazija, avariniams darbams</t>
        </r>
      </text>
    </comment>
    <comment ref="G214" authorId="0" shape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  <comment ref="Q214" authorId="2" shapeId="0">
      <text>
        <r>
          <rPr>
            <sz val="9"/>
            <color indexed="81"/>
            <rFont val="Tahoma"/>
            <family val="2"/>
            <charset val="186"/>
          </rPr>
          <t>l/d "Dobiliukas"</t>
        </r>
      </text>
    </comment>
    <comment ref="P215" authorId="3" shapeId="0">
      <text>
        <r>
          <rPr>
            <sz val="9"/>
            <color indexed="81"/>
            <rFont val="Tahoma"/>
            <family val="2"/>
            <charset val="186"/>
          </rPr>
          <t xml:space="preserve">2019 m. - "Aitvaro", Vydūno gimnazijos lauko nuotekų tinklų remontas, "Žaliakalnio" gimnazijos, l/d „Radastėlė“ ir „Pingvinukas“ paviršinių ir buitinių nuotekų tinklų statybos darbai </t>
        </r>
      </text>
    </comment>
    <comment ref="Q215" authorId="2" shapeId="0">
      <text>
        <r>
          <rPr>
            <sz val="9"/>
            <color indexed="81"/>
            <rFont val="Tahoma"/>
            <family val="2"/>
            <charset val="186"/>
          </rPr>
          <t>l/d "Dobiliukas",
„Švyturėlis“,
"Aitvaro", "Žaliakalnio" gimnazijos</t>
        </r>
      </text>
    </comment>
    <comment ref="Q217" authorId="2" shapeId="0">
      <text>
        <r>
          <rPr>
            <sz val="9"/>
            <color indexed="81"/>
            <rFont val="Tahoma"/>
            <family val="2"/>
            <charset val="186"/>
          </rPr>
          <t>"Pajūrio", P. Mašioto progimnazijos, H. Zudermano</t>
        </r>
      </text>
    </comment>
    <comment ref="F219" authorId="0" shapeId="0">
      <text>
        <r>
          <rPr>
            <sz val="9"/>
            <color indexed="81"/>
            <rFont val="Tahoma"/>
            <family val="2"/>
            <charset val="186"/>
          </rPr>
          <t xml:space="preserve">2017 m. – „Varpo“ gimnazijos aktų salės ir bibliotekos remontas, 2018 m. – Sendvario progimnazijos bendro naudojimo koridorių remontas </t>
        </r>
      </text>
    </comment>
    <comment ref="P223" authorId="0" shapeId="0">
      <text>
        <r>
          <rPr>
            <sz val="9"/>
            <color indexed="81"/>
            <rFont val="Tahoma"/>
            <family val="2"/>
            <charset val="186"/>
          </rPr>
          <t xml:space="preserve">l/d "Alksniukas", "Klevelis", "Pingvinukas", "Sakalėlis", "Švyturėlis", "Vėrinėlis" ir "Žemuogėlė
</t>
        </r>
      </text>
    </comment>
    <comment ref="Q224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"Šaltinėlis", l/d "Radastėlė"</t>
        </r>
      </text>
    </comment>
    <comment ref="Q235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"Versmė" ir "Aitvarėlis"</t>
        </r>
      </text>
    </comment>
    <comment ref="Q238" authorId="2" shapeId="0">
      <text>
        <r>
          <rPr>
            <b/>
            <sz val="9"/>
            <color indexed="81"/>
            <rFont val="Tahoma"/>
            <family val="2"/>
            <charset val="186"/>
          </rPr>
          <t>Inga Kubiliene:</t>
        </r>
        <r>
          <rPr>
            <sz val="9"/>
            <color indexed="81"/>
            <rFont val="Tahoma"/>
            <family val="2"/>
            <charset val="186"/>
          </rPr>
          <t xml:space="preserve">
L/d "Aitvarėlis" ir Verdenės progimnazija</t>
        </r>
      </text>
    </comment>
    <comment ref="R238" authorId="4" shapeId="0">
      <text>
        <r>
          <rPr>
            <b/>
            <sz val="9"/>
            <color indexed="81"/>
            <rFont val="Tahoma"/>
            <family val="2"/>
            <charset val="186"/>
          </rPr>
          <t>Saulina Paulauskiene:</t>
        </r>
        <r>
          <rPr>
            <sz val="9"/>
            <color indexed="81"/>
            <rFont val="Tahoma"/>
            <family val="2"/>
            <charset val="186"/>
          </rPr>
          <t xml:space="preserve">
Versmė</t>
        </r>
      </text>
    </comment>
    <comment ref="R239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liko Čiauškutė</t>
        </r>
      </text>
    </comment>
    <comment ref="P240" authorId="0" shape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l.-d. „Ąžuoliukas“</t>
        </r>
      </text>
    </comment>
  </commentList>
</comments>
</file>

<file path=xl/sharedStrings.xml><?xml version="1.0" encoding="utf-8"?>
<sst xmlns="http://schemas.openxmlformats.org/spreadsheetml/2006/main" count="1617" uniqueCount="356">
  <si>
    <t>Finansavimo šaltinių suvestinė</t>
  </si>
  <si>
    <t>Finansavimo šaltiniai</t>
  </si>
  <si>
    <t>I</t>
  </si>
  <si>
    <t>LRVB</t>
  </si>
  <si>
    <t>ES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</si>
  <si>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</si>
  <si>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</si>
  <si>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</si>
  <si>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</si>
  <si>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</si>
  <si>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</si>
  <si>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</si>
  <si>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</si>
  <si>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</si>
  <si>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</si>
  <si>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</si>
  <si>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</si>
  <si>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</si>
  <si>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</si>
  <si>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</si>
  <si>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</si>
  <si>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</si>
  <si>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</si>
  <si>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Pavadinimas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</si>
  <si>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</si>
  <si>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</si>
  <si>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</si>
  <si>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</si>
  <si>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</si>
  <si>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t>UGDYMO PROCESO UŽTIKRINIMO PROGRAMOS (NR. 10)</t>
  </si>
  <si>
    <t>10 Ugdymo proceso užtikrinimo programa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</si>
  <si>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</si>
  <si>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Renovuoti ugdymo įstaigų pastatus ir patalpas</t>
  </si>
  <si>
    <t>Organizuoti materialinį, ūkinį ir techninį ugdymo įstaigų aptarnavimą</t>
  </si>
  <si>
    <t>Ugdymo įstaigų ūkinio aptarnavimo organizavimas:</t>
  </si>
  <si>
    <t>Užtikrinti kokybišką ugdymo proceso organizavimą</t>
  </si>
  <si>
    <t>Gerinti ugdymo sąlygas ir aplinką</t>
  </si>
  <si>
    <t>Ryšių kabelių kanalų nuoma</t>
  </si>
  <si>
    <t>Šilumos ir karšto vandens tiekimo sistemų renovacija ir remontas</t>
  </si>
  <si>
    <t>Švietimo įstaigų pastatų apsauga</t>
  </si>
  <si>
    <t>Priešgaisrinių reikalavimų vykdymas švietimo įstaigose</t>
  </si>
  <si>
    <t>Kabelio tinklo ilgis, km</t>
  </si>
  <si>
    <t>SB(SP)</t>
  </si>
  <si>
    <t>Veiklos organizavimo užtikrinimas švietimo įstaigose:</t>
  </si>
  <si>
    <t>1.4.1.9.</t>
  </si>
  <si>
    <t>1.4.3.3.</t>
  </si>
  <si>
    <t>1.4.1.8.</t>
  </si>
  <si>
    <t>1.4.3.5.</t>
  </si>
  <si>
    <t>Švietimo įstaigų sanitarinių patalpų remontas</t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</si>
  <si>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</si>
  <si>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t>Iš viso priemonei:</t>
  </si>
  <si>
    <t xml:space="preserve"> TIKSLŲ, UŽDAVINIŲ, PRIEMONIŲ, PRIEMONIŲ IŠLAIDŲ IR PRODUKTO KRITERIJŲ SUVESTINĖ</t>
  </si>
  <si>
    <t>Parengtas techninis projektas, vnt.</t>
  </si>
  <si>
    <t>Vasaros poilsio organizavimas</t>
  </si>
  <si>
    <t xml:space="preserve">Brandos egzaminų administravimas </t>
  </si>
  <si>
    <t>Planas</t>
  </si>
  <si>
    <t xml:space="preserve">Parengtas techninis projektas, vnt.  </t>
  </si>
  <si>
    <t>Atlikta statybos darbų, proc.</t>
  </si>
  <si>
    <t xml:space="preserve">Atlikta modernizavimo darbų, proc.
</t>
  </si>
  <si>
    <t>SB(SPL)</t>
  </si>
  <si>
    <t xml:space="preserve">03 Strateginis tikslas. Užtikrinti gyventojams aukštą švietimo, kultūros, socialinių, sporto ir sveikatos apsaugos paslaugų kokybę ir prieinamumą </t>
  </si>
  <si>
    <t>Savivaldybės administracijos vaiko gerovės komisijos veiklos užtikrinimas</t>
  </si>
  <si>
    <t>Įsigyta įrengimų, vnt.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</si>
  <si>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</si>
  <si>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Sudaryti sąlygas ugdytis ir gerinti ugdymo proceso kokybę</t>
  </si>
  <si>
    <t xml:space="preserve">Aprūpinti švietimo įstaigas reikalingu inventoriumi 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</si>
  <si>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pradinėje mokykloje ir mokyklose-darželiuose</t>
    </r>
  </si>
  <si>
    <t>tūkst. Eur</t>
  </si>
  <si>
    <t>Neformaliojo vaikų švietimo programų įgyvendinimas ir neformaliojo vaikų švietimo paslaugų plėtra</t>
  </si>
  <si>
    <t>2019-ieji metai</t>
  </si>
  <si>
    <t>Atlikta modernizavimo darbų, proc.</t>
  </si>
  <si>
    <t>Švietimo įstaigų stogų remontas</t>
  </si>
  <si>
    <t>Įgyvendintas projektas, proc.</t>
  </si>
  <si>
    <t xml:space="preserve">Ugdymo prieinamumo ir ugdymo formų įvairovės užtikrinimas </t>
  </si>
  <si>
    <t>Neformaliojo vaikų ir suaugusiųjų švietimo organizavimas:</t>
  </si>
  <si>
    <t xml:space="preserve">Baldų ir įrangos atnaujinimas:  </t>
  </si>
  <si>
    <t>Automatizuotos šilumos punkto  kontrolės ir valdymo sistemų aptarnavimas švietimo įstaigų pastatuose</t>
  </si>
  <si>
    <t>Šilumos ir karšto vandens tiekimo sistemų priežiūra</t>
  </si>
  <si>
    <t>Neformaliojo suaugusiųjų švietimo ir tęstinio mokymosi 2016–2019 metais veiksmų plano įgyvendinimas</t>
  </si>
  <si>
    <t xml:space="preserve">Įrenginių įsigijimas švietimo įstaigų maisto blokuose </t>
  </si>
  <si>
    <t>Švietimo įstaigų energinių išteklių efektyvinimas:</t>
  </si>
  <si>
    <t>Mokinių, aprūpintų elektroniniais pažymėjimais, skaičius, vnt.</t>
  </si>
  <si>
    <t>Atlikta sporto salės rekonstravimo darbų, proc.</t>
  </si>
  <si>
    <t>Atlikta rekonstravimo darbų, proc.</t>
  </si>
  <si>
    <t>Mokymosi aplinkos pritaikymas švietimo reikmėms:</t>
  </si>
  <si>
    <t>06</t>
  </si>
  <si>
    <t>07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</si>
  <si>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</si>
  <si>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</si>
  <si>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</si>
  <si>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>Modernizuota edukacinių erdvių, skaičius</t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</si>
  <si>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</si>
  <si>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Maitinimo paslaugų kompensavimas</t>
  </si>
  <si>
    <t>2020-ieji metai</t>
  </si>
  <si>
    <t>Priemonės pavadinimas</t>
  </si>
  <si>
    <t>2020-ųjų metų lėšų projektas</t>
  </si>
  <si>
    <t>Produkto kriterijus</t>
  </si>
  <si>
    <t>2020 m. lėšų projektas</t>
  </si>
  <si>
    <t>Įsigyta įrangos, proc.</t>
  </si>
  <si>
    <t xml:space="preserve">Atlikta rangos darbų, proc.
</t>
  </si>
  <si>
    <t>Įstaigų skaičius, vnt.</t>
  </si>
  <si>
    <t>Vaikų skaičius, vnt.</t>
  </si>
  <si>
    <t>Mokinių skaičius, vnt.</t>
  </si>
  <si>
    <t>Aptarnautų asmenų skaičius, vnt.</t>
  </si>
  <si>
    <t>Kvalifikacijos pažymėjimų skaičius, vnt.</t>
  </si>
  <si>
    <t>Mokytojų skaičius, vnt.</t>
  </si>
  <si>
    <t>Mokyklų skaičius, vnt.</t>
  </si>
  <si>
    <t>Tarptautinių programų įgyvendinimas</t>
  </si>
  <si>
    <t>Egzaminų skaičius, vnt.</t>
  </si>
  <si>
    <t>Prevencinių renginių skaičius, vnt.</t>
  </si>
  <si>
    <t>Elektroninio mokinio pažymėjimo diegimas ir naudojimo užtikrinimas savivaldybės bendrojo ugdymo mokyklose, neformaliojo švietimo ir sporto įstaigose</t>
  </si>
  <si>
    <t>Įsigyta baldų, vnt.</t>
  </si>
  <si>
    <t>Atlikta rekonstrukcijos darbų, proc.</t>
  </si>
  <si>
    <t xml:space="preserve">Miesto metodinių būrelių veiklos užtikrinimas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</si>
  <si>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 neformaliojo vaikų švietimo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</si>
  <si>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savivaldybės </t>
    </r>
    <r>
      <rPr>
        <sz val="10"/>
        <rFont val="Times New Roman"/>
        <family val="1"/>
        <charset val="186"/>
      </rPr>
      <t>ikimokyklinio ugdymo įstaigose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</si>
  <si>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savivaldybės</t>
    </r>
    <r>
      <rPr>
        <sz val="10"/>
        <rFont val="Times New Roman"/>
        <family val="1"/>
        <charset val="186"/>
      </rPr>
      <t xml:space="preserve"> bendrojo ugdymo mokyklose </t>
    </r>
  </si>
  <si>
    <t>Švietimo įstaigų persikėlimo į kitas patalpas organizavimas</t>
  </si>
  <si>
    <t xml:space="preserve">Centralizuotas ugdymo įstaigų langų valymas </t>
  </si>
  <si>
    <t xml:space="preserve">Savivaldybės švietimo įstaigų civilinės atsakomybės draudimas  </t>
  </si>
  <si>
    <t xml:space="preserve">Iš jų mokinių skaičius, vnt. </t>
  </si>
  <si>
    <r>
      <t xml:space="preserve">BĮ Klaipėdos regos ugdymo centro </t>
    </r>
    <r>
      <rPr>
        <sz val="10"/>
        <rFont val="Times New Roman"/>
        <family val="1"/>
        <charset val="186"/>
      </rPr>
      <t>veiklos užtikrinimas</t>
    </r>
  </si>
  <si>
    <r>
      <t>BĮ Klaipėdos miesto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</si>
  <si>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Vaikų, kuriems iš dalies kompensuojamas ugdymas nevalstybinėse įstaigose, skaičius, vnt.</t>
  </si>
  <si>
    <t>Programų skaičius, vnt.</t>
  </si>
  <si>
    <t>Metodinių būrelių skaičius, vnt.</t>
  </si>
  <si>
    <t>Savivaldybės bendrojo ugdymo mokyklų pastatų ir aplinkos modernizavimas bei plėtra:</t>
  </si>
  <si>
    <t>Įstaigų, kuriose įsigyta įrangos ir baldų, skaičius, vnt.</t>
  </si>
  <si>
    <t>Parengtas techninis  projektas, vnt.</t>
  </si>
  <si>
    <r>
      <t xml:space="preserve">BĮ Klaipėdos „Žaliakalnio“ gimnazijos </t>
    </r>
    <r>
      <rPr>
        <sz val="10"/>
        <rFont val="Times New Roman"/>
        <family val="1"/>
        <charset val="186"/>
      </rPr>
      <t xml:space="preserve">pastato inžinerinių sistemų ir vidaus patalpų remontas </t>
    </r>
  </si>
  <si>
    <t>Ikimokyklinio ugdymo įstaigų pastatų modernizavimas ir plėtra:</t>
  </si>
  <si>
    <t>Neformaliojo vaikų švietimo įstaigų pastatų rekonstravimas:</t>
  </si>
  <si>
    <t>BĮ Klaipėdos karalienės Luizės jaunimo centro (Puodžių g.) modernizavimas, plėtojant neformaliojo ugdymosi galimybes</t>
  </si>
  <si>
    <t>BĮ Klaipėdos Jeronimo Kačinsko muzikos mokyklos (Statybininkų pr. 5) pastato energinio efektyvumo didinimas</t>
  </si>
  <si>
    <t>Vaikiškų lovyčių įsigijimas savivaldybės ikimokyklinio ugdymo įstaigose</t>
  </si>
  <si>
    <t>Lovyčių skaičius, vnt.</t>
  </si>
  <si>
    <t>Įstaigų, kuriose atlikti remonto darbai, skaičius, vnt.</t>
  </si>
  <si>
    <t>Renovuotų, suremontuotų sistemų, skaičius, vnt.</t>
  </si>
  <si>
    <t>Įstaigų, kuriose likviduoti pažeidimai, skaičius, vnt.</t>
  </si>
  <si>
    <t>Prijungtų prie LITNET įstaigų skaičius, vnt.</t>
  </si>
  <si>
    <t>Saugomų pastatų, objektų skaičius, vnt.</t>
  </si>
  <si>
    <t>Parengta techninių projektų, vnt.</t>
  </si>
  <si>
    <t xml:space="preserve">Parengta techninių projektų, vnt.    </t>
  </si>
  <si>
    <t>Perkeltų įstaigų skaičius, vnt.</t>
  </si>
  <si>
    <t xml:space="preserve">Įstaigų skaičius, vnt.  </t>
  </si>
  <si>
    <t>Aptarnaujamų įstaigų skaičius, vnt.</t>
  </si>
  <si>
    <t>Įstaigų, kuriose diegiamos sistemos, skaičius, vnt.</t>
  </si>
  <si>
    <t>Parengta techninių darbo projektų, vnt.</t>
  </si>
  <si>
    <t>SB(ESA)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</si>
  <si>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</si>
  <si>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>Suremontuotų įstaigų skaičius, vnt.</t>
  </si>
  <si>
    <t>Atnaujinta aikštynų, skaičius</t>
  </si>
  <si>
    <t>P4</t>
  </si>
  <si>
    <t>Bendrojo ugdymo mokyklų tinklo pertvarkos 2016–2020 metų bendrojo plano priemonių įgyvendinimas:</t>
  </si>
  <si>
    <t>Patalpų plotas, kv. m</t>
  </si>
  <si>
    <t>SB(P)</t>
  </si>
  <si>
    <r>
      <t xml:space="preserve">Savivaldybės paskolų lėšos </t>
    </r>
    <r>
      <rPr>
        <b/>
        <sz val="10"/>
        <rFont val="Times New Roman"/>
        <family val="1"/>
      </rPr>
      <t>SB(P)</t>
    </r>
  </si>
  <si>
    <t>________________________________________</t>
  </si>
  <si>
    <t>2021-ųjų metų lėšų projektas</t>
  </si>
  <si>
    <t>2021-ieji metai</t>
  </si>
  <si>
    <t>Mokytis plaukti vežiojamų vaikų skaičius, vnt.</t>
  </si>
  <si>
    <t>Suorganizuotų edukacinių ir kultūrinių renginių skaičius, vnt., iš jų:</t>
  </si>
  <si>
    <t>Moksleivių saviraiškos centro</t>
  </si>
  <si>
    <t>Vaikų laisvalaikio centro</t>
  </si>
  <si>
    <t>Karalienės Luizės jaunimo centro</t>
  </si>
  <si>
    <t>Renginių (kvalifikacijos tobulinimo ir metodiniai) skaičius, vnt.</t>
  </si>
  <si>
    <t>Edukaciniai renginiai, vnt</t>
  </si>
  <si>
    <t>Pasirengimas Gamtos mokslų, technologijų, inžinerijos, matematikos mokslų ir kūrybiškumo ugdymo (STEAM) centro įveiklinimui</t>
  </si>
  <si>
    <t>Inžinerinės-gamtamokslinės laboratorijos įrengimas</t>
  </si>
  <si>
    <t>Laboratorinės įrangos ir priemonių įsigijimas, vnt.</t>
  </si>
  <si>
    <t>Dėstytojų etatų skaičius, vnt.</t>
  </si>
  <si>
    <t>Ugdymo proceso užtikrinimas  Klaipėdos sutrikusio vystymosi kūdikių namuose</t>
  </si>
  <si>
    <t>Vykdytojas (skyrius / asmuo)</t>
  </si>
  <si>
    <t>Informavimo ir e-paslaugų skyrius</t>
  </si>
  <si>
    <t>Švietimo įstaigų modulinių kompleksų įrengimas ir nuoma</t>
  </si>
  <si>
    <t>Įrengtų suoliukų skaičius, vnt.</t>
  </si>
  <si>
    <t>Išmaniųjų klasių įrengimas</t>
  </si>
  <si>
    <t>Kompiuterių mokyklose atnaujinimas</t>
  </si>
  <si>
    <r>
      <rPr>
        <b/>
        <sz val="10"/>
        <rFont val="Times New Roman"/>
        <family val="1"/>
        <charset val="186"/>
      </rPr>
      <t>Modernių ugdymosi erdvių sukūrimas Klaipėdos miesto progimnazijose ir gimnazijose</t>
    </r>
    <r>
      <rPr>
        <sz val="10"/>
        <rFont val="Times New Roman"/>
        <family val="1"/>
        <charset val="186"/>
      </rPr>
      <t xml:space="preserve"> („Smeltės“, Liudviko Stulpino, „Sendvario“, „Gedminų“, „Verdenės“ progimnazijose ir  „Vėtrungės“, „Varpo“ gimnazijose)</t>
    </r>
  </si>
  <si>
    <t>Ataskaitos patvirtinimas, finansų auditas ir viešinimas, vnt.</t>
  </si>
  <si>
    <t>Atlikta modernizavimo darbų, užbaigtumas proc.</t>
  </si>
  <si>
    <t>2021 m. lėšų projektas</t>
  </si>
  <si>
    <t>Aiškinamojo rašto priedas Nr.3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</si>
  <si>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</si>
  <si>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</si>
  <si>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</si>
  <si>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</si>
  <si>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</si>
  <si>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</si>
  <si>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</si>
  <si>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</si>
  <si>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</si>
  <si>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 xml:space="preserve">Klaipėdos miesto bendrojo ugdymo mokyklų antrųjų klasių mokinių vežimo paslaugos mokyti plaukti užtikrinimas  </t>
  </si>
  <si>
    <t xml:space="preserve">Pedagogų kompetencijų tobulinimas, siekiant švietimo įstaigose įgyvendinti privalomas prevencines programas </t>
  </si>
  <si>
    <t>Papriemonės kodas</t>
  </si>
  <si>
    <t>Papariemonės kodas</t>
  </si>
  <si>
    <t>Projekto vadovė I. Dulkytė</t>
  </si>
  <si>
    <t>Projekto vadovė D. Šakinienė</t>
  </si>
  <si>
    <t xml:space="preserve">Projekto vadovė I. Dulkytė </t>
  </si>
  <si>
    <t>Projektų skyrius D. Šakinienė</t>
  </si>
  <si>
    <t>Patalpų pritaikymas</t>
  </si>
  <si>
    <t>Klasių skaičius, vnt.</t>
  </si>
  <si>
    <t xml:space="preserve">Projektų skyrius,  V. Pronskuvienė </t>
  </si>
  <si>
    <t xml:space="preserve">iš jų mokinių skaičius, vnt. </t>
  </si>
  <si>
    <t>Klaipėdos „Gilijos“ pradinei mokyklai perduotų patalpų pritaikymas mokyklos reikmėms</t>
  </si>
  <si>
    <t>Nuotolinio mokymo savivaldybės švietimo įstaigose  plėtojimas</t>
  </si>
  <si>
    <t>Pavėžėta mokinių, skaičius</t>
  </si>
  <si>
    <t xml:space="preserve">Vidaus patalpų remontas po šiluminės renovacijos </t>
  </si>
  <si>
    <t>Įstaigų, kuriose įrengtos saulės (fotovoltinės) elektrinės, skaičius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</si>
  <si>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</si>
  <si>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Garantinės priežiūros etapų skaičius</t>
  </si>
  <si>
    <t>Ikimokyklinio ir priešmokyklinio ugdymo prieinamumo didinimas Klaipėdos mieste (lopšelio-darželio „Svirpliukas“ modernizavimas)</t>
  </si>
  <si>
    <t>Energinio efektyvumo didinimas ikimokyklinio ugdymo įstaigose:</t>
  </si>
  <si>
    <t>Lauko žaidimų aikštelių ir įrenginių atnaujinimas ikimokyklinėse ugdymo įstaigose</t>
  </si>
  <si>
    <t>Patalpų atnaujinimas užtikrinant atitiktį higienos normoms</t>
  </si>
  <si>
    <t>Švietimo paslaugų modernizavimo 2018–2021 m. programos priemonių įgyvendinimas:</t>
  </si>
  <si>
    <t>Neformaliojo švietimo ir pagalbos įstaigų aprūpinimas mobilia interaktyvia įranga</t>
  </si>
  <si>
    <t>Bandomojo projekto H. Zudermano gimnazijos pastato ūkio priežiūros sistemos diegimas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</si>
  <si>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</si>
  <si>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</si>
  <si>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t>Savivaldybės biudžetas, iš jo:</t>
  </si>
  <si>
    <t>SB(ESL)</t>
  </si>
  <si>
    <t>SB(VBL)</t>
  </si>
  <si>
    <t>SB'</t>
  </si>
  <si>
    <t>Programose dalyvaujančių vaikų skaičius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</si>
  <si>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</si>
  <si>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r>
      <rPr>
        <b/>
        <sz val="10"/>
        <rFont val="Times New Roman"/>
        <family val="1"/>
        <charset val="186"/>
      </rPr>
      <t>Bendrojo ugdymo mokyklos pastato statyba</t>
    </r>
    <r>
      <rPr>
        <sz val="10"/>
        <rFont val="Times New Roman"/>
        <family val="1"/>
        <charset val="186"/>
      </rPr>
      <t xml:space="preserve"> šiaurinėje miesto dalyje</t>
    </r>
  </si>
  <si>
    <t>Įsigyta baldų kompl., vnt.</t>
  </si>
  <si>
    <t>Dušinių atnaujinimas Vydūno ir „Aukuro“ gimnazijose</t>
  </si>
  <si>
    <t xml:space="preserve"> 2019–2022 M. KLAIPĖDOS MIESTO SAVIVALDYBĖS </t>
  </si>
  <si>
    <t>2022-ųjų metų lėšų projektas</t>
  </si>
  <si>
    <t>2022 m. lėšų projektas</t>
  </si>
  <si>
    <t>2022-ieji metai</t>
  </si>
  <si>
    <t>Pailgintos dienos grupės paslaugos teikimas (kompensavimas)</t>
  </si>
  <si>
    <t>Sumokėtas likutis už techninio projekto parengimo paslaugas, proc.</t>
  </si>
  <si>
    <t>Patalpų pritaikymas neįgalių vaikų ugdymui</t>
  </si>
  <si>
    <t>2019-ųjų metų asignavimų planas*</t>
  </si>
  <si>
    <t>Respublikinė moksleivių dainų šventė, vaikų skaičius, vnt.</t>
  </si>
  <si>
    <t>Sporto klasių veiklos užtikrinimas</t>
  </si>
  <si>
    <t xml:space="preserve">Vaikų  skaičius, vnt., iš jų: </t>
  </si>
  <si>
    <t>Soc. remtinų vaikų skaičius, vnt.</t>
  </si>
  <si>
    <r>
      <t xml:space="preserve">Ugdymo proceso užtikrinimas </t>
    </r>
    <r>
      <rPr>
        <b/>
        <sz val="10"/>
        <rFont val="Times New Roman"/>
        <family val="1"/>
        <charset val="186"/>
      </rPr>
      <t>nevalstybinėse</t>
    </r>
    <r>
      <rPr>
        <sz val="10"/>
        <rFont val="Times New Roman"/>
        <family val="1"/>
        <charset val="186"/>
      </rPr>
      <t xml:space="preserve"> ikimokyklinio ugdymo įstaigose</t>
    </r>
  </si>
  <si>
    <t>Projekto ,,Mokinių ugdymosi pasiekimų gerinimas diegiant kokybės krepšelį“ įgyvendinimas</t>
  </si>
  <si>
    <r>
      <t xml:space="preserve">Ugdymo proceso  užtikrinimas </t>
    </r>
    <r>
      <rPr>
        <b/>
        <sz val="10"/>
        <rFont val="Times New Roman"/>
        <family val="1"/>
        <charset val="186"/>
      </rPr>
      <t xml:space="preserve">nevalstybinėse </t>
    </r>
    <r>
      <rPr>
        <sz val="10"/>
        <rFont val="Times New Roman"/>
        <family val="1"/>
        <charset val="186"/>
      </rPr>
      <t xml:space="preserve">bendrojo ugdymo mokyklose </t>
    </r>
  </si>
  <si>
    <t>STEAM metodikos ir programų parengimas, vnt.</t>
  </si>
  <si>
    <t>Suremontuotų patalpų skaičius, vnt.</t>
  </si>
  <si>
    <t>Stadionų ir  sporto aikštynų (su dirbtinės žolės danga) priežiūros užtikrinimas</t>
  </si>
  <si>
    <t>BĮ Klaipėdos Gedminų progimnazijos dalyvavimo tarptautiniuose projektuose užtikrinimas</t>
  </si>
  <si>
    <t>Projektų skaičius, vnt.</t>
  </si>
  <si>
    <r>
      <t xml:space="preserve">Ugdymo proceso užtikrinimas biudžetinėse </t>
    </r>
    <r>
      <rPr>
        <b/>
        <sz val="10"/>
        <rFont val="Times New Roman"/>
        <family val="1"/>
      </rPr>
      <t xml:space="preserve">sporto mokyklose </t>
    </r>
  </si>
  <si>
    <t>Pritaikyta patalpų, vnt.</t>
  </si>
  <si>
    <t xml:space="preserve">Mokinių pavėžėjimo užtikrinimas </t>
  </si>
  <si>
    <t>Kompiuterių skaičius, vnt.</t>
  </si>
  <si>
    <t>Mokytojų padėjėjų skaičius, vnt.</t>
  </si>
  <si>
    <t>Įrengtų edukacinių erdvių skaičius, vnt.</t>
  </si>
  <si>
    <t>Programoje dalyvaujančių vaikų skaičius, vnt.</t>
  </si>
  <si>
    <t>Klaipėdos jūrų kadetų mokyklos veiklos užtikrinimas:</t>
  </si>
  <si>
    <t>Administruojamų informacinių sistemų skaičius, vnt.</t>
  </si>
  <si>
    <t>Aptvertų įstaigų skaičius, vnt.</t>
  </si>
  <si>
    <t>Atnaujintų pastatų skaičius, vnt.</t>
  </si>
  <si>
    <t>Įrengta nuomai grupių ikimokykliniam ir priešmokykliniam ugdymui, vnt.</t>
  </si>
  <si>
    <t xml:space="preserve">Tarpinstitucinio bendradarbiavimo koordinatorius </t>
  </si>
  <si>
    <t>P1</t>
  </si>
  <si>
    <t>Klaipėdos lopšelio-darželio „Žuvėdra“ patalpų pritaikymas ugdymo reikmėms</t>
  </si>
  <si>
    <t>Švietimo įstaigų teritorijų aptvėrimas (2020 m. l/d "Šaltinėlis" ir "Radastėlė", 2021 m. l/d "Vėrinėlis", "Putinėlis", Regos ugdymo centras)</t>
  </si>
  <si>
    <t>Įsteigta etatų, sk.</t>
  </si>
  <si>
    <t>Ikimokyklinio ar priešmokyklinio ugdymo mokytojų, dirbančių vienoje ikimokyklinės įstaigos grupėje, etatų skaičiaus didinimas</t>
  </si>
  <si>
    <t xml:space="preserve">Mokytojų, dirbančių vienoje ikimokyklinės įstaigos grupėje, etatų skaičius </t>
  </si>
  <si>
    <t>64 / 1353</t>
  </si>
  <si>
    <t>79 / 1739</t>
  </si>
  <si>
    <t>Prailgintos dienos grupių sk. / mokinių sk.</t>
  </si>
  <si>
    <t xml:space="preserve">Pailgintos dienos grupės paslaugos teikimas </t>
  </si>
  <si>
    <t xml:space="preserve">Pedagogų etatų skaičius </t>
  </si>
  <si>
    <t>Įrengta papildomų darbo vietų, vnt.</t>
  </si>
  <si>
    <t>Priėmimo į savivaldybės bendrojo ir ikimokyklinio ugdymo įstaigas informacinių sistemų tobulinimas</t>
  </si>
  <si>
    <t xml:space="preserve">Patobulinta sistemų, sk. </t>
  </si>
  <si>
    <t>Mokytojų, įgijusių kompetencijas, skaičius</t>
  </si>
  <si>
    <t>Sporto salių atnaujinimas (2021 m. - „Versmės“ progimnazija, 2022 m. - „Aitvaro“ gimnazija)</t>
  </si>
  <si>
    <t>* Pagal Klaipėdos miesto savivaldybės tarybos 2019-10-24 sprendimą T2-293</t>
  </si>
  <si>
    <t>Klaipėdos „Žaliakalnio“ gimnazijos baldų atnaujinimas</t>
  </si>
  <si>
    <t>P6</t>
  </si>
  <si>
    <t>Išnuomota modulinių kompleksų, sk.</t>
  </si>
  <si>
    <t>Universitetinių klasių veiklos organizavimas (2020 m. - Baltijos ir „Žemynos“ gimnazijose)</t>
  </si>
  <si>
    <t>Socialinės infrastruktūros priežiūros skyrius</t>
  </si>
  <si>
    <t>Projektų skyrius</t>
  </si>
  <si>
    <t>Projektų skyrius D. Šakinienė ir V. Tkačik</t>
  </si>
  <si>
    <t>Švietimo skyrius</t>
  </si>
  <si>
    <t>Turto skyrius</t>
  </si>
  <si>
    <t>Projektų skyrius, I. Dulkytė</t>
  </si>
  <si>
    <t xml:space="preserve"> Statybos ir infrastruktūros plėtros skyrius V. Tkačik </t>
  </si>
  <si>
    <t>Socialinės infrastruktūros skyrius</t>
  </si>
  <si>
    <t>Statybos ir infrastruktūros plėtros skyrius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</si>
  <si>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</si>
  <si>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</si>
  <si>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Savivaldybės ugdymo įstaigų pastatų ir aplinkos modernizavimas bei plėtra:</t>
  </si>
  <si>
    <r>
      <rPr>
        <b/>
        <sz val="10"/>
        <rFont val="Times New Roman"/>
        <family val="1"/>
        <charset val="186"/>
      </rPr>
      <t xml:space="preserve">BĮ Klaipėdos „Gilijos“ pradinės mokyklos </t>
    </r>
    <r>
      <rPr>
        <sz val="10"/>
        <rFont val="Times New Roman"/>
        <family val="1"/>
        <charset val="186"/>
      </rPr>
      <t>(Taikos pr. 68) pastato energinio efektyvumo didinimas</t>
    </r>
  </si>
  <si>
    <r>
      <rPr>
        <b/>
        <sz val="10"/>
        <rFont val="Times New Roman"/>
        <family val="1"/>
        <charset val="186"/>
      </rPr>
      <t>BĮ Klaipėdos Prano Mašioto progimnazijos</t>
    </r>
    <r>
      <rPr>
        <sz val="10"/>
        <rFont val="Times New Roman"/>
        <family val="1"/>
        <charset val="186"/>
      </rPr>
      <t xml:space="preserve"> pastato Varpų g. 3 rekonstravimas</t>
    </r>
  </si>
  <si>
    <r>
      <rPr>
        <b/>
        <sz val="10"/>
        <rFont val="Times New Roman"/>
        <family val="1"/>
        <charset val="186"/>
      </rPr>
      <t xml:space="preserve">BĮ Klaipėdos „Ąžuolyno“ gimnazijos </t>
    </r>
    <r>
      <rPr>
        <sz val="10"/>
        <rFont val="Times New Roman"/>
        <family val="1"/>
        <charset val="186"/>
      </rPr>
      <t xml:space="preserve">modernizavimas </t>
    </r>
  </si>
  <si>
    <r>
      <t xml:space="preserve">Klaipėdos Tauralaukio progimnazijos pastato (Klaipėdos g. 31) rekonstravimas </t>
    </r>
    <r>
      <rPr>
        <sz val="10"/>
        <rFont val="Times New Roman"/>
        <family val="1"/>
      </rPr>
      <t>į ikimokyklinio ir priešmokyklinio ugdymo įstaigą</t>
    </r>
  </si>
  <si>
    <t xml:space="preserve">Projektų skyrius </t>
  </si>
  <si>
    <t xml:space="preserve"> </t>
  </si>
  <si>
    <t xml:space="preserve">BĮ Klaipėdos Vytauto Didžiojo gimnazijos (S. Daukanto g. 31) pastato patalpų einamasis remontas </t>
  </si>
  <si>
    <t>Atliktas einamasis remontas, proc.</t>
  </si>
  <si>
    <r>
      <t xml:space="preserve">Papildomos Savivaldybės paskolos lėšos, gavus Finansų ministerijos leidimą </t>
    </r>
    <r>
      <rPr>
        <b/>
        <sz val="10"/>
        <rFont val="Times New Roman"/>
        <family val="1"/>
      </rPr>
      <t>PFM</t>
    </r>
  </si>
  <si>
    <t>PFM</t>
  </si>
  <si>
    <r>
      <rPr>
        <b/>
        <sz val="10"/>
        <rFont val="Times New Roman"/>
        <family val="1"/>
        <charset val="186"/>
      </rPr>
      <t xml:space="preserve">Sporto aikštynų atnaujinimas </t>
    </r>
    <r>
      <rPr>
        <sz val="10"/>
        <rFont val="Times New Roman"/>
        <family val="1"/>
        <charset val="186"/>
      </rPr>
      <t>(modernizavimas) (2020 m. – Vitės pagrindinės mokyklos ir H. Zudermano gimnazijos)</t>
    </r>
  </si>
  <si>
    <t>Komunalinių paslaugų (šildymo, vandens, nuotekų) įsigijimas</t>
  </si>
  <si>
    <t>Ugdymo proceso užtikrinimas nevalstybinėse mokyklose-darželiuose</t>
  </si>
  <si>
    <t xml:space="preserve">Švietimo įstaigų elektros instaliacijos remontas </t>
  </si>
  <si>
    <t xml:space="preserve">LITNET programos plėtra </t>
  </si>
  <si>
    <t xml:space="preserve">Švietimo įstaigų kompiuterinių tinklų atnaujinimas </t>
  </si>
  <si>
    <t xml:space="preserve">Socialinės infrastruktūros priežiūros skyrius   </t>
  </si>
  <si>
    <t>F</t>
  </si>
  <si>
    <t>Įstaigų skaičius, kuriose atnaujintos sporto salės, vnt.</t>
  </si>
  <si>
    <t xml:space="preserve">Švietimo įstaigų lauko inžinerinių tinklų remontas (2020 m. – l/d „Dobiliukas“ ir „Švyturėlis“) </t>
  </si>
  <si>
    <t>Ikimokyklinio ugdymo įstaigų pastatų atnaujinimas (2021 m. - l/d „Alksniukas“, 2022 m. -  l/d „Želmenėlis“)</t>
  </si>
  <si>
    <t>priedas</t>
  </si>
  <si>
    <t xml:space="preserve"> 2020–2022 M. KLAIPĖDOS MIESTO SAVIVALDYBĖS </t>
  </si>
  <si>
    <t>Savivaldybės biudžetinės įstaigos l.-d. „Klevelis“ kapitalinis remontas</t>
  </si>
  <si>
    <t>Atlikta darbų, užbaigtumas proc.</t>
  </si>
  <si>
    <t>l.-d. „Žiogelis“,  m.-d „Saulutė“, l.-d „Vėrinėlis“, „Kregždutė“,  „Pingvinukas“, „Putinėlis“, „Radastėlė“, „Boružėlė“</t>
  </si>
  <si>
    <t xml:space="preserve">Savivaldybės biudžetinės įstaigos l.-d. „Klevelis“ kapitalinis remontas </t>
  </si>
  <si>
    <t>Edukacinių erdvių įrengimas Klaipėdos (2021 m. - „Vyturio“ ir 2022 m. - „Smeltės“ progimnazijoje)</t>
  </si>
  <si>
    <t xml:space="preserve">Švietimo įstaigų paprastasis remontas (2020 m. - Vytauto Didžiojo gimnazijos, Klaipėdos jūrų kadetų mokyklos, „Pajūrio“, „Smeltės“, „Saulėtekio“, „Gabijos“ prigimnazijų, „Ąžuolyno“ gimnazijos, l/d „Dobiliukas“, „Volungėlė“, „Papartėlis“, „Šaltinėlis“, „Šermukšnėlė“, „Aivarėlis“, „Sakalėlis“) </t>
  </si>
  <si>
    <t xml:space="preserve">Iš viso: </t>
  </si>
  <si>
    <t>Dušinių prie mokyklų sporto salių atnaujinimas pasiruošiant Europiadai</t>
  </si>
  <si>
    <t>Vaikų skaičius, vnt.,</t>
  </si>
  <si>
    <t>Pailgintos dienos grupių skaičius / mokinių skaičius</t>
  </si>
  <si>
    <t>Įsteigta etatų, skaičius</t>
  </si>
  <si>
    <t>BĮ Klaipėdos pedagoginės psichologinės tarnybos dalyvavimas projekte pagal ES INTERREG V-A projektą</t>
  </si>
  <si>
    <t xml:space="preserve">Klaipėdos jūrų kadetų mokyklos mokinių maitinimo ir pavėžėjimo užtikrinimas </t>
  </si>
  <si>
    <t>Mokinių maitinimo ir pavėžėjimo užtikrinimas</t>
  </si>
  <si>
    <t>Universitetinių klasių veiklos organizavimas (2020 m. – Baltijos ir „Žemynos“ gimnazijose)</t>
  </si>
  <si>
    <t>Išnuomota modulinių kompleksų, skaičius</t>
  </si>
  <si>
    <t>Sporto salių atnaujinimas (2021 m. – „Versmės“ progimnazija, 2022 m. – „Aitvaro“ gimnazija)</t>
  </si>
  <si>
    <t>Ikimokyklinio ugdymo įstaigų pastatų atnaujinimas (2021 m. – l/d „Alksniukas“, 2022 m. –  l/d „Želmenėlis“)</t>
  </si>
  <si>
    <t>Edukacinių erdvių įrengimas Klaipėdos (2021 m. – „Vyturio“ ir 2022 m. – „Smeltės“ progimnazijoje)</t>
  </si>
  <si>
    <t xml:space="preserve">Švietimo įstaigų paprastasis remontas (2020 m. – Vytauto Didžiojo gimnazijos, Klaipėdos jūrų kadetų mokyklos, „Pajūrio“, „Smeltės“, „Saulėtekio“, „Gabijos“ prigimnazijų, „Ąžuolyno“ gimnazijos, l.-d. „Dobiliukas“, „Volungėlė“, „Papartėlis“, „Šaltinėlis“, „Šermukšnėlė“, „Aivarėlis“, „Sakalėlis“) </t>
  </si>
  <si>
    <t xml:space="preserve">Švietimo įstaigų lauko inžinerinių tinklų remontas (2020 m. – l.-d. „Dobiliukas“ ir „Švyturėlis“) </t>
  </si>
  <si>
    <t>Dušinių prie mokyklų sporto salių atnaujinimas pasiruošiant „Europiadai“</t>
  </si>
  <si>
    <t>Atsinaujinančių energijos išteklių  panaudojimas švietimo įstaigų pastatuose (2020 m. – l.-d. „Ąžuoliukas“, „Čiauškutė“ ir „Aitvarėlis“; 2021 m. – l.-d. „Versmė“)</t>
  </si>
  <si>
    <t>Atsinaujinančių energijos išteklių  panaudojimas švietimo įstaigų pastatuose (2020 m. - lopšeliai-darželiai  „Ąžuoliukas“, „Čiauškutė“ ir „Aitvarėlis“; 2021 m. - lopšelis-darželis „Versmė“)</t>
  </si>
  <si>
    <t>Švietimo įstaigų kompiuterinių tinklų atnaujinimas</t>
  </si>
  <si>
    <t xml:space="preserve">Klaipėdos miesto savivaldybės ugdymo proceso užtikrinimo programos (Nr. 10) aprašymo </t>
  </si>
  <si>
    <t>Lyginamasis variantas</t>
  </si>
  <si>
    <t>2020-ųjų metų asignavimų planas</t>
  </si>
  <si>
    <t>Siūlomas keisti 2020-ųjų metų asignavimų planas</t>
  </si>
  <si>
    <t>Skirtumas</t>
  </si>
  <si>
    <t>Siūlomas keisti 2021-ųjų metų  lėšų projektas</t>
  </si>
  <si>
    <t>Siūlomas keisti 2022-ųjų metų  lėšų projektas</t>
  </si>
  <si>
    <t>Produkto kriterijaus</t>
  </si>
  <si>
    <t>Paaiškinimas</t>
  </si>
  <si>
    <t>Savivaldybės tarybos TS-LKD frakcijos siūlymas. Siūloma numatyti papriemonę, susijusią su švietimo įstaigų kompiuterinių tinklų remontu</t>
  </si>
  <si>
    <t>Siūlomas keisti 2021-ųjų metų lėšų projektas</t>
  </si>
  <si>
    <t>Siūlomas keisti 2022-ųjų metų lėšų projektas</t>
  </si>
  <si>
    <t>2020 m.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</si>
</sst>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[$-409]General"/>
    <numFmt numFmtId="167" formatCode="[$-409]#,##0"/>
    <numFmt numFmtId="168" formatCode="[$-409]0.00"/>
  </numFmts>
  <fonts count="25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  <font>
      <sz val="12"/>
      <name val="Times New Roman"/>
      <family val="1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2"/>
      <name val="Calibri"/>
      <family val="2"/>
      <charset val="186"/>
    </font>
    <font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D9D9D9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166" fontId="17" fillId="0" borderId="0" applyBorder="0" applyProtection="0"/>
  </cellStyleXfs>
  <cellXfs count="2088">
    <xf numFmtId="0" fontId="0" fillId="0" borderId="0" xfId="0"/>
    <xf numFmtId="0" fontId="1" fillId="0" borderId="0" xfId="0" applyFont="1" applyBorder="1" applyAlignment="1">
      <alignment vertical="top"/>
    </xf>
    <xf numFmtId="49" fontId="2" fillId="3" borderId="32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3" fontId="1" fillId="4" borderId="59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 wrapText="1"/>
    </xf>
    <xf numFmtId="3" fontId="4" fillId="4" borderId="52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2" fillId="5" borderId="4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3" fontId="1" fillId="4" borderId="52" xfId="0" applyNumberFormat="1" applyFont="1" applyFill="1" applyBorder="1" applyAlignment="1">
      <alignment horizontal="center" vertical="top"/>
    </xf>
    <xf numFmtId="3" fontId="1" fillId="4" borderId="18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/>
    </xf>
    <xf numFmtId="3" fontId="1" fillId="4" borderId="3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center" vertical="top"/>
    </xf>
    <xf numFmtId="3" fontId="1" fillId="4" borderId="32" xfId="0" applyNumberFormat="1" applyFont="1" applyFill="1" applyBorder="1" applyAlignment="1">
      <alignment horizontal="center" vertical="top" wrapText="1"/>
    </xf>
    <xf numFmtId="3" fontId="1" fillId="4" borderId="60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/>
    </xf>
    <xf numFmtId="164" fontId="1" fillId="4" borderId="15" xfId="0" applyNumberFormat="1" applyFont="1" applyFill="1" applyBorder="1" applyAlignment="1">
      <alignment horizontal="center" vertical="top"/>
    </xf>
    <xf numFmtId="3" fontId="1" fillId="4" borderId="61" xfId="0" applyNumberFormat="1" applyFont="1" applyFill="1" applyBorder="1" applyAlignment="1">
      <alignment vertical="top" wrapText="1"/>
    </xf>
    <xf numFmtId="3" fontId="1" fillId="4" borderId="53" xfId="0" applyNumberFormat="1" applyFont="1" applyFill="1" applyBorder="1" applyAlignment="1">
      <alignment horizontal="center" vertical="top" wrapText="1"/>
    </xf>
    <xf numFmtId="3" fontId="4" fillId="4" borderId="52" xfId="0" applyNumberFormat="1" applyFont="1" applyFill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/>
    </xf>
    <xf numFmtId="3" fontId="4" fillId="4" borderId="44" xfId="0" applyNumberFormat="1" applyFont="1" applyFill="1" applyBorder="1" applyAlignment="1">
      <alignment horizontal="center" vertical="top" wrapText="1"/>
    </xf>
    <xf numFmtId="3" fontId="4" fillId="4" borderId="66" xfId="0" applyNumberFormat="1" applyFont="1" applyFill="1" applyBorder="1" applyAlignment="1">
      <alignment horizontal="center" vertical="top" wrapText="1"/>
    </xf>
    <xf numFmtId="3" fontId="4" fillId="4" borderId="51" xfId="0" applyNumberFormat="1" applyFont="1" applyFill="1" applyBorder="1" applyAlignment="1">
      <alignment horizontal="center" vertical="top" wrapText="1"/>
    </xf>
    <xf numFmtId="3" fontId="1" fillId="4" borderId="33" xfId="0" applyNumberFormat="1" applyFont="1" applyFill="1" applyBorder="1" applyAlignment="1">
      <alignment horizontal="center" vertical="top"/>
    </xf>
    <xf numFmtId="3" fontId="4" fillId="4" borderId="32" xfId="0" applyNumberFormat="1" applyFont="1" applyFill="1" applyBorder="1" applyAlignment="1">
      <alignment horizontal="center" vertical="top" wrapText="1"/>
    </xf>
    <xf numFmtId="3" fontId="1" fillId="4" borderId="51" xfId="0" applyNumberFormat="1" applyFont="1" applyFill="1" applyBorder="1" applyAlignment="1">
      <alignment horizontal="center" vertical="top"/>
    </xf>
    <xf numFmtId="3" fontId="5" fillId="4" borderId="67" xfId="0" applyNumberFormat="1" applyFont="1" applyFill="1" applyBorder="1" applyAlignment="1">
      <alignment horizontal="center" vertical="top" wrapText="1"/>
    </xf>
    <xf numFmtId="3" fontId="4" fillId="4" borderId="53" xfId="0" applyNumberFormat="1" applyFont="1" applyFill="1" applyBorder="1" applyAlignment="1">
      <alignment horizontal="center" vertical="top" wrapText="1"/>
    </xf>
    <xf numFmtId="164" fontId="4" fillId="4" borderId="27" xfId="0" applyNumberFormat="1" applyFont="1" applyFill="1" applyBorder="1" applyAlignment="1">
      <alignment horizontal="center" vertical="top"/>
    </xf>
    <xf numFmtId="3" fontId="1" fillId="4" borderId="33" xfId="0" applyNumberFormat="1" applyFont="1" applyFill="1" applyBorder="1" applyAlignment="1">
      <alignment horizontal="center" vertical="top" wrapText="1"/>
    </xf>
    <xf numFmtId="164" fontId="2" fillId="5" borderId="47" xfId="0" applyNumberFormat="1" applyFont="1" applyFill="1" applyBorder="1" applyAlignment="1">
      <alignment horizontal="center" vertical="top" wrapText="1"/>
    </xf>
    <xf numFmtId="3" fontId="1" fillId="4" borderId="46" xfId="0" applyNumberFormat="1" applyFont="1" applyFill="1" applyBorder="1" applyAlignment="1">
      <alignment horizontal="center" vertical="top" wrapText="1"/>
    </xf>
    <xf numFmtId="3" fontId="1" fillId="4" borderId="44" xfId="0" applyNumberFormat="1" applyFont="1" applyFill="1" applyBorder="1" applyAlignment="1">
      <alignment horizontal="center" vertical="top" wrapText="1"/>
    </xf>
    <xf numFmtId="3" fontId="4" fillId="4" borderId="27" xfId="0" applyNumberFormat="1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/>
    </xf>
    <xf numFmtId="3" fontId="4" fillId="4" borderId="57" xfId="0" applyNumberFormat="1" applyFont="1" applyFill="1" applyBorder="1" applyAlignment="1">
      <alignment horizontal="center" vertical="top" wrapText="1"/>
    </xf>
    <xf numFmtId="164" fontId="1" fillId="4" borderId="7" xfId="0" applyNumberFormat="1" applyFont="1" applyFill="1" applyBorder="1" applyAlignment="1">
      <alignment horizontal="center" vertical="top" wrapText="1"/>
    </xf>
    <xf numFmtId="3" fontId="1" fillId="4" borderId="65" xfId="0" applyNumberFormat="1" applyFont="1" applyFill="1" applyBorder="1" applyAlignment="1">
      <alignment horizontal="left" vertical="top" wrapText="1"/>
    </xf>
    <xf numFmtId="3" fontId="1" fillId="4" borderId="21" xfId="0" applyNumberFormat="1" applyFont="1" applyFill="1" applyBorder="1" applyAlignment="1">
      <alignment horizontal="center" vertical="top" wrapText="1"/>
    </xf>
    <xf numFmtId="164" fontId="1" fillId="4" borderId="74" xfId="0" applyNumberFormat="1" applyFont="1" applyFill="1" applyBorder="1" applyAlignment="1">
      <alignment horizontal="center" vertical="top" wrapText="1"/>
    </xf>
    <xf numFmtId="3" fontId="1" fillId="0" borderId="65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textRotation="90" wrapText="1"/>
    </xf>
    <xf numFmtId="3" fontId="4" fillId="4" borderId="61" xfId="0" applyNumberFormat="1" applyFont="1" applyFill="1" applyBorder="1" applyAlignment="1">
      <alignment horizontal="center" vertical="top" wrapText="1"/>
    </xf>
    <xf numFmtId="49" fontId="2" fillId="3" borderId="19" xfId="0" applyNumberFormat="1" applyFont="1" applyFill="1" applyBorder="1" applyAlignment="1">
      <alignment vertical="top"/>
    </xf>
    <xf numFmtId="49" fontId="2" fillId="4" borderId="32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164" fontId="4" fillId="0" borderId="65" xfId="0" applyNumberFormat="1" applyFont="1" applyFill="1" applyBorder="1" applyAlignment="1">
      <alignment horizontal="center" vertical="top" wrapText="1"/>
    </xf>
    <xf numFmtId="164" fontId="4" fillId="0" borderId="62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 wrapText="1"/>
    </xf>
    <xf numFmtId="3" fontId="4" fillId="4" borderId="17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textRotation="90" wrapText="1"/>
    </xf>
    <xf numFmtId="3" fontId="4" fillId="0" borderId="65" xfId="0" applyNumberFormat="1" applyFont="1" applyFill="1" applyBorder="1" applyAlignment="1">
      <alignment horizontal="center" vertical="top" wrapText="1"/>
    </xf>
    <xf numFmtId="164" fontId="4" fillId="4" borderId="26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 wrapText="1"/>
    </xf>
    <xf numFmtId="164" fontId="4" fillId="0" borderId="66" xfId="0" applyNumberFormat="1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top" wrapText="1"/>
    </xf>
    <xf numFmtId="3" fontId="4" fillId="4" borderId="65" xfId="0" applyNumberFormat="1" applyFont="1" applyFill="1" applyBorder="1" applyAlignment="1">
      <alignment horizontal="center" vertical="top" wrapText="1"/>
    </xf>
    <xf numFmtId="3" fontId="5" fillId="5" borderId="47" xfId="0" applyNumberFormat="1" applyFont="1" applyFill="1" applyBorder="1" applyAlignment="1">
      <alignment horizontal="center" vertical="top" wrapText="1"/>
    </xf>
    <xf numFmtId="164" fontId="1" fillId="4" borderId="27" xfId="0" applyNumberFormat="1" applyFont="1" applyFill="1" applyBorder="1" applyAlignment="1">
      <alignment horizontal="center" vertical="top"/>
    </xf>
    <xf numFmtId="3" fontId="14" fillId="4" borderId="31" xfId="0" applyNumberFormat="1" applyFont="1" applyFill="1" applyBorder="1" applyAlignment="1">
      <alignment horizontal="center" vertical="top" wrapText="1"/>
    </xf>
    <xf numFmtId="3" fontId="2" fillId="3" borderId="64" xfId="0" applyNumberFormat="1" applyFont="1" applyFill="1" applyBorder="1" applyAlignment="1">
      <alignment horizontal="center" vertical="top" wrapText="1"/>
    </xf>
    <xf numFmtId="164" fontId="4" fillId="4" borderId="65" xfId="0" applyNumberFormat="1" applyFont="1" applyFill="1" applyBorder="1" applyAlignment="1">
      <alignment horizontal="center" vertical="top"/>
    </xf>
    <xf numFmtId="164" fontId="1" fillId="4" borderId="0" xfId="0" applyNumberFormat="1" applyFont="1" applyFill="1" applyBorder="1" applyAlignment="1">
      <alignment horizontal="center" vertical="top" wrapText="1"/>
    </xf>
    <xf numFmtId="164" fontId="1" fillId="4" borderId="65" xfId="0" applyNumberFormat="1" applyFont="1" applyFill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 wrapText="1"/>
    </xf>
    <xf numFmtId="3" fontId="1" fillId="4" borderId="8" xfId="0" applyNumberFormat="1" applyFont="1" applyFill="1" applyBorder="1" applyAlignment="1">
      <alignment vertical="top" wrapText="1"/>
    </xf>
    <xf numFmtId="3" fontId="1" fillId="4" borderId="16" xfId="0" applyNumberFormat="1" applyFont="1" applyFill="1" applyBorder="1" applyAlignment="1">
      <alignment vertical="top" wrapText="1"/>
    </xf>
    <xf numFmtId="164" fontId="4" fillId="4" borderId="61" xfId="0" applyNumberFormat="1" applyFont="1" applyFill="1" applyBorder="1" applyAlignment="1">
      <alignment horizontal="center" vertical="top"/>
    </xf>
    <xf numFmtId="164" fontId="4" fillId="4" borderId="24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 wrapText="1"/>
    </xf>
    <xf numFmtId="164" fontId="4" fillId="4" borderId="13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center" textRotation="90" wrapText="1"/>
    </xf>
    <xf numFmtId="164" fontId="4" fillId="4" borderId="66" xfId="0" applyNumberFormat="1" applyFont="1" applyFill="1" applyBorder="1" applyAlignment="1">
      <alignment horizontal="center" vertical="top" wrapText="1"/>
    </xf>
    <xf numFmtId="3" fontId="1" fillId="4" borderId="51" xfId="0" applyNumberFormat="1" applyFont="1" applyFill="1" applyBorder="1" applyAlignment="1">
      <alignment horizontal="center" vertical="top" wrapText="1"/>
    </xf>
    <xf numFmtId="3" fontId="1" fillId="4" borderId="65" xfId="0" applyNumberFormat="1" applyFont="1" applyFill="1" applyBorder="1" applyAlignment="1">
      <alignment vertical="top" wrapText="1"/>
    </xf>
    <xf numFmtId="3" fontId="4" fillId="4" borderId="30" xfId="0" applyNumberFormat="1" applyFont="1" applyFill="1" applyBorder="1" applyAlignment="1">
      <alignment horizontal="center" vertical="top" wrapText="1"/>
    </xf>
    <xf numFmtId="3" fontId="4" fillId="4" borderId="71" xfId="0" applyNumberFormat="1" applyFont="1" applyFill="1" applyBorder="1" applyAlignment="1">
      <alignment horizontal="center" vertical="top" wrapText="1"/>
    </xf>
    <xf numFmtId="164" fontId="1" fillId="4" borderId="29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3" fontId="1" fillId="4" borderId="68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textRotation="90" wrapText="1"/>
    </xf>
    <xf numFmtId="3" fontId="1" fillId="4" borderId="27" xfId="0" applyNumberFormat="1" applyFont="1" applyFill="1" applyBorder="1" applyAlignment="1">
      <alignment horizontal="center" vertical="top" wrapText="1"/>
    </xf>
    <xf numFmtId="164" fontId="4" fillId="4" borderId="66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center" vertical="top" textRotation="90" wrapText="1"/>
    </xf>
    <xf numFmtId="164" fontId="4" fillId="4" borderId="65" xfId="0" applyNumberFormat="1" applyFont="1" applyFill="1" applyBorder="1" applyAlignment="1">
      <alignment horizontal="center" vertical="top" wrapText="1"/>
    </xf>
    <xf numFmtId="3" fontId="5" fillId="0" borderId="67" xfId="0" applyNumberFormat="1" applyFont="1" applyFill="1" applyBorder="1" applyAlignment="1">
      <alignment horizontal="center" vertical="top" wrapText="1"/>
    </xf>
    <xf numFmtId="3" fontId="4" fillId="4" borderId="61" xfId="0" applyNumberFormat="1" applyFont="1" applyFill="1" applyBorder="1" applyAlignment="1">
      <alignment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3" fontId="4" fillId="4" borderId="62" xfId="0" applyNumberFormat="1" applyFont="1" applyFill="1" applyBorder="1" applyAlignment="1">
      <alignment horizontal="center" vertical="top" wrapText="1"/>
    </xf>
    <xf numFmtId="164" fontId="2" fillId="5" borderId="56" xfId="0" applyNumberFormat="1" applyFont="1" applyFill="1" applyBorder="1" applyAlignment="1">
      <alignment horizontal="center" vertical="top" wrapText="1"/>
    </xf>
    <xf numFmtId="3" fontId="1" fillId="4" borderId="65" xfId="0" applyNumberFormat="1" applyFont="1" applyFill="1" applyBorder="1" applyAlignment="1">
      <alignment horizontal="center" vertical="top" wrapText="1"/>
    </xf>
    <xf numFmtId="3" fontId="4" fillId="4" borderId="47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horizontal="center" vertical="top"/>
    </xf>
    <xf numFmtId="3" fontId="4" fillId="4" borderId="36" xfId="0" applyNumberFormat="1" applyFont="1" applyFill="1" applyBorder="1" applyAlignment="1">
      <alignment horizontal="center" vertical="top" wrapText="1"/>
    </xf>
    <xf numFmtId="3" fontId="4" fillId="4" borderId="48" xfId="0" applyNumberFormat="1" applyFont="1" applyFill="1" applyBorder="1" applyAlignment="1">
      <alignment horizontal="center" vertical="top" wrapText="1"/>
    </xf>
    <xf numFmtId="3" fontId="4" fillId="4" borderId="74" xfId="0" applyNumberFormat="1" applyFont="1" applyFill="1" applyBorder="1" applyAlignment="1">
      <alignment horizontal="center" vertical="top" wrapText="1"/>
    </xf>
    <xf numFmtId="3" fontId="12" fillId="4" borderId="65" xfId="0" applyNumberFormat="1" applyFont="1" applyFill="1" applyBorder="1" applyAlignment="1">
      <alignment horizontal="center" vertical="top" wrapText="1"/>
    </xf>
    <xf numFmtId="3" fontId="1" fillId="4" borderId="48" xfId="0" applyNumberFormat="1" applyFont="1" applyFill="1" applyBorder="1" applyAlignment="1">
      <alignment horizontal="center" vertical="top" wrapText="1"/>
    </xf>
    <xf numFmtId="3" fontId="1" fillId="4" borderId="56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vertical="top" wrapText="1"/>
    </xf>
    <xf numFmtId="3" fontId="1" fillId="4" borderId="36" xfId="0" applyNumberFormat="1" applyFont="1" applyFill="1" applyBorder="1" applyAlignment="1">
      <alignment horizontal="center" vertical="top"/>
    </xf>
    <xf numFmtId="3" fontId="1" fillId="4" borderId="41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center" vertical="top"/>
    </xf>
    <xf numFmtId="3" fontId="2" fillId="4" borderId="67" xfId="0" applyNumberFormat="1" applyFont="1" applyFill="1" applyBorder="1" applyAlignment="1">
      <alignment horizontal="center" vertical="top" textRotation="90" wrapText="1"/>
    </xf>
    <xf numFmtId="3" fontId="1" fillId="4" borderId="32" xfId="0" applyNumberFormat="1" applyFont="1" applyFill="1" applyBorder="1" applyAlignment="1">
      <alignment horizontal="center" vertical="top"/>
    </xf>
    <xf numFmtId="3" fontId="1" fillId="4" borderId="53" xfId="0" applyNumberFormat="1" applyFont="1" applyFill="1" applyBorder="1" applyAlignment="1">
      <alignment horizontal="center" vertical="top"/>
    </xf>
    <xf numFmtId="3" fontId="1" fillId="4" borderId="31" xfId="0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164" fontId="1" fillId="0" borderId="24" xfId="0" applyNumberFormat="1" applyFont="1" applyBorder="1" applyAlignment="1">
      <alignment horizontal="center" vertical="top" wrapText="1"/>
    </xf>
    <xf numFmtId="164" fontId="4" fillId="0" borderId="28" xfId="0" applyNumberFormat="1" applyFont="1" applyFill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horizontal="center" vertical="top" wrapText="1"/>
    </xf>
    <xf numFmtId="3" fontId="1" fillId="4" borderId="64" xfId="0" applyNumberFormat="1" applyFont="1" applyFill="1" applyBorder="1" applyAlignment="1">
      <alignment horizontal="center" vertical="top" wrapText="1"/>
    </xf>
    <xf numFmtId="3" fontId="1" fillId="4" borderId="38" xfId="0" applyNumberFormat="1" applyFont="1" applyFill="1" applyBorder="1" applyAlignment="1">
      <alignment horizontal="center" vertical="top" wrapText="1"/>
    </xf>
    <xf numFmtId="164" fontId="4" fillId="4" borderId="42" xfId="0" applyNumberFormat="1" applyFont="1" applyFill="1" applyBorder="1" applyAlignment="1">
      <alignment horizontal="center" vertical="top"/>
    </xf>
    <xf numFmtId="164" fontId="2" fillId="5" borderId="69" xfId="0" applyNumberFormat="1" applyFont="1" applyFill="1" applyBorder="1" applyAlignment="1">
      <alignment horizontal="center" vertical="top" wrapText="1"/>
    </xf>
    <xf numFmtId="164" fontId="4" fillId="4" borderId="59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/>
    </xf>
    <xf numFmtId="164" fontId="4" fillId="4" borderId="77" xfId="0" applyNumberFormat="1" applyFont="1" applyFill="1" applyBorder="1" applyAlignment="1">
      <alignment horizontal="center" vertical="top"/>
    </xf>
    <xf numFmtId="164" fontId="2" fillId="5" borderId="45" xfId="0" applyNumberFormat="1" applyFont="1" applyFill="1" applyBorder="1" applyAlignment="1">
      <alignment horizontal="center" vertical="top" wrapText="1"/>
    </xf>
    <xf numFmtId="164" fontId="5" fillId="5" borderId="44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vertical="top" wrapText="1"/>
    </xf>
    <xf numFmtId="3" fontId="4" fillId="4" borderId="40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top"/>
    </xf>
    <xf numFmtId="3" fontId="4" fillId="4" borderId="46" xfId="0" applyNumberFormat="1" applyFont="1" applyFill="1" applyBorder="1" applyAlignment="1">
      <alignment horizontal="center" vertical="top" wrapText="1"/>
    </xf>
    <xf numFmtId="3" fontId="4" fillId="4" borderId="35" xfId="0" applyNumberFormat="1" applyFont="1" applyFill="1" applyBorder="1" applyAlignment="1">
      <alignment horizontal="center" vertical="top" wrapText="1"/>
    </xf>
    <xf numFmtId="3" fontId="14" fillId="4" borderId="17" xfId="0" applyNumberFormat="1" applyFont="1" applyFill="1" applyBorder="1" applyAlignment="1">
      <alignment horizontal="center" vertical="top" wrapText="1"/>
    </xf>
    <xf numFmtId="3" fontId="1" fillId="4" borderId="47" xfId="0" applyNumberFormat="1" applyFont="1" applyFill="1" applyBorder="1" applyAlignment="1">
      <alignment horizontal="center" vertical="top" wrapText="1"/>
    </xf>
    <xf numFmtId="3" fontId="4" fillId="4" borderId="64" xfId="0" applyNumberFormat="1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horizontal="center" vertical="top" wrapText="1"/>
    </xf>
    <xf numFmtId="3" fontId="4" fillId="4" borderId="76" xfId="0" applyNumberFormat="1" applyFont="1" applyFill="1" applyBorder="1" applyAlignment="1">
      <alignment horizontal="center" vertical="top" wrapText="1"/>
    </xf>
    <xf numFmtId="3" fontId="4" fillId="4" borderId="63" xfId="0" applyNumberFormat="1" applyFont="1" applyFill="1" applyBorder="1" applyAlignment="1">
      <alignment horizontal="center" vertical="top" wrapText="1"/>
    </xf>
    <xf numFmtId="3" fontId="4" fillId="4" borderId="43" xfId="0" applyNumberFormat="1" applyFont="1" applyFill="1" applyBorder="1" applyAlignment="1">
      <alignment horizontal="center" vertical="top" wrapText="1"/>
    </xf>
    <xf numFmtId="3" fontId="4" fillId="4" borderId="56" xfId="0" applyNumberFormat="1" applyFont="1" applyFill="1" applyBorder="1" applyAlignment="1">
      <alignment horizontal="center" vertical="top" wrapText="1"/>
    </xf>
    <xf numFmtId="3" fontId="4" fillId="4" borderId="77" xfId="0" applyNumberFormat="1" applyFont="1" applyFill="1" applyBorder="1" applyAlignment="1">
      <alignment horizontal="center" vertical="top" wrapText="1"/>
    </xf>
    <xf numFmtId="3" fontId="4" fillId="4" borderId="34" xfId="0" applyNumberFormat="1" applyFont="1" applyFill="1" applyBorder="1" applyAlignment="1">
      <alignment horizontal="center" vertical="top" wrapText="1"/>
    </xf>
    <xf numFmtId="3" fontId="4" fillId="4" borderId="38" xfId="0" applyNumberFormat="1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vertical="top" wrapText="1"/>
    </xf>
    <xf numFmtId="3" fontId="4" fillId="4" borderId="22" xfId="0" applyNumberFormat="1" applyFont="1" applyFill="1" applyBorder="1" applyAlignment="1">
      <alignment horizontal="center" vertical="top" wrapText="1"/>
    </xf>
    <xf numFmtId="3" fontId="4" fillId="4" borderId="47" xfId="0" applyNumberFormat="1" applyFont="1" applyFill="1" applyBorder="1" applyAlignment="1">
      <alignment horizontal="center" vertical="top" wrapText="1"/>
    </xf>
    <xf numFmtId="164" fontId="4" fillId="4" borderId="29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vertical="top" wrapText="1"/>
    </xf>
    <xf numFmtId="3" fontId="4" fillId="4" borderId="20" xfId="0" applyNumberFormat="1" applyFont="1" applyFill="1" applyBorder="1" applyAlignment="1">
      <alignment horizontal="center" vertical="top" wrapText="1"/>
    </xf>
    <xf numFmtId="165" fontId="4" fillId="0" borderId="16" xfId="0" applyNumberFormat="1" applyFont="1" applyBorder="1" applyAlignment="1">
      <alignment horizontal="center" vertical="center" wrapText="1"/>
    </xf>
    <xf numFmtId="165" fontId="2" fillId="7" borderId="35" xfId="0" applyNumberFormat="1" applyFont="1" applyFill="1" applyBorder="1" applyAlignment="1">
      <alignment horizontal="center" vertical="top" wrapText="1"/>
    </xf>
    <xf numFmtId="3" fontId="2" fillId="8" borderId="54" xfId="0" applyNumberFormat="1" applyFont="1" applyFill="1" applyBorder="1" applyAlignment="1">
      <alignment horizontal="center" vertical="top" wrapText="1"/>
    </xf>
    <xf numFmtId="3" fontId="2" fillId="8" borderId="7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49" fontId="5" fillId="8" borderId="12" xfId="0" applyNumberFormat="1" applyFont="1" applyFill="1" applyBorder="1" applyAlignment="1">
      <alignment vertical="top" wrapText="1"/>
    </xf>
    <xf numFmtId="49" fontId="5" fillId="8" borderId="16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8" borderId="16" xfId="0" applyNumberFormat="1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vertical="top" wrapText="1"/>
    </xf>
    <xf numFmtId="49" fontId="5" fillId="3" borderId="64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vertical="top" wrapText="1"/>
    </xf>
    <xf numFmtId="3" fontId="5" fillId="0" borderId="32" xfId="0" applyNumberFormat="1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vertical="top" wrapText="1"/>
    </xf>
    <xf numFmtId="49" fontId="5" fillId="8" borderId="4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top" wrapText="1"/>
    </xf>
    <xf numFmtId="49" fontId="5" fillId="3" borderId="32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wrapText="1"/>
    </xf>
    <xf numFmtId="3" fontId="5" fillId="4" borderId="3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wrapText="1"/>
    </xf>
    <xf numFmtId="3" fontId="4" fillId="4" borderId="45" xfId="0" applyNumberFormat="1" applyFont="1" applyFill="1" applyBorder="1" applyAlignment="1">
      <alignment horizontal="center" vertical="top" wrapText="1"/>
    </xf>
    <xf numFmtId="49" fontId="5" fillId="8" borderId="40" xfId="0" applyNumberFormat="1" applyFont="1" applyFill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3" fontId="1" fillId="4" borderId="30" xfId="0" applyNumberFormat="1" applyFont="1" applyFill="1" applyBorder="1" applyAlignment="1">
      <alignment horizontal="center" vertical="top" wrapText="1"/>
    </xf>
    <xf numFmtId="49" fontId="2" fillId="8" borderId="17" xfId="0" applyNumberFormat="1" applyFont="1" applyFill="1" applyBorder="1" applyAlignment="1">
      <alignment vertical="top" wrapText="1"/>
    </xf>
    <xf numFmtId="49" fontId="2" fillId="2" borderId="18" xfId="0" applyNumberFormat="1" applyFont="1" applyFill="1" applyBorder="1" applyAlignment="1">
      <alignment vertical="top" wrapText="1"/>
    </xf>
    <xf numFmtId="49" fontId="2" fillId="3" borderId="32" xfId="0" applyNumberFormat="1" applyFont="1" applyFill="1" applyBorder="1" applyAlignment="1">
      <alignment vertical="top" wrapText="1"/>
    </xf>
    <xf numFmtId="49" fontId="2" fillId="8" borderId="17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3" borderId="32" xfId="0" applyNumberFormat="1" applyFont="1" applyFill="1" applyBorder="1" applyAlignment="1">
      <alignment horizontal="center" vertical="top" wrapText="1"/>
    </xf>
    <xf numFmtId="3" fontId="2" fillId="4" borderId="32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 wrapText="1"/>
    </xf>
    <xf numFmtId="49" fontId="2" fillId="3" borderId="68" xfId="0" applyNumberFormat="1" applyFont="1" applyFill="1" applyBorder="1" applyAlignment="1">
      <alignment vertical="top" wrapText="1"/>
    </xf>
    <xf numFmtId="0" fontId="12" fillId="4" borderId="56" xfId="0" applyFont="1" applyFill="1" applyBorder="1" applyAlignment="1">
      <alignment horizontal="center" vertical="top" wrapText="1"/>
    </xf>
    <xf numFmtId="0" fontId="12" fillId="4" borderId="68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3" borderId="64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Border="1" applyAlignment="1">
      <alignment horizontal="center" vertical="top" wrapText="1"/>
    </xf>
    <xf numFmtId="49" fontId="5" fillId="8" borderId="56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49" fontId="2" fillId="3" borderId="68" xfId="0" applyNumberFormat="1" applyFont="1" applyFill="1" applyBorder="1" applyAlignment="1">
      <alignment horizontal="center" vertical="top" wrapText="1"/>
    </xf>
    <xf numFmtId="3" fontId="2" fillId="0" borderId="68" xfId="0" applyNumberFormat="1" applyFont="1" applyFill="1" applyBorder="1" applyAlignment="1">
      <alignment horizontal="center" vertical="top" wrapText="1"/>
    </xf>
    <xf numFmtId="49" fontId="2" fillId="8" borderId="56" xfId="0" applyNumberFormat="1" applyFont="1" applyFill="1" applyBorder="1" applyAlignment="1">
      <alignment horizontal="center" vertical="top" wrapText="1"/>
    </xf>
    <xf numFmtId="3" fontId="2" fillId="4" borderId="68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164" fontId="1" fillId="0" borderId="29" xfId="0" applyNumberFormat="1" applyFont="1" applyFill="1" applyBorder="1" applyAlignment="1">
      <alignment horizontal="center" vertical="top" wrapText="1"/>
    </xf>
    <xf numFmtId="3" fontId="1" fillId="4" borderId="71" xfId="0" applyNumberFormat="1" applyFont="1" applyFill="1" applyBorder="1" applyAlignment="1">
      <alignment horizontal="center" vertical="top" wrapText="1"/>
    </xf>
    <xf numFmtId="3" fontId="1" fillId="4" borderId="74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 wrapText="1"/>
    </xf>
    <xf numFmtId="164" fontId="2" fillId="5" borderId="50" xfId="0" applyNumberFormat="1" applyFont="1" applyFill="1" applyBorder="1" applyAlignment="1">
      <alignment horizontal="center" vertical="top" wrapText="1"/>
    </xf>
    <xf numFmtId="3" fontId="2" fillId="4" borderId="64" xfId="0" applyNumberFormat="1" applyFont="1" applyFill="1" applyBorder="1" applyAlignment="1">
      <alignment horizontal="center" vertical="top" wrapText="1"/>
    </xf>
    <xf numFmtId="3" fontId="1" fillId="4" borderId="35" xfId="0" applyNumberFormat="1" applyFont="1" applyFill="1" applyBorder="1" applyAlignment="1">
      <alignment horizontal="center" vertical="top" wrapText="1"/>
    </xf>
    <xf numFmtId="49" fontId="2" fillId="8" borderId="12" xfId="0" applyNumberFormat="1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54" xfId="0" applyNumberFormat="1" applyFont="1" applyFill="1" applyBorder="1" applyAlignment="1">
      <alignment horizontal="center" vertical="top" wrapText="1"/>
    </xf>
    <xf numFmtId="3" fontId="2" fillId="2" borderId="72" xfId="0" applyNumberFormat="1" applyFont="1" applyFill="1" applyBorder="1" applyAlignment="1">
      <alignment horizontal="center" vertical="top" wrapText="1"/>
    </xf>
    <xf numFmtId="49" fontId="2" fillId="8" borderId="16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top" wrapText="1"/>
    </xf>
    <xf numFmtId="49" fontId="2" fillId="3" borderId="18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49" fontId="2" fillId="3" borderId="18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49" fontId="2" fillId="4" borderId="32" xfId="0" applyNumberFormat="1" applyFont="1" applyFill="1" applyBorder="1" applyAlignment="1">
      <alignment horizontal="center" vertical="top" wrapText="1"/>
    </xf>
    <xf numFmtId="49" fontId="2" fillId="2" borderId="2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2" fillId="3" borderId="19" xfId="0" applyNumberFormat="1" applyFont="1" applyFill="1" applyBorder="1" applyAlignment="1">
      <alignment vertical="top" wrapText="1"/>
    </xf>
    <xf numFmtId="3" fontId="2" fillId="3" borderId="68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horizontal="center" vertical="top" wrapText="1"/>
    </xf>
    <xf numFmtId="49" fontId="2" fillId="8" borderId="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3" fontId="2" fillId="7" borderId="43" xfId="0" applyNumberFormat="1" applyFont="1" applyFill="1" applyBorder="1" applyAlignment="1">
      <alignment horizontal="center" vertical="top" wrapText="1"/>
    </xf>
    <xf numFmtId="3" fontId="2" fillId="7" borderId="69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 wrapText="1"/>
    </xf>
    <xf numFmtId="164" fontId="1" fillId="4" borderId="59" xfId="0" applyNumberFormat="1" applyFont="1" applyFill="1" applyBorder="1" applyAlignment="1">
      <alignment horizontal="center" vertical="top" wrapText="1"/>
    </xf>
    <xf numFmtId="3" fontId="4" fillId="4" borderId="68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right" vertical="top" wrapText="1"/>
    </xf>
    <xf numFmtId="164" fontId="4" fillId="11" borderId="36" xfId="2" applyNumberFormat="1" applyFont="1" applyFill="1" applyBorder="1" applyAlignment="1">
      <alignment horizontal="center" vertical="top"/>
    </xf>
    <xf numFmtId="164" fontId="4" fillId="11" borderId="37" xfId="2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1" fillId="4" borderId="42" xfId="0" applyNumberFormat="1" applyFont="1" applyFill="1" applyBorder="1" applyAlignment="1">
      <alignment horizontal="center" vertical="top"/>
    </xf>
    <xf numFmtId="3" fontId="2" fillId="2" borderId="43" xfId="0" applyNumberFormat="1" applyFont="1" applyFill="1" applyBorder="1" applyAlignment="1">
      <alignment horizontal="center" vertical="top" wrapText="1"/>
    </xf>
    <xf numFmtId="3" fontId="2" fillId="2" borderId="69" xfId="0" applyNumberFormat="1" applyFont="1" applyFill="1" applyBorder="1" applyAlignment="1">
      <alignment horizontal="center" vertical="top" wrapText="1"/>
    </xf>
    <xf numFmtId="164" fontId="1" fillId="4" borderId="65" xfId="0" applyNumberFormat="1" applyFont="1" applyFill="1" applyBorder="1" applyAlignment="1">
      <alignment horizontal="center" vertical="top" wrapText="1"/>
    </xf>
    <xf numFmtId="164" fontId="1" fillId="4" borderId="66" xfId="0" applyNumberFormat="1" applyFont="1" applyFill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vertical="top" wrapText="1"/>
    </xf>
    <xf numFmtId="165" fontId="2" fillId="7" borderId="74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2" fillId="7" borderId="2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4" fillId="3" borderId="64" xfId="0" applyNumberFormat="1" applyFont="1" applyFill="1" applyBorder="1" applyAlignment="1">
      <alignment horizontal="center" vertical="top" wrapText="1"/>
    </xf>
    <xf numFmtId="49" fontId="4" fillId="3" borderId="32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vertical="top" wrapText="1"/>
    </xf>
    <xf numFmtId="49" fontId="4" fillId="3" borderId="68" xfId="0" applyNumberFormat="1" applyFont="1" applyFill="1" applyBorder="1" applyAlignment="1">
      <alignment horizontal="center" vertical="top" wrapText="1"/>
    </xf>
    <xf numFmtId="3" fontId="4" fillId="4" borderId="13" xfId="0" quotePrefix="1" applyNumberFormat="1" applyFont="1" applyFill="1" applyBorder="1" applyAlignment="1">
      <alignment horizontal="center" vertical="top" wrapText="1"/>
    </xf>
    <xf numFmtId="3" fontId="4" fillId="4" borderId="19" xfId="0" quotePrefix="1" applyNumberFormat="1" applyFont="1" applyFill="1" applyBorder="1" applyAlignment="1">
      <alignment horizontal="center" vertical="top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3" borderId="32" xfId="0" applyNumberFormat="1" applyFont="1" applyFill="1" applyBorder="1" applyAlignment="1">
      <alignment horizontal="center" vertical="top"/>
    </xf>
    <xf numFmtId="49" fontId="4" fillId="3" borderId="13" xfId="0" applyNumberFormat="1" applyFont="1" applyFill="1" applyBorder="1" applyAlignment="1">
      <alignment vertical="top" wrapText="1"/>
    </xf>
    <xf numFmtId="49" fontId="4" fillId="3" borderId="19" xfId="0" applyNumberFormat="1" applyFont="1" applyFill="1" applyBorder="1" applyAlignment="1">
      <alignment vertical="top"/>
    </xf>
    <xf numFmtId="49" fontId="4" fillId="3" borderId="19" xfId="0" applyNumberFormat="1" applyFont="1" applyFill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center" vertical="top" wrapText="1"/>
    </xf>
    <xf numFmtId="49" fontId="4" fillId="4" borderId="18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/>
    </xf>
    <xf numFmtId="49" fontId="4" fillId="3" borderId="42" xfId="0" applyNumberFormat="1" applyFont="1" applyFill="1" applyBorder="1" applyAlignment="1">
      <alignment vertical="top" wrapText="1"/>
    </xf>
    <xf numFmtId="49" fontId="4" fillId="3" borderId="59" xfId="0" applyNumberFormat="1" applyFont="1" applyFill="1" applyBorder="1" applyAlignment="1">
      <alignment vertical="top" wrapText="1"/>
    </xf>
    <xf numFmtId="49" fontId="4" fillId="3" borderId="6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3" borderId="33" xfId="0" applyNumberFormat="1" applyFont="1" applyFill="1" applyBorder="1" applyAlignment="1">
      <alignment horizontal="center" vertical="top" wrapText="1"/>
    </xf>
    <xf numFmtId="49" fontId="4" fillId="3" borderId="53" xfId="0" applyNumberFormat="1" applyFont="1" applyFill="1" applyBorder="1" applyAlignment="1">
      <alignment horizontal="center" vertical="top" wrapText="1"/>
    </xf>
    <xf numFmtId="49" fontId="4" fillId="3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49" fontId="4" fillId="4" borderId="42" xfId="0" applyNumberFormat="1" applyFont="1" applyFill="1" applyBorder="1" applyAlignment="1">
      <alignment horizontal="center" vertical="top" wrapText="1"/>
    </xf>
    <xf numFmtId="49" fontId="2" fillId="3" borderId="64" xfId="0" applyNumberFormat="1" applyFont="1" applyFill="1" applyBorder="1" applyAlignment="1">
      <alignment vertical="top" wrapText="1"/>
    </xf>
    <xf numFmtId="49" fontId="4" fillId="3" borderId="51" xfId="0" applyNumberFormat="1" applyFont="1" applyFill="1" applyBorder="1" applyAlignment="1">
      <alignment horizontal="center" vertical="top" wrapText="1"/>
    </xf>
    <xf numFmtId="49" fontId="4" fillId="0" borderId="59" xfId="0" applyNumberFormat="1" applyFont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2" fillId="4" borderId="38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vertical="top" wrapText="1"/>
    </xf>
    <xf numFmtId="164" fontId="4" fillId="4" borderId="29" xfId="0" applyNumberFormat="1" applyFont="1" applyFill="1" applyBorder="1" applyAlignment="1">
      <alignment horizontal="center" vertical="top"/>
    </xf>
    <xf numFmtId="164" fontId="4" fillId="4" borderId="58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4" fillId="4" borderId="16" xfId="0" applyNumberFormat="1" applyFont="1" applyFill="1" applyBorder="1" applyAlignment="1">
      <alignment horizontal="center" vertical="top" wrapText="1"/>
    </xf>
    <xf numFmtId="164" fontId="4" fillId="4" borderId="13" xfId="0" applyNumberFormat="1" applyFont="1" applyFill="1" applyBorder="1" applyAlignment="1">
      <alignment horizontal="center" vertical="top" wrapText="1"/>
    </xf>
    <xf numFmtId="164" fontId="4" fillId="4" borderId="24" xfId="0" applyNumberFormat="1" applyFont="1" applyFill="1" applyBorder="1" applyAlignment="1">
      <alignment horizontal="center" vertical="top" wrapText="1"/>
    </xf>
    <xf numFmtId="164" fontId="4" fillId="4" borderId="26" xfId="0" applyNumberFormat="1" applyFont="1" applyFill="1" applyBorder="1" applyAlignment="1">
      <alignment horizontal="center" vertical="top" wrapText="1"/>
    </xf>
    <xf numFmtId="164" fontId="4" fillId="4" borderId="19" xfId="0" applyNumberFormat="1" applyFont="1" applyFill="1" applyBorder="1" applyAlignment="1">
      <alignment horizontal="center" vertical="top" wrapText="1"/>
    </xf>
    <xf numFmtId="164" fontId="5" fillId="4" borderId="1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4" fillId="4" borderId="62" xfId="0" applyNumberFormat="1" applyFont="1" applyFill="1" applyBorder="1" applyAlignment="1">
      <alignment horizontal="center" vertical="top" wrapText="1"/>
    </xf>
    <xf numFmtId="164" fontId="4" fillId="4" borderId="42" xfId="0" applyNumberFormat="1" applyFont="1" applyFill="1" applyBorder="1" applyAlignment="1">
      <alignment horizontal="center" vertical="top" wrapText="1"/>
    </xf>
    <xf numFmtId="164" fontId="4" fillId="4" borderId="15" xfId="0" applyNumberFormat="1" applyFont="1" applyFill="1" applyBorder="1" applyAlignment="1">
      <alignment horizontal="center" vertical="top" wrapText="1"/>
    </xf>
    <xf numFmtId="164" fontId="4" fillId="4" borderId="73" xfId="0" applyNumberFormat="1" applyFont="1" applyFill="1" applyBorder="1" applyAlignment="1">
      <alignment horizontal="center" vertical="top" wrapText="1"/>
    </xf>
    <xf numFmtId="164" fontId="4" fillId="4" borderId="17" xfId="0" applyNumberFormat="1" applyFont="1" applyFill="1" applyBorder="1" applyAlignment="1">
      <alignment horizontal="center" vertical="top" wrapText="1"/>
    </xf>
    <xf numFmtId="164" fontId="4" fillId="4" borderId="59" xfId="0" applyNumberFormat="1" applyFont="1" applyFill="1" applyBorder="1" applyAlignment="1">
      <alignment horizontal="center" vertical="top" wrapText="1"/>
    </xf>
    <xf numFmtId="164" fontId="4" fillId="4" borderId="74" xfId="0" applyNumberFormat="1" applyFont="1" applyFill="1" applyBorder="1" applyAlignment="1">
      <alignment horizontal="center" vertical="top" wrapText="1"/>
    </xf>
    <xf numFmtId="164" fontId="4" fillId="4" borderId="47" xfId="0" applyNumberFormat="1" applyFont="1" applyFill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4" fillId="4" borderId="50" xfId="0" applyNumberFormat="1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1" fillId="4" borderId="24" xfId="0" applyNumberFormat="1" applyFont="1" applyFill="1" applyBorder="1" applyAlignment="1">
      <alignment horizontal="center" vertical="top" wrapText="1"/>
    </xf>
    <xf numFmtId="164" fontId="1" fillId="4" borderId="16" xfId="0" applyNumberFormat="1" applyFont="1" applyFill="1" applyBorder="1" applyAlignment="1">
      <alignment horizontal="center" vertical="top" wrapText="1"/>
    </xf>
    <xf numFmtId="164" fontId="1" fillId="4" borderId="19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164" fontId="2" fillId="8" borderId="12" xfId="0" applyNumberFormat="1" applyFont="1" applyFill="1" applyBorder="1" applyAlignment="1">
      <alignment horizontal="center" vertical="top" wrapText="1"/>
    </xf>
    <xf numFmtId="164" fontId="2" fillId="8" borderId="11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" fillId="0" borderId="57" xfId="0" applyNumberFormat="1" applyFont="1" applyFill="1" applyBorder="1" applyAlignment="1">
      <alignment horizontal="center" vertical="top" wrapText="1"/>
    </xf>
    <xf numFmtId="164" fontId="1" fillId="4" borderId="27" xfId="0" applyNumberFormat="1" applyFont="1" applyFill="1" applyBorder="1" applyAlignment="1">
      <alignment horizontal="center" vertical="top" wrapText="1"/>
    </xf>
    <xf numFmtId="164" fontId="1" fillId="4" borderId="34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4" borderId="57" xfId="0" applyNumberFormat="1" applyFont="1" applyFill="1" applyBorder="1" applyAlignment="1">
      <alignment horizontal="center" vertical="top" wrapText="1"/>
    </xf>
    <xf numFmtId="164" fontId="5" fillId="5" borderId="45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164" fontId="4" fillId="4" borderId="57" xfId="0" applyNumberFormat="1" applyFont="1" applyFill="1" applyBorder="1" applyAlignment="1">
      <alignment horizontal="center" vertical="top" wrapText="1"/>
    </xf>
    <xf numFmtId="164" fontId="2" fillId="8" borderId="19" xfId="0" applyNumberFormat="1" applyFont="1" applyFill="1" applyBorder="1" applyAlignment="1">
      <alignment horizontal="center" vertical="top" wrapText="1"/>
    </xf>
    <xf numFmtId="164" fontId="2" fillId="8" borderId="69" xfId="0" applyNumberFormat="1" applyFont="1" applyFill="1" applyBorder="1" applyAlignment="1">
      <alignment horizontal="center" vertical="top" wrapText="1"/>
    </xf>
    <xf numFmtId="164" fontId="2" fillId="7" borderId="19" xfId="0" applyNumberFormat="1" applyFont="1" applyFill="1" applyBorder="1" applyAlignment="1">
      <alignment horizontal="center" vertical="top" wrapText="1"/>
    </xf>
    <xf numFmtId="164" fontId="2" fillId="7" borderId="69" xfId="0" applyNumberFormat="1" applyFont="1" applyFill="1" applyBorder="1" applyAlignment="1">
      <alignment horizontal="center" vertical="top" wrapText="1"/>
    </xf>
    <xf numFmtId="164" fontId="4" fillId="0" borderId="36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0" borderId="55" xfId="0" applyNumberFormat="1" applyFont="1" applyFill="1" applyBorder="1" applyAlignment="1">
      <alignment horizontal="center" vertical="top" wrapText="1"/>
    </xf>
    <xf numFmtId="3" fontId="4" fillId="4" borderId="47" xfId="0" applyNumberFormat="1" applyFont="1" applyFill="1" applyBorder="1" applyAlignment="1">
      <alignment horizontal="left" vertical="top" wrapText="1"/>
    </xf>
    <xf numFmtId="3" fontId="5" fillId="4" borderId="59" xfId="0" applyNumberFormat="1" applyFont="1" applyFill="1" applyBorder="1" applyAlignment="1">
      <alignment vertical="top" wrapText="1"/>
    </xf>
    <xf numFmtId="164" fontId="4" fillId="4" borderId="73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 textRotation="90" wrapText="1"/>
    </xf>
    <xf numFmtId="3" fontId="2" fillId="4" borderId="32" xfId="0" applyNumberFormat="1" applyFont="1" applyFill="1" applyBorder="1" applyAlignment="1">
      <alignment horizontal="center" vertical="top" textRotation="90" wrapText="1"/>
    </xf>
    <xf numFmtId="49" fontId="4" fillId="3" borderId="33" xfId="0" applyNumberFormat="1" applyFont="1" applyFill="1" applyBorder="1" applyAlignment="1">
      <alignment horizontal="center" vertical="top"/>
    </xf>
    <xf numFmtId="165" fontId="4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 wrapText="1"/>
    </xf>
    <xf numFmtId="3" fontId="4" fillId="4" borderId="33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4" fillId="4" borderId="26" xfId="0" applyNumberFormat="1" applyFont="1" applyFill="1" applyBorder="1" applyAlignment="1">
      <alignment horizontal="center" vertical="top" wrapText="1"/>
    </xf>
    <xf numFmtId="164" fontId="4" fillId="12" borderId="76" xfId="2" applyNumberFormat="1" applyFont="1" applyFill="1" applyBorder="1" applyAlignment="1">
      <alignment horizontal="center" vertical="top"/>
    </xf>
    <xf numFmtId="164" fontId="4" fillId="12" borderId="26" xfId="2" applyNumberFormat="1" applyFont="1" applyFill="1" applyBorder="1" applyAlignment="1">
      <alignment horizontal="center" vertical="top"/>
    </xf>
    <xf numFmtId="3" fontId="4" fillId="4" borderId="18" xfId="0" quotePrefix="1" applyNumberFormat="1" applyFont="1" applyFill="1" applyBorder="1" applyAlignment="1">
      <alignment horizontal="center" vertical="top" wrapText="1"/>
    </xf>
    <xf numFmtId="3" fontId="5" fillId="4" borderId="68" xfId="0" applyNumberFormat="1" applyFont="1" applyFill="1" applyBorder="1" applyAlignment="1">
      <alignment vertical="top" wrapText="1"/>
    </xf>
    <xf numFmtId="3" fontId="5" fillId="4" borderId="33" xfId="0" applyNumberFormat="1" applyFont="1" applyFill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vertical="top" wrapText="1"/>
    </xf>
    <xf numFmtId="164" fontId="4" fillId="4" borderId="36" xfId="0" applyNumberFormat="1" applyFont="1" applyFill="1" applyBorder="1" applyAlignment="1">
      <alignment horizontal="center" vertical="top" wrapText="1"/>
    </xf>
    <xf numFmtId="167" fontId="4" fillId="9" borderId="87" xfId="2" applyNumberFormat="1" applyFont="1" applyFill="1" applyBorder="1" applyAlignment="1">
      <alignment horizontal="center" vertical="top"/>
    </xf>
    <xf numFmtId="164" fontId="4" fillId="4" borderId="27" xfId="0" applyNumberFormat="1" applyFont="1" applyFill="1" applyBorder="1" applyAlignment="1">
      <alignment horizontal="center" vertical="top" wrapText="1"/>
    </xf>
    <xf numFmtId="167" fontId="4" fillId="9" borderId="78" xfId="2" applyNumberFormat="1" applyFont="1" applyFill="1" applyBorder="1" applyAlignment="1">
      <alignment horizontal="center" vertical="top" wrapText="1"/>
    </xf>
    <xf numFmtId="167" fontId="4" fillId="9" borderId="31" xfId="2" applyNumberFormat="1" applyFont="1" applyFill="1" applyBorder="1" applyAlignment="1">
      <alignment horizontal="center" vertical="top"/>
    </xf>
    <xf numFmtId="164" fontId="10" fillId="4" borderId="62" xfId="0" applyNumberFormat="1" applyFont="1" applyFill="1" applyBorder="1" applyAlignment="1">
      <alignment horizontal="center" vertical="top" wrapText="1"/>
    </xf>
    <xf numFmtId="3" fontId="4" fillId="4" borderId="65" xfId="0" applyNumberFormat="1" applyFont="1" applyFill="1" applyBorder="1" applyAlignment="1">
      <alignment horizontal="left" vertical="top" wrapText="1"/>
    </xf>
    <xf numFmtId="164" fontId="4" fillId="4" borderId="74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horizontal="center" vertical="top" wrapText="1"/>
    </xf>
    <xf numFmtId="3" fontId="5" fillId="5" borderId="55" xfId="0" applyNumberFormat="1" applyFont="1" applyFill="1" applyBorder="1" applyAlignment="1">
      <alignment horizontal="center" vertical="top" wrapText="1"/>
    </xf>
    <xf numFmtId="49" fontId="4" fillId="4" borderId="8" xfId="2" applyNumberFormat="1" applyFont="1" applyFill="1" applyBorder="1" applyAlignment="1">
      <alignment horizontal="center" vertical="top"/>
    </xf>
    <xf numFmtId="164" fontId="4" fillId="12" borderId="7" xfId="2" applyNumberFormat="1" applyFont="1" applyFill="1" applyBorder="1" applyAlignment="1">
      <alignment horizontal="center" vertical="top"/>
    </xf>
    <xf numFmtId="164" fontId="2" fillId="2" borderId="56" xfId="0" applyNumberFormat="1" applyFont="1" applyFill="1" applyBorder="1" applyAlignment="1">
      <alignment horizontal="center" vertical="top" wrapText="1"/>
    </xf>
    <xf numFmtId="164" fontId="2" fillId="8" borderId="56" xfId="0" applyNumberFormat="1" applyFont="1" applyFill="1" applyBorder="1" applyAlignment="1">
      <alignment horizontal="center" vertical="top" wrapText="1"/>
    </xf>
    <xf numFmtId="164" fontId="2" fillId="7" borderId="56" xfId="0" applyNumberFormat="1" applyFont="1" applyFill="1" applyBorder="1" applyAlignment="1">
      <alignment horizontal="center" vertical="top" wrapText="1"/>
    </xf>
    <xf numFmtId="49" fontId="4" fillId="3" borderId="64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 wrapText="1"/>
    </xf>
    <xf numFmtId="164" fontId="1" fillId="4" borderId="67" xfId="0" applyNumberFormat="1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164" fontId="4" fillId="11" borderId="61" xfId="2" applyNumberFormat="1" applyFont="1" applyFill="1" applyBorder="1" applyAlignment="1">
      <alignment horizontal="center" vertical="top"/>
    </xf>
    <xf numFmtId="164" fontId="4" fillId="12" borderId="59" xfId="2" applyNumberFormat="1" applyFont="1" applyFill="1" applyBorder="1" applyAlignment="1">
      <alignment horizontal="center" vertical="top"/>
    </xf>
    <xf numFmtId="164" fontId="4" fillId="12" borderId="18" xfId="2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 wrapText="1"/>
    </xf>
    <xf numFmtId="3" fontId="5" fillId="0" borderId="64" xfId="0" applyNumberFormat="1" applyFont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164" fontId="4" fillId="4" borderId="34" xfId="0" applyNumberFormat="1" applyFont="1" applyFill="1" applyBorder="1" applyAlignment="1">
      <alignment horizontal="center" vertical="top" wrapText="1"/>
    </xf>
    <xf numFmtId="3" fontId="2" fillId="0" borderId="77" xfId="0" applyNumberFormat="1" applyFont="1" applyFill="1" applyBorder="1" applyAlignment="1">
      <alignment horizontal="center" vertical="top" textRotation="90" wrapText="1"/>
    </xf>
    <xf numFmtId="3" fontId="2" fillId="0" borderId="75" xfId="0" applyNumberFormat="1" applyFont="1" applyFill="1" applyBorder="1" applyAlignment="1">
      <alignment horizontal="center" vertical="top" textRotation="90" wrapText="1"/>
    </xf>
    <xf numFmtId="3" fontId="2" fillId="0" borderId="67" xfId="0" applyNumberFormat="1" applyFont="1" applyFill="1" applyBorder="1" applyAlignment="1">
      <alignment horizontal="center" vertical="top" textRotation="90" wrapText="1"/>
    </xf>
    <xf numFmtId="49" fontId="2" fillId="3" borderId="32" xfId="0" applyNumberFormat="1" applyFont="1" applyFill="1" applyBorder="1" applyAlignment="1">
      <alignment horizontal="center" vertical="top"/>
    </xf>
    <xf numFmtId="3" fontId="4" fillId="4" borderId="31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 wrapText="1"/>
    </xf>
    <xf numFmtId="3" fontId="5" fillId="0" borderId="67" xfId="0" applyNumberFormat="1" applyFont="1" applyFill="1" applyBorder="1" applyAlignment="1">
      <alignment horizontal="center" vertical="top" textRotation="180" wrapText="1"/>
    </xf>
    <xf numFmtId="3" fontId="5" fillId="0" borderId="67" xfId="0" applyNumberFormat="1" applyFont="1" applyFill="1" applyBorder="1" applyAlignment="1">
      <alignment horizontal="center" vertical="top" textRotation="90" wrapText="1"/>
    </xf>
    <xf numFmtId="164" fontId="1" fillId="0" borderId="16" xfId="0" applyNumberFormat="1" applyFont="1" applyFill="1" applyBorder="1" applyAlignment="1">
      <alignment horizontal="center" vertical="top" wrapText="1"/>
    </xf>
    <xf numFmtId="164" fontId="5" fillId="5" borderId="4" xfId="0" applyNumberFormat="1" applyFont="1" applyFill="1" applyBorder="1" applyAlignment="1">
      <alignment horizontal="center"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164" fontId="2" fillId="5" borderId="50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5" fillId="5" borderId="50" xfId="0" applyNumberFormat="1" applyFont="1" applyFill="1" applyBorder="1" applyAlignment="1">
      <alignment horizontal="center" vertical="top" wrapText="1"/>
    </xf>
    <xf numFmtId="164" fontId="2" fillId="2" borderId="69" xfId="0" applyNumberFormat="1" applyFont="1" applyFill="1" applyBorder="1" applyAlignment="1">
      <alignment horizontal="center" vertical="top" wrapText="1"/>
    </xf>
    <xf numFmtId="165" fontId="2" fillId="5" borderId="62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Fill="1" applyBorder="1" applyAlignment="1">
      <alignment horizontal="center" vertical="top" wrapText="1"/>
    </xf>
    <xf numFmtId="164" fontId="4" fillId="0" borderId="59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164" fontId="4" fillId="0" borderId="52" xfId="0" applyNumberFormat="1" applyFont="1" applyBorder="1" applyAlignment="1">
      <alignment horizontal="center" vertical="top" wrapText="1"/>
    </xf>
    <xf numFmtId="164" fontId="1" fillId="4" borderId="58" xfId="0" applyNumberFormat="1" applyFont="1" applyFill="1" applyBorder="1" applyAlignment="1">
      <alignment horizontal="center" vertical="top" wrapText="1"/>
    </xf>
    <xf numFmtId="164" fontId="2" fillId="8" borderId="72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164" fontId="4" fillId="12" borderId="28" xfId="2" applyNumberFormat="1" applyFont="1" applyFill="1" applyBorder="1" applyAlignment="1">
      <alignment horizontal="center" vertical="top"/>
    </xf>
    <xf numFmtId="164" fontId="4" fillId="12" borderId="15" xfId="2" applyNumberFormat="1" applyFont="1" applyFill="1" applyBorder="1" applyAlignment="1">
      <alignment horizontal="center" vertical="top"/>
    </xf>
    <xf numFmtId="164" fontId="4" fillId="12" borderId="17" xfId="2" applyNumberFormat="1" applyFont="1" applyFill="1" applyBorder="1" applyAlignment="1">
      <alignment horizontal="center" vertical="top"/>
    </xf>
    <xf numFmtId="164" fontId="4" fillId="12" borderId="61" xfId="2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66" xfId="0" applyNumberFormat="1" applyFont="1" applyFill="1" applyBorder="1" applyAlignment="1">
      <alignment horizontal="center" vertical="top" wrapText="1"/>
    </xf>
    <xf numFmtId="165" fontId="2" fillId="5" borderId="15" xfId="0" applyNumberFormat="1" applyFont="1" applyFill="1" applyBorder="1" applyAlignment="1">
      <alignment horizontal="center" vertical="top" wrapText="1"/>
    </xf>
    <xf numFmtId="164" fontId="5" fillId="7" borderId="56" xfId="0" applyNumberFormat="1" applyFont="1" applyFill="1" applyBorder="1" applyAlignment="1">
      <alignment horizontal="center" vertical="top" wrapText="1"/>
    </xf>
    <xf numFmtId="164" fontId="4" fillId="5" borderId="66" xfId="0" applyNumberFormat="1" applyFont="1" applyFill="1" applyBorder="1" applyAlignment="1">
      <alignment horizontal="center" vertical="top" wrapText="1"/>
    </xf>
    <xf numFmtId="164" fontId="4" fillId="5" borderId="65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164" fontId="4" fillId="4" borderId="62" xfId="0" applyNumberFormat="1" applyFont="1" applyFill="1" applyBorder="1" applyAlignment="1">
      <alignment horizontal="center" vertical="top"/>
    </xf>
    <xf numFmtId="3" fontId="2" fillId="0" borderId="63" xfId="0" applyNumberFormat="1" applyFont="1" applyFill="1" applyBorder="1" applyAlignment="1">
      <alignment horizontal="center" vertical="top" textRotation="90" wrapText="1"/>
    </xf>
    <xf numFmtId="49" fontId="2" fillId="3" borderId="0" xfId="0" applyNumberFormat="1" applyFont="1" applyFill="1" applyBorder="1" applyAlignment="1">
      <alignment horizontal="center" vertical="top"/>
    </xf>
    <xf numFmtId="3" fontId="1" fillId="4" borderId="2" xfId="0" applyNumberFormat="1" applyFont="1" applyFill="1" applyBorder="1" applyAlignment="1">
      <alignment vertical="top" wrapText="1"/>
    </xf>
    <xf numFmtId="3" fontId="10" fillId="4" borderId="8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164" fontId="1" fillId="4" borderId="76" xfId="0" applyNumberFormat="1" applyFont="1" applyFill="1" applyBorder="1" applyAlignment="1">
      <alignment horizontal="center" vertical="top" wrapText="1"/>
    </xf>
    <xf numFmtId="164" fontId="4" fillId="12" borderId="40" xfId="2" applyNumberFormat="1" applyFont="1" applyFill="1" applyBorder="1" applyAlignment="1">
      <alignment horizontal="center" vertical="top"/>
    </xf>
    <xf numFmtId="164" fontId="4" fillId="4" borderId="36" xfId="0" applyNumberFormat="1" applyFont="1" applyFill="1" applyBorder="1" applyAlignment="1">
      <alignment horizontal="center" vertical="top"/>
    </xf>
    <xf numFmtId="3" fontId="4" fillId="4" borderId="66" xfId="0" applyNumberFormat="1" applyFont="1" applyFill="1" applyBorder="1" applyAlignment="1">
      <alignment vertical="top" wrapText="1"/>
    </xf>
    <xf numFmtId="3" fontId="1" fillId="4" borderId="6" xfId="0" applyNumberFormat="1" applyFont="1" applyFill="1" applyBorder="1" applyAlignment="1">
      <alignment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1" fillId="4" borderId="34" xfId="0" applyNumberFormat="1" applyFont="1" applyFill="1" applyBorder="1" applyAlignment="1">
      <alignment vertical="top" wrapText="1"/>
    </xf>
    <xf numFmtId="3" fontId="1" fillId="4" borderId="3" xfId="0" applyNumberFormat="1" applyFont="1" applyFill="1" applyBorder="1" applyAlignment="1">
      <alignment vertical="top" wrapText="1"/>
    </xf>
    <xf numFmtId="3" fontId="1" fillId="4" borderId="43" xfId="0" applyNumberFormat="1" applyFont="1" applyFill="1" applyBorder="1" applyAlignment="1">
      <alignment vertical="top" wrapText="1"/>
    </xf>
    <xf numFmtId="164" fontId="4" fillId="12" borderId="66" xfId="2" applyNumberFormat="1" applyFont="1" applyFill="1" applyBorder="1" applyAlignment="1">
      <alignment horizontal="center" vertical="top"/>
    </xf>
    <xf numFmtId="164" fontId="4" fillId="4" borderId="35" xfId="0" applyNumberFormat="1" applyFont="1" applyFill="1" applyBorder="1" applyAlignment="1">
      <alignment horizontal="center" vertical="top"/>
    </xf>
    <xf numFmtId="164" fontId="4" fillId="11" borderId="65" xfId="2" applyNumberFormat="1" applyFont="1" applyFill="1" applyBorder="1" applyAlignment="1">
      <alignment horizontal="center" vertical="top"/>
    </xf>
    <xf numFmtId="3" fontId="4" fillId="4" borderId="27" xfId="0" applyNumberFormat="1" applyFont="1" applyFill="1" applyBorder="1" applyAlignment="1">
      <alignment vertical="top" wrapText="1"/>
    </xf>
    <xf numFmtId="3" fontId="4" fillId="4" borderId="34" xfId="0" applyNumberFormat="1" applyFont="1" applyFill="1" applyBorder="1" applyAlignment="1">
      <alignment vertical="top" wrapText="1"/>
    </xf>
    <xf numFmtId="164" fontId="4" fillId="12" borderId="37" xfId="2" applyNumberFormat="1" applyFont="1" applyFill="1" applyBorder="1" applyAlignment="1">
      <alignment horizontal="center" vertical="top"/>
    </xf>
    <xf numFmtId="165" fontId="2" fillId="7" borderId="30" xfId="0" applyNumberFormat="1" applyFont="1" applyFill="1" applyBorder="1" applyAlignment="1">
      <alignment horizontal="center" vertical="top" wrapText="1"/>
    </xf>
    <xf numFmtId="164" fontId="4" fillId="0" borderId="52" xfId="0" applyNumberFormat="1" applyFont="1" applyFill="1" applyBorder="1" applyAlignment="1">
      <alignment horizontal="center" vertical="top" wrapText="1"/>
    </xf>
    <xf numFmtId="164" fontId="4" fillId="5" borderId="52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3" fontId="4" fillId="4" borderId="24" xfId="0" applyNumberFormat="1" applyFont="1" applyFill="1" applyBorder="1" applyAlignment="1">
      <alignment horizontal="center" vertical="top" wrapText="1"/>
    </xf>
    <xf numFmtId="3" fontId="12" fillId="4" borderId="52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1" fillId="0" borderId="71" xfId="0" applyNumberFormat="1" applyFont="1" applyBorder="1" applyAlignment="1">
      <alignment horizontal="center" vertical="top" wrapText="1"/>
    </xf>
    <xf numFmtId="164" fontId="4" fillId="4" borderId="8" xfId="0" applyNumberFormat="1" applyFont="1" applyFill="1" applyBorder="1" applyAlignment="1">
      <alignment horizontal="center" vertical="top" wrapText="1"/>
    </xf>
    <xf numFmtId="164" fontId="4" fillId="4" borderId="6" xfId="0" applyNumberFormat="1" applyFont="1" applyFill="1" applyBorder="1" applyAlignment="1">
      <alignment horizontal="center" vertical="top" wrapText="1"/>
    </xf>
    <xf numFmtId="164" fontId="4" fillId="4" borderId="66" xfId="0" applyNumberFormat="1" applyFont="1" applyFill="1" applyBorder="1" applyAlignment="1">
      <alignment horizontal="center" vertical="center" wrapText="1"/>
    </xf>
    <xf numFmtId="3" fontId="4" fillId="4" borderId="58" xfId="0" applyNumberFormat="1" applyFont="1" applyFill="1" applyBorder="1" applyAlignment="1">
      <alignment vertical="top" wrapText="1"/>
    </xf>
    <xf numFmtId="3" fontId="4" fillId="4" borderId="43" xfId="0" applyNumberFormat="1" applyFont="1" applyFill="1" applyBorder="1" applyAlignment="1">
      <alignment vertical="top" wrapText="1"/>
    </xf>
    <xf numFmtId="164" fontId="4" fillId="4" borderId="3" xfId="0" applyNumberFormat="1" applyFont="1" applyFill="1" applyBorder="1" applyAlignment="1">
      <alignment horizontal="center" vertical="top"/>
    </xf>
    <xf numFmtId="164" fontId="4" fillId="4" borderId="43" xfId="0" applyNumberFormat="1" applyFont="1" applyFill="1" applyBorder="1" applyAlignment="1">
      <alignment horizontal="center" vertical="top" wrapText="1"/>
    </xf>
    <xf numFmtId="3" fontId="4" fillId="4" borderId="45" xfId="0" applyNumberFormat="1" applyFont="1" applyFill="1" applyBorder="1" applyAlignment="1">
      <alignment vertical="top" wrapText="1"/>
    </xf>
    <xf numFmtId="164" fontId="4" fillId="4" borderId="62" xfId="0" applyNumberFormat="1" applyFont="1" applyFill="1" applyBorder="1" applyAlignment="1">
      <alignment horizontal="center" vertical="center"/>
    </xf>
    <xf numFmtId="164" fontId="1" fillId="4" borderId="58" xfId="0" applyNumberFormat="1" applyFont="1" applyFill="1" applyBorder="1" applyAlignment="1">
      <alignment horizontal="center" vertical="top"/>
    </xf>
    <xf numFmtId="4" fontId="4" fillId="4" borderId="61" xfId="0" applyNumberFormat="1" applyFont="1" applyFill="1" applyBorder="1" applyAlignment="1">
      <alignment horizontal="center" vertical="top" wrapText="1"/>
    </xf>
    <xf numFmtId="4" fontId="4" fillId="4" borderId="33" xfId="0" applyNumberFormat="1" applyFont="1" applyFill="1" applyBorder="1" applyAlignment="1">
      <alignment horizontal="center" vertical="top" wrapText="1"/>
    </xf>
    <xf numFmtId="4" fontId="4" fillId="4" borderId="39" xfId="0" applyNumberFormat="1" applyFont="1" applyFill="1" applyBorder="1" applyAlignment="1">
      <alignment horizontal="center" vertical="top" wrapText="1"/>
    </xf>
    <xf numFmtId="164" fontId="4" fillId="4" borderId="57" xfId="0" applyNumberFormat="1" applyFont="1" applyFill="1" applyBorder="1" applyAlignment="1">
      <alignment horizontal="center" vertical="top"/>
    </xf>
    <xf numFmtId="164" fontId="4" fillId="4" borderId="34" xfId="0" applyNumberFormat="1" applyFont="1" applyFill="1" applyBorder="1" applyAlignment="1">
      <alignment horizontal="center" vertical="top"/>
    </xf>
    <xf numFmtId="3" fontId="4" fillId="4" borderId="58" xfId="0" applyNumberFormat="1" applyFont="1" applyFill="1" applyBorder="1" applyAlignment="1">
      <alignment horizontal="left" vertical="top" wrapText="1"/>
    </xf>
    <xf numFmtId="3" fontId="4" fillId="4" borderId="57" xfId="0" applyNumberFormat="1" applyFont="1" applyFill="1" applyBorder="1" applyAlignment="1">
      <alignment vertical="top" wrapText="1"/>
    </xf>
    <xf numFmtId="3" fontId="1" fillId="4" borderId="27" xfId="0" applyNumberFormat="1" applyFont="1" applyFill="1" applyBorder="1" applyAlignment="1">
      <alignment vertical="top" wrapText="1"/>
    </xf>
    <xf numFmtId="3" fontId="1" fillId="4" borderId="28" xfId="0" applyNumberFormat="1" applyFont="1" applyFill="1" applyBorder="1" applyAlignment="1">
      <alignment vertical="top" wrapText="1"/>
    </xf>
    <xf numFmtId="3" fontId="4" fillId="4" borderId="3" xfId="0" applyNumberFormat="1" applyFont="1" applyFill="1" applyBorder="1" applyAlignment="1">
      <alignment vertical="top" wrapText="1"/>
    </xf>
    <xf numFmtId="3" fontId="1" fillId="4" borderId="58" xfId="0" applyNumberFormat="1" applyFont="1" applyFill="1" applyBorder="1" applyAlignment="1">
      <alignment vertical="top" wrapText="1"/>
    </xf>
    <xf numFmtId="3" fontId="4" fillId="4" borderId="55" xfId="0" applyNumberFormat="1" applyFont="1" applyFill="1" applyBorder="1" applyAlignment="1">
      <alignment horizontal="center" vertical="top" wrapText="1"/>
    </xf>
    <xf numFmtId="3" fontId="14" fillId="4" borderId="8" xfId="0" applyNumberFormat="1" applyFont="1" applyFill="1" applyBorder="1" applyAlignment="1">
      <alignment horizontal="center" vertical="top" wrapText="1"/>
    </xf>
    <xf numFmtId="4" fontId="4" fillId="4" borderId="6" xfId="0" applyNumberFormat="1" applyFont="1" applyFill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center" vertical="top" wrapText="1"/>
    </xf>
    <xf numFmtId="3" fontId="1" fillId="4" borderId="55" xfId="0" applyNumberFormat="1" applyFont="1" applyFill="1" applyBorder="1" applyAlignment="1">
      <alignment horizontal="center" vertical="top" wrapText="1"/>
    </xf>
    <xf numFmtId="0" fontId="12" fillId="4" borderId="49" xfId="0" applyFont="1" applyFill="1" applyBorder="1" applyAlignment="1">
      <alignment horizontal="center" vertical="top" wrapText="1"/>
    </xf>
    <xf numFmtId="3" fontId="12" fillId="4" borderId="2" xfId="0" applyNumberFormat="1" applyFont="1" applyFill="1" applyBorder="1" applyAlignment="1">
      <alignment horizontal="center" vertical="top" wrapText="1"/>
    </xf>
    <xf numFmtId="164" fontId="4" fillId="12" borderId="36" xfId="2" applyNumberFormat="1" applyFont="1" applyFill="1" applyBorder="1" applyAlignment="1">
      <alignment horizontal="center" vertical="top"/>
    </xf>
    <xf numFmtId="164" fontId="4" fillId="12" borderId="52" xfId="2" applyNumberFormat="1" applyFont="1" applyFill="1" applyBorder="1" applyAlignment="1">
      <alignment horizontal="center" vertical="top"/>
    </xf>
    <xf numFmtId="164" fontId="4" fillId="12" borderId="65" xfId="2" applyNumberFormat="1" applyFont="1" applyFill="1" applyBorder="1" applyAlignment="1">
      <alignment horizontal="center" vertical="top"/>
    </xf>
    <xf numFmtId="167" fontId="4" fillId="9" borderId="79" xfId="2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164" fontId="4" fillId="12" borderId="63" xfId="2" applyNumberFormat="1" applyFont="1" applyFill="1" applyBorder="1" applyAlignment="1">
      <alignment horizontal="center" vertical="top"/>
    </xf>
    <xf numFmtId="167" fontId="4" fillId="9" borderId="91" xfId="2" applyNumberFormat="1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4" borderId="57" xfId="0" applyNumberFormat="1" applyFont="1" applyFill="1" applyBorder="1" applyAlignment="1">
      <alignment horizontal="center" vertical="top" wrapText="1"/>
    </xf>
    <xf numFmtId="164" fontId="4" fillId="4" borderId="70" xfId="0" applyNumberFormat="1" applyFont="1" applyFill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 wrapText="1"/>
    </xf>
    <xf numFmtId="167" fontId="4" fillId="9" borderId="57" xfId="2" applyNumberFormat="1" applyFont="1" applyFill="1" applyBorder="1" applyAlignment="1">
      <alignment horizontal="center" vertical="top" wrapText="1"/>
    </xf>
    <xf numFmtId="167" fontId="4" fillId="9" borderId="0" xfId="2" applyNumberFormat="1" applyFont="1" applyFill="1" applyBorder="1" applyAlignment="1">
      <alignment horizontal="center" vertical="top" wrapText="1"/>
    </xf>
    <xf numFmtId="3" fontId="4" fillId="4" borderId="0" xfId="2" applyNumberFormat="1" applyFont="1" applyFill="1" applyBorder="1" applyAlignment="1">
      <alignment horizontal="center" vertical="top"/>
    </xf>
    <xf numFmtId="167" fontId="4" fillId="9" borderId="85" xfId="2" applyNumberFormat="1" applyFont="1" applyFill="1" applyBorder="1" applyAlignment="1">
      <alignment horizontal="center" vertical="top" wrapText="1"/>
    </xf>
    <xf numFmtId="3" fontId="1" fillId="4" borderId="34" xfId="0" applyNumberFormat="1" applyFont="1" applyFill="1" applyBorder="1" applyAlignment="1">
      <alignment horizontal="center" vertical="top" wrapText="1"/>
    </xf>
    <xf numFmtId="164" fontId="4" fillId="4" borderId="34" xfId="2" applyNumberFormat="1" applyFont="1" applyFill="1" applyBorder="1" applyAlignment="1"/>
    <xf numFmtId="3" fontId="4" fillId="11" borderId="27" xfId="2" applyNumberFormat="1" applyFont="1" applyFill="1" applyBorder="1" applyAlignment="1">
      <alignment horizontal="center" vertical="top"/>
    </xf>
    <xf numFmtId="167" fontId="4" fillId="9" borderId="84" xfId="2" applyNumberFormat="1" applyFont="1" applyFill="1" applyBorder="1" applyAlignment="1">
      <alignment horizontal="center" vertical="top" wrapText="1"/>
    </xf>
    <xf numFmtId="167" fontId="4" fillId="9" borderId="60" xfId="2" applyNumberFormat="1" applyFont="1" applyFill="1" applyBorder="1" applyAlignment="1">
      <alignment horizontal="center" vertical="top" wrapText="1"/>
    </xf>
    <xf numFmtId="167" fontId="4" fillId="9" borderId="31" xfId="2" applyNumberFormat="1" applyFont="1" applyFill="1" applyBorder="1" applyAlignment="1">
      <alignment horizontal="center" vertical="top" wrapText="1"/>
    </xf>
    <xf numFmtId="167" fontId="4" fillId="11" borderId="31" xfId="2" applyNumberFormat="1" applyFont="1" applyFill="1" applyBorder="1" applyAlignment="1">
      <alignment horizontal="center" vertical="top"/>
    </xf>
    <xf numFmtId="167" fontId="4" fillId="9" borderId="52" xfId="2" applyNumberFormat="1" applyFont="1" applyFill="1" applyBorder="1" applyAlignment="1">
      <alignment horizontal="center" vertical="top"/>
    </xf>
    <xf numFmtId="167" fontId="4" fillId="9" borderId="39" xfId="2" applyNumberFormat="1" applyFont="1" applyFill="1" applyBorder="1" applyAlignment="1">
      <alignment horizontal="center" vertical="top"/>
    </xf>
    <xf numFmtId="167" fontId="4" fillId="9" borderId="39" xfId="2" applyNumberFormat="1" applyFont="1" applyFill="1" applyBorder="1" applyAlignment="1">
      <alignment horizontal="center" vertical="top" wrapText="1"/>
    </xf>
    <xf numFmtId="3" fontId="1" fillId="0" borderId="77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 wrapText="1"/>
    </xf>
    <xf numFmtId="167" fontId="4" fillId="9" borderId="88" xfId="2" applyNumberFormat="1" applyFont="1" applyFill="1" applyBorder="1" applyAlignment="1">
      <alignment horizontal="center" vertical="top" wrapText="1"/>
    </xf>
    <xf numFmtId="3" fontId="1" fillId="4" borderId="75" xfId="0" applyNumberFormat="1" applyFont="1" applyFill="1" applyBorder="1" applyAlignment="1">
      <alignment horizontal="center" vertical="top" wrapText="1"/>
    </xf>
    <xf numFmtId="167" fontId="4" fillId="9" borderId="79" xfId="2" applyNumberFormat="1" applyFont="1" applyFill="1" applyBorder="1" applyAlignment="1">
      <alignment horizontal="center" vertical="top"/>
    </xf>
    <xf numFmtId="3" fontId="1" fillId="4" borderId="70" xfId="0" applyNumberFormat="1" applyFont="1" applyFill="1" applyBorder="1" applyAlignment="1">
      <alignment horizontal="center" vertical="top" wrapText="1"/>
    </xf>
    <xf numFmtId="167" fontId="4" fillId="11" borderId="79" xfId="2" applyNumberFormat="1" applyFont="1" applyFill="1" applyBorder="1" applyAlignment="1">
      <alignment horizontal="center" vertical="top"/>
    </xf>
    <xf numFmtId="167" fontId="4" fillId="11" borderId="88" xfId="2" applyNumberFormat="1" applyFont="1" applyFill="1" applyBorder="1" applyAlignment="1">
      <alignment horizontal="center" vertical="top"/>
    </xf>
    <xf numFmtId="167" fontId="4" fillId="9" borderId="81" xfId="2" applyNumberFormat="1" applyFont="1" applyFill="1" applyBorder="1" applyAlignment="1">
      <alignment horizontal="center" vertical="top"/>
    </xf>
    <xf numFmtId="167" fontId="4" fillId="9" borderId="83" xfId="2" applyNumberFormat="1" applyFont="1" applyFill="1" applyBorder="1" applyAlignment="1">
      <alignment horizontal="center" vertical="top"/>
    </xf>
    <xf numFmtId="3" fontId="1" fillId="4" borderId="63" xfId="0" applyNumberFormat="1" applyFont="1" applyFill="1" applyBorder="1" applyAlignment="1">
      <alignment horizontal="center" vertical="top" wrapText="1"/>
    </xf>
    <xf numFmtId="167" fontId="4" fillId="9" borderId="83" xfId="2" applyNumberFormat="1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top"/>
    </xf>
    <xf numFmtId="167" fontId="4" fillId="9" borderId="8" xfId="2" applyNumberFormat="1" applyFont="1" applyFill="1" applyBorder="1" applyAlignment="1">
      <alignment horizontal="center" vertical="top"/>
    </xf>
    <xf numFmtId="167" fontId="4" fillId="11" borderId="8" xfId="2" applyNumberFormat="1" applyFont="1" applyFill="1" applyBorder="1" applyAlignment="1">
      <alignment horizontal="center" vertical="top"/>
    </xf>
    <xf numFmtId="167" fontId="4" fillId="11" borderId="5" xfId="2" applyNumberFormat="1" applyFont="1" applyFill="1" applyBorder="1" applyAlignment="1">
      <alignment horizontal="center" vertical="top"/>
    </xf>
    <xf numFmtId="167" fontId="4" fillId="9" borderId="2" xfId="2" applyNumberFormat="1" applyFont="1" applyFill="1" applyBorder="1" applyAlignment="1">
      <alignment horizontal="center" vertical="top"/>
    </xf>
    <xf numFmtId="167" fontId="4" fillId="9" borderId="6" xfId="2" applyNumberFormat="1" applyFont="1" applyFill="1" applyBorder="1" applyAlignment="1">
      <alignment horizontal="center" vertical="top"/>
    </xf>
    <xf numFmtId="167" fontId="4" fillId="9" borderId="91" xfId="2" applyNumberFormat="1" applyFont="1" applyFill="1" applyBorder="1" applyAlignment="1">
      <alignment horizontal="center" vertical="top"/>
    </xf>
    <xf numFmtId="167" fontId="4" fillId="9" borderId="91" xfId="2" applyNumberFormat="1" applyFont="1" applyFill="1" applyBorder="1" applyAlignment="1">
      <alignment horizontal="center" vertical="top" wrapText="1"/>
    </xf>
    <xf numFmtId="167" fontId="4" fillId="9" borderId="5" xfId="2" applyNumberFormat="1" applyFont="1" applyFill="1" applyBorder="1" applyAlignment="1">
      <alignment horizontal="center" vertical="top"/>
    </xf>
    <xf numFmtId="167" fontId="4" fillId="9" borderId="49" xfId="2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 wrapText="1"/>
    </xf>
    <xf numFmtId="3" fontId="1" fillId="4" borderId="27" xfId="0" applyNumberFormat="1" applyFont="1" applyFill="1" applyBorder="1" applyAlignment="1">
      <alignment horizontal="center" vertical="top"/>
    </xf>
    <xf numFmtId="3" fontId="4" fillId="4" borderId="76" xfId="0" applyNumberFormat="1" applyFont="1" applyFill="1" applyBorder="1" applyAlignment="1">
      <alignment horizontal="center" vertical="top"/>
    </xf>
    <xf numFmtId="3" fontId="1" fillId="0" borderId="34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center" textRotation="90" wrapText="1"/>
    </xf>
    <xf numFmtId="3" fontId="4" fillId="0" borderId="55" xfId="0" applyNumberFormat="1" applyFont="1" applyBorder="1" applyAlignment="1">
      <alignment horizontal="center" vertical="center" textRotation="90" wrapText="1"/>
    </xf>
    <xf numFmtId="3" fontId="4" fillId="4" borderId="70" xfId="0" applyNumberFormat="1" applyFont="1" applyFill="1" applyBorder="1" applyAlignment="1">
      <alignment horizontal="center" vertical="top"/>
    </xf>
    <xf numFmtId="3" fontId="4" fillId="4" borderId="27" xfId="0" applyNumberFormat="1" applyFont="1" applyFill="1" applyBorder="1" applyAlignment="1">
      <alignment horizontal="center" vertical="top"/>
    </xf>
    <xf numFmtId="3" fontId="4" fillId="4" borderId="39" xfId="0" applyNumberFormat="1" applyFont="1" applyFill="1" applyBorder="1" applyAlignment="1">
      <alignment horizontal="center" vertical="top"/>
    </xf>
    <xf numFmtId="164" fontId="4" fillId="4" borderId="99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wrapText="1"/>
    </xf>
    <xf numFmtId="3" fontId="1" fillId="4" borderId="49" xfId="0" applyNumberFormat="1" applyFont="1" applyFill="1" applyBorder="1" applyAlignment="1">
      <alignment vertical="top" wrapText="1"/>
    </xf>
    <xf numFmtId="164" fontId="2" fillId="5" borderId="55" xfId="0" applyNumberFormat="1" applyFont="1" applyFill="1" applyBorder="1" applyAlignment="1">
      <alignment horizontal="center" vertical="top" wrapText="1"/>
    </xf>
    <xf numFmtId="164" fontId="4" fillId="4" borderId="76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 wrapText="1"/>
    </xf>
    <xf numFmtId="3" fontId="2" fillId="5" borderId="55" xfId="0" applyNumberFormat="1" applyFont="1" applyFill="1" applyBorder="1" applyAlignment="1">
      <alignment horizontal="center" vertical="top" wrapText="1"/>
    </xf>
    <xf numFmtId="167" fontId="4" fillId="9" borderId="60" xfId="2" applyNumberFormat="1" applyFont="1" applyFill="1" applyBorder="1" applyAlignment="1">
      <alignment horizontal="center" vertical="top"/>
    </xf>
    <xf numFmtId="164" fontId="4" fillId="4" borderId="45" xfId="0" applyNumberFormat="1" applyFont="1" applyFill="1" applyBorder="1" applyAlignment="1">
      <alignment horizontal="center" vertical="top" wrapText="1"/>
    </xf>
    <xf numFmtId="3" fontId="1" fillId="4" borderId="59" xfId="0" applyNumberFormat="1" applyFont="1" applyFill="1" applyBorder="1" applyAlignment="1">
      <alignment vertical="top" wrapText="1"/>
    </xf>
    <xf numFmtId="3" fontId="2" fillId="5" borderId="65" xfId="0" applyNumberFormat="1" applyFont="1" applyFill="1" applyBorder="1" applyAlignment="1">
      <alignment horizontal="center" vertical="top" wrapText="1"/>
    </xf>
    <xf numFmtId="164" fontId="2" fillId="5" borderId="65" xfId="0" applyNumberFormat="1" applyFont="1" applyFill="1" applyBorder="1" applyAlignment="1">
      <alignment horizontal="center" vertical="top" wrapText="1"/>
    </xf>
    <xf numFmtId="164" fontId="2" fillId="5" borderId="66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/>
    </xf>
    <xf numFmtId="3" fontId="4" fillId="4" borderId="60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horizontal="center" vertical="top"/>
    </xf>
    <xf numFmtId="164" fontId="1" fillId="0" borderId="65" xfId="0" applyNumberFormat="1" applyFont="1" applyFill="1" applyBorder="1" applyAlignment="1">
      <alignment horizontal="center" vertical="top" wrapText="1"/>
    </xf>
    <xf numFmtId="168" fontId="4" fillId="9" borderId="8" xfId="2" applyNumberFormat="1" applyFont="1" applyFill="1" applyBorder="1" applyAlignment="1">
      <alignment vertical="top" wrapText="1"/>
    </xf>
    <xf numFmtId="0" fontId="4" fillId="0" borderId="61" xfId="0" applyFont="1" applyFill="1" applyBorder="1" applyAlignment="1">
      <alignment horizontal="center" vertical="top" wrapText="1"/>
    </xf>
    <xf numFmtId="3" fontId="4" fillId="4" borderId="23" xfId="0" applyNumberFormat="1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center" vertical="top" wrapText="1"/>
    </xf>
    <xf numFmtId="3" fontId="1" fillId="0" borderId="64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 vertical="top" wrapText="1"/>
    </xf>
    <xf numFmtId="0" fontId="1" fillId="4" borderId="60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vertical="top" wrapText="1"/>
    </xf>
    <xf numFmtId="164" fontId="4" fillId="4" borderId="23" xfId="0" applyNumberFormat="1" applyFont="1" applyFill="1" applyBorder="1" applyAlignment="1">
      <alignment horizontal="center" vertical="top"/>
    </xf>
    <xf numFmtId="3" fontId="2" fillId="4" borderId="77" xfId="0" applyNumberFormat="1" applyFont="1" applyFill="1" applyBorder="1" applyAlignment="1">
      <alignment horizontal="center" vertical="top" textRotation="90" wrapText="1"/>
    </xf>
    <xf numFmtId="3" fontId="1" fillId="0" borderId="54" xfId="0" applyNumberFormat="1" applyFont="1" applyBorder="1" applyAlignment="1">
      <alignment vertical="top"/>
    </xf>
    <xf numFmtId="49" fontId="4" fillId="3" borderId="32" xfId="0" applyNumberFormat="1" applyFont="1" applyFill="1" applyBorder="1" applyAlignment="1">
      <alignment vertical="top" wrapText="1"/>
    </xf>
    <xf numFmtId="3" fontId="2" fillId="5" borderId="27" xfId="0" applyNumberFormat="1" applyFont="1" applyFill="1" applyBorder="1" applyAlignment="1">
      <alignment horizontal="center" vertical="top" wrapText="1"/>
    </xf>
    <xf numFmtId="3" fontId="2" fillId="5" borderId="45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2" fillId="2" borderId="56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vertical="top"/>
    </xf>
    <xf numFmtId="3" fontId="1" fillId="0" borderId="74" xfId="0" applyNumberFormat="1" applyFont="1" applyBorder="1" applyAlignment="1">
      <alignment vertical="top"/>
    </xf>
    <xf numFmtId="3" fontId="1" fillId="0" borderId="34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vertical="top"/>
    </xf>
    <xf numFmtId="3" fontId="4" fillId="0" borderId="61" xfId="0" applyNumberFormat="1" applyFont="1" applyFill="1" applyBorder="1" applyAlignment="1">
      <alignment vertical="top" wrapText="1"/>
    </xf>
    <xf numFmtId="3" fontId="4" fillId="0" borderId="59" xfId="0" applyNumberFormat="1" applyFont="1" applyFill="1" applyBorder="1" applyAlignment="1">
      <alignment vertical="top" wrapText="1"/>
    </xf>
    <xf numFmtId="164" fontId="2" fillId="2" borderId="49" xfId="0" applyNumberFormat="1" applyFont="1" applyFill="1" applyBorder="1" applyAlignment="1">
      <alignment horizontal="center" vertical="top" wrapText="1"/>
    </xf>
    <xf numFmtId="49" fontId="4" fillId="4" borderId="66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0" fontId="12" fillId="4" borderId="39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4" borderId="9" xfId="0" applyNumberFormat="1" applyFont="1" applyFill="1" applyBorder="1" applyAlignment="1">
      <alignment horizontal="center" vertical="top"/>
    </xf>
    <xf numFmtId="164" fontId="4" fillId="4" borderId="10" xfId="0" applyNumberFormat="1" applyFont="1" applyFill="1" applyBorder="1" applyAlignment="1">
      <alignment horizontal="center" vertical="top" wrapText="1"/>
    </xf>
    <xf numFmtId="3" fontId="4" fillId="4" borderId="72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3" fontId="4" fillId="4" borderId="31" xfId="0" applyNumberFormat="1" applyFont="1" applyFill="1" applyBorder="1" applyAlignment="1">
      <alignment horizontal="center" vertical="top" wrapText="1"/>
    </xf>
    <xf numFmtId="49" fontId="5" fillId="8" borderId="56" xfId="0" applyNumberFormat="1" applyFont="1" applyFill="1" applyBorder="1" applyAlignment="1">
      <alignment vertical="top" wrapText="1"/>
    </xf>
    <xf numFmtId="3" fontId="5" fillId="4" borderId="13" xfId="0" applyNumberFormat="1" applyFont="1" applyFill="1" applyBorder="1" applyAlignment="1">
      <alignment vertical="top" wrapText="1"/>
    </xf>
    <xf numFmtId="49" fontId="2" fillId="3" borderId="68" xfId="0" applyNumberFormat="1" applyFont="1" applyFill="1" applyBorder="1" applyAlignment="1">
      <alignment vertical="top"/>
    </xf>
    <xf numFmtId="49" fontId="4" fillId="3" borderId="68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center" vertical="top" wrapText="1"/>
    </xf>
    <xf numFmtId="3" fontId="4" fillId="4" borderId="26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49" fontId="2" fillId="4" borderId="18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horizontal="left" vertical="top" wrapText="1"/>
    </xf>
    <xf numFmtId="3" fontId="5" fillId="4" borderId="29" xfId="0" applyNumberFormat="1" applyFont="1" applyFill="1" applyBorder="1" applyAlignment="1">
      <alignment horizontal="left" vertical="top" wrapText="1"/>
    </xf>
    <xf numFmtId="3" fontId="4" fillId="4" borderId="72" xfId="0" applyNumberFormat="1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4" borderId="11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164" fontId="4" fillId="0" borderId="49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 wrapText="1"/>
    </xf>
    <xf numFmtId="164" fontId="2" fillId="5" borderId="55" xfId="0" applyNumberFormat="1" applyFont="1" applyFill="1" applyBorder="1" applyAlignment="1">
      <alignment horizontal="center" vertical="top"/>
    </xf>
    <xf numFmtId="3" fontId="4" fillId="4" borderId="58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61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 wrapText="1"/>
    </xf>
    <xf numFmtId="164" fontId="4" fillId="4" borderId="72" xfId="0" applyNumberFormat="1" applyFont="1" applyFill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/>
    </xf>
    <xf numFmtId="164" fontId="5" fillId="4" borderId="73" xfId="0" applyNumberFormat="1" applyFont="1" applyFill="1" applyBorder="1" applyAlignment="1">
      <alignment horizontal="center" vertical="top" wrapText="1"/>
    </xf>
    <xf numFmtId="164" fontId="4" fillId="4" borderId="11" xfId="0" applyNumberFormat="1" applyFont="1" applyFill="1" applyBorder="1" applyAlignment="1">
      <alignment horizontal="center" vertical="top" wrapText="1"/>
    </xf>
    <xf numFmtId="164" fontId="1" fillId="4" borderId="29" xfId="0" applyNumberFormat="1" applyFont="1" applyFill="1" applyBorder="1" applyAlignment="1">
      <alignment horizontal="center" vertical="top"/>
    </xf>
    <xf numFmtId="164" fontId="5" fillId="4" borderId="29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vertical="top" wrapText="1"/>
    </xf>
    <xf numFmtId="49" fontId="4" fillId="3" borderId="64" xfId="0" applyNumberFormat="1" applyFont="1" applyFill="1" applyBorder="1" applyAlignment="1">
      <alignment horizontal="center" vertical="top"/>
    </xf>
    <xf numFmtId="49" fontId="4" fillId="4" borderId="59" xfId="0" applyNumberFormat="1" applyFont="1" applyFill="1" applyBorder="1" applyAlignment="1">
      <alignment horizontal="center" vertical="top"/>
    </xf>
    <xf numFmtId="3" fontId="2" fillId="4" borderId="64" xfId="0" applyNumberFormat="1" applyFont="1" applyFill="1" applyBorder="1" applyAlignment="1">
      <alignment horizontal="left" vertical="top" wrapText="1"/>
    </xf>
    <xf numFmtId="3" fontId="1" fillId="4" borderId="66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164" fontId="1" fillId="4" borderId="74" xfId="0" applyNumberFormat="1" applyFont="1" applyFill="1" applyBorder="1" applyAlignment="1">
      <alignment horizontal="center" vertical="top"/>
    </xf>
    <xf numFmtId="3" fontId="1" fillId="4" borderId="22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vertical="top" wrapText="1"/>
    </xf>
    <xf numFmtId="167" fontId="4" fillId="9" borderId="8" xfId="2" applyNumberFormat="1" applyFont="1" applyFill="1" applyBorder="1" applyAlignment="1">
      <alignment vertical="top" wrapText="1"/>
    </xf>
    <xf numFmtId="164" fontId="4" fillId="4" borderId="27" xfId="2" applyNumberFormat="1" applyFont="1" applyFill="1" applyBorder="1" applyAlignment="1">
      <alignment horizontal="center"/>
    </xf>
    <xf numFmtId="167" fontId="4" fillId="9" borderId="6" xfId="2" applyNumberFormat="1" applyFont="1" applyFill="1" applyBorder="1" applyAlignment="1">
      <alignment vertical="top" wrapText="1"/>
    </xf>
    <xf numFmtId="167" fontId="4" fillId="9" borderId="27" xfId="2" applyNumberFormat="1" applyFont="1" applyFill="1" applyBorder="1" applyAlignment="1">
      <alignment horizontal="center" vertical="top"/>
    </xf>
    <xf numFmtId="167" fontId="4" fillId="9" borderId="66" xfId="2" applyNumberFormat="1" applyFont="1" applyFill="1" applyBorder="1" applyAlignment="1">
      <alignment horizontal="center" vertical="top" wrapText="1"/>
    </xf>
    <xf numFmtId="167" fontId="4" fillId="9" borderId="28" xfId="2" applyNumberFormat="1" applyFont="1" applyFill="1" applyBorder="1" applyAlignment="1">
      <alignment horizontal="center" vertical="top"/>
    </xf>
    <xf numFmtId="3" fontId="4" fillId="4" borderId="27" xfId="2" applyNumberFormat="1" applyFont="1" applyFill="1" applyBorder="1" applyAlignment="1">
      <alignment horizontal="center" vertical="top"/>
    </xf>
    <xf numFmtId="167" fontId="4" fillId="9" borderId="88" xfId="2" applyNumberFormat="1" applyFont="1" applyFill="1" applyBorder="1" applyAlignment="1">
      <alignment horizontal="center" vertical="top"/>
    </xf>
    <xf numFmtId="3" fontId="4" fillId="4" borderId="57" xfId="2" applyNumberFormat="1" applyFont="1" applyFill="1" applyBorder="1" applyAlignment="1">
      <alignment horizontal="center" vertical="top"/>
    </xf>
    <xf numFmtId="164" fontId="4" fillId="4" borderId="84" xfId="2" applyNumberFormat="1" applyFont="1" applyFill="1" applyBorder="1" applyAlignment="1">
      <alignment horizontal="center"/>
    </xf>
    <xf numFmtId="167" fontId="4" fillId="9" borderId="27" xfId="2" applyNumberFormat="1" applyFont="1" applyFill="1" applyBorder="1" applyAlignment="1">
      <alignment horizontal="center" vertical="top" wrapText="1"/>
    </xf>
    <xf numFmtId="164" fontId="4" fillId="4" borderId="59" xfId="2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164" fontId="4" fillId="3" borderId="24" xfId="0" applyNumberFormat="1" applyFont="1" applyFill="1" applyBorder="1" applyAlignment="1">
      <alignment horizontal="center" vertical="top" wrapText="1"/>
    </xf>
    <xf numFmtId="3" fontId="4" fillId="0" borderId="77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164" fontId="4" fillId="3" borderId="62" xfId="0" applyNumberFormat="1" applyFont="1" applyFill="1" applyBorder="1" applyAlignment="1">
      <alignment horizontal="center" vertical="top" wrapText="1"/>
    </xf>
    <xf numFmtId="164" fontId="4" fillId="3" borderId="42" xfId="0" applyNumberFormat="1" applyFont="1" applyFill="1" applyBorder="1" applyAlignment="1">
      <alignment horizontal="center" vertical="top" wrapText="1"/>
    </xf>
    <xf numFmtId="164" fontId="4" fillId="3" borderId="57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4" fillId="3" borderId="66" xfId="0" applyNumberFormat="1" applyFont="1" applyFill="1" applyBorder="1" applyAlignment="1">
      <alignment vertical="top" wrapText="1"/>
    </xf>
    <xf numFmtId="3" fontId="4" fillId="4" borderId="2" xfId="0" applyNumberFormat="1" applyFont="1" applyFill="1" applyBorder="1" applyAlignment="1">
      <alignment horizontal="left" vertical="top" wrapText="1"/>
    </xf>
    <xf numFmtId="3" fontId="4" fillId="4" borderId="34" xfId="0" applyNumberFormat="1" applyFont="1" applyFill="1" applyBorder="1" applyAlignment="1">
      <alignment horizontal="center" vertical="top"/>
    </xf>
    <xf numFmtId="3" fontId="4" fillId="4" borderId="33" xfId="0" applyNumberFormat="1" applyFont="1" applyFill="1" applyBorder="1" applyAlignment="1">
      <alignment horizontal="center" vertical="top"/>
    </xf>
    <xf numFmtId="3" fontId="4" fillId="4" borderId="63" xfId="0" applyNumberFormat="1" applyFont="1" applyFill="1" applyBorder="1" applyAlignment="1">
      <alignment horizontal="center" vertical="top"/>
    </xf>
    <xf numFmtId="3" fontId="4" fillId="4" borderId="57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vertical="top" wrapText="1"/>
    </xf>
    <xf numFmtId="3" fontId="4" fillId="0" borderId="62" xfId="0" applyNumberFormat="1" applyFont="1" applyFill="1" applyBorder="1" applyAlignment="1">
      <alignment horizontal="center" vertical="top" wrapText="1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66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left" vertical="top" wrapText="1"/>
    </xf>
    <xf numFmtId="164" fontId="4" fillId="0" borderId="76" xfId="0" applyNumberFormat="1" applyFont="1" applyFill="1" applyBorder="1" applyAlignment="1">
      <alignment horizontal="center" vertical="top"/>
    </xf>
    <xf numFmtId="164" fontId="4" fillId="0" borderId="52" xfId="0" applyNumberFormat="1" applyFont="1" applyFill="1" applyBorder="1" applyAlignment="1">
      <alignment horizontal="center" vertical="top"/>
    </xf>
    <xf numFmtId="3" fontId="4" fillId="4" borderId="67" xfId="0" applyNumberFormat="1" applyFont="1" applyFill="1" applyBorder="1" applyAlignment="1">
      <alignment horizontal="center" vertical="top"/>
    </xf>
    <xf numFmtId="3" fontId="4" fillId="4" borderId="0" xfId="0" applyNumberFormat="1" applyFont="1" applyFill="1" applyBorder="1" applyAlignment="1">
      <alignment horizontal="center" vertical="top"/>
    </xf>
    <xf numFmtId="3" fontId="4" fillId="3" borderId="18" xfId="0" applyNumberFormat="1" applyFont="1" applyFill="1" applyBorder="1" applyAlignment="1">
      <alignment horizontal="left" vertical="top" wrapText="1"/>
    </xf>
    <xf numFmtId="3" fontId="4" fillId="4" borderId="61" xfId="0" applyNumberFormat="1" applyFont="1" applyFill="1" applyBorder="1" applyAlignment="1">
      <alignment horizontal="center" vertical="top"/>
    </xf>
    <xf numFmtId="3" fontId="4" fillId="4" borderId="18" xfId="0" applyNumberFormat="1" applyFont="1" applyFill="1" applyBorder="1" applyAlignment="1">
      <alignment vertical="top" wrapText="1"/>
    </xf>
    <xf numFmtId="3" fontId="4" fillId="4" borderId="65" xfId="0" applyNumberFormat="1" applyFont="1" applyFill="1" applyBorder="1" applyAlignment="1">
      <alignment horizontal="center" vertical="top"/>
    </xf>
    <xf numFmtId="3" fontId="4" fillId="4" borderId="2" xfId="0" applyNumberFormat="1" applyFont="1" applyFill="1" applyBorder="1" applyAlignment="1">
      <alignment vertical="top" wrapText="1"/>
    </xf>
    <xf numFmtId="3" fontId="5" fillId="4" borderId="66" xfId="0" applyNumberFormat="1" applyFont="1" applyFill="1" applyBorder="1" applyAlignment="1">
      <alignment horizontal="center" vertical="center" textRotation="90" wrapText="1"/>
    </xf>
    <xf numFmtId="3" fontId="5" fillId="4" borderId="18" xfId="0" applyNumberFormat="1" applyFont="1" applyFill="1" applyBorder="1" applyAlignment="1">
      <alignment horizontal="center" vertical="center" textRotation="90" wrapText="1"/>
    </xf>
    <xf numFmtId="164" fontId="4" fillId="4" borderId="6" xfId="0" applyNumberFormat="1" applyFont="1" applyFill="1" applyBorder="1" applyAlignment="1">
      <alignment horizontal="center" vertical="top"/>
    </xf>
    <xf numFmtId="3" fontId="4" fillId="4" borderId="8" xfId="0" applyNumberFormat="1" applyFont="1" applyFill="1" applyBorder="1" applyAlignment="1">
      <alignment vertical="top" wrapText="1"/>
    </xf>
    <xf numFmtId="3" fontId="5" fillId="3" borderId="43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vertical="top" wrapText="1"/>
    </xf>
    <xf numFmtId="3" fontId="4" fillId="0" borderId="75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>
      <alignment horizontal="center" vertical="top"/>
    </xf>
    <xf numFmtId="3" fontId="4" fillId="4" borderId="64" xfId="0" applyNumberFormat="1" applyFont="1" applyFill="1" applyBorder="1" applyAlignment="1">
      <alignment horizontal="center" vertical="top"/>
    </xf>
    <xf numFmtId="3" fontId="4" fillId="4" borderId="38" xfId="0" applyNumberFormat="1" applyFont="1" applyFill="1" applyBorder="1" applyAlignment="1">
      <alignment horizontal="center" vertical="top"/>
    </xf>
    <xf numFmtId="164" fontId="5" fillId="5" borderId="47" xfId="0" applyNumberFormat="1" applyFont="1" applyFill="1" applyBorder="1" applyAlignment="1">
      <alignment horizontal="center" vertical="top"/>
    </xf>
    <xf numFmtId="164" fontId="5" fillId="5" borderId="4" xfId="0" applyNumberFormat="1" applyFont="1" applyFill="1" applyBorder="1" applyAlignment="1">
      <alignment horizontal="center" vertical="top"/>
    </xf>
    <xf numFmtId="164" fontId="5" fillId="5" borderId="50" xfId="0" applyNumberFormat="1" applyFont="1" applyFill="1" applyBorder="1" applyAlignment="1">
      <alignment horizontal="center" vertical="top"/>
    </xf>
    <xf numFmtId="3" fontId="4" fillId="4" borderId="49" xfId="0" applyNumberFormat="1" applyFont="1" applyFill="1" applyBorder="1" applyAlignment="1">
      <alignment horizontal="center" vertical="top"/>
    </xf>
    <xf numFmtId="3" fontId="4" fillId="4" borderId="43" xfId="0" applyNumberFormat="1" applyFont="1" applyFill="1" applyBorder="1" applyAlignment="1">
      <alignment horizontal="center" vertical="top"/>
    </xf>
    <xf numFmtId="3" fontId="4" fillId="4" borderId="68" xfId="0" applyNumberFormat="1" applyFont="1" applyFill="1" applyBorder="1" applyAlignment="1">
      <alignment horizontal="center" vertical="top"/>
    </xf>
    <xf numFmtId="3" fontId="4" fillId="4" borderId="21" xfId="0" applyNumberFormat="1" applyFont="1" applyFill="1" applyBorder="1" applyAlignment="1">
      <alignment horizontal="center" vertical="top"/>
    </xf>
    <xf numFmtId="3" fontId="5" fillId="3" borderId="64" xfId="0" applyNumberFormat="1" applyFont="1" applyFill="1" applyBorder="1" applyAlignment="1">
      <alignment horizontal="center" vertical="top" wrapText="1"/>
    </xf>
    <xf numFmtId="3" fontId="5" fillId="3" borderId="32" xfId="0" applyNumberFormat="1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textRotation="180" wrapText="1"/>
    </xf>
    <xf numFmtId="3" fontId="5" fillId="3" borderId="33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textRotation="180" wrapText="1"/>
    </xf>
    <xf numFmtId="3" fontId="5" fillId="0" borderId="27" xfId="0" applyNumberFormat="1" applyFont="1" applyFill="1" applyBorder="1" applyAlignment="1">
      <alignment horizontal="center" vertical="top" textRotation="180" wrapText="1"/>
    </xf>
    <xf numFmtId="0" fontId="4" fillId="0" borderId="6" xfId="0" applyFont="1" applyFill="1" applyBorder="1" applyAlignment="1">
      <alignment horizontal="center" vertical="top" wrapText="1"/>
    </xf>
    <xf numFmtId="164" fontId="4" fillId="4" borderId="90" xfId="0" applyNumberFormat="1" applyFont="1" applyFill="1" applyBorder="1" applyAlignment="1">
      <alignment horizontal="center" vertical="top"/>
    </xf>
    <xf numFmtId="0" fontId="4" fillId="4" borderId="27" xfId="0" applyFont="1" applyFill="1" applyBorder="1" applyAlignment="1">
      <alignment vertical="top" wrapText="1"/>
    </xf>
    <xf numFmtId="0" fontId="4" fillId="0" borderId="92" xfId="0" applyFont="1" applyFill="1" applyBorder="1" applyAlignment="1">
      <alignment vertical="top" wrapText="1"/>
    </xf>
    <xf numFmtId="164" fontId="4" fillId="4" borderId="92" xfId="0" applyNumberFormat="1" applyFont="1" applyFill="1" applyBorder="1" applyAlignment="1">
      <alignment vertical="top"/>
    </xf>
    <xf numFmtId="164" fontId="4" fillId="4" borderId="93" xfId="0" applyNumberFormat="1" applyFont="1" applyFill="1" applyBorder="1" applyAlignment="1">
      <alignment vertical="top"/>
    </xf>
    <xf numFmtId="164" fontId="4" fillId="4" borderId="7" xfId="0" applyNumberFormat="1" applyFont="1" applyFill="1" applyBorder="1" applyAlignment="1">
      <alignment vertical="top"/>
    </xf>
    <xf numFmtId="0" fontId="4" fillId="4" borderId="34" xfId="0" applyFont="1" applyFill="1" applyBorder="1" applyAlignment="1">
      <alignment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/>
    </xf>
    <xf numFmtId="3" fontId="4" fillId="4" borderId="98" xfId="0" applyNumberFormat="1" applyFont="1" applyFill="1" applyBorder="1" applyAlignment="1">
      <alignment horizontal="center" vertical="top"/>
    </xf>
    <xf numFmtId="3" fontId="4" fillId="4" borderId="9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vertical="top" wrapText="1"/>
    </xf>
    <xf numFmtId="3" fontId="5" fillId="3" borderId="33" xfId="0" applyNumberFormat="1" applyFont="1" applyFill="1" applyBorder="1" applyAlignment="1">
      <alignment horizontal="center" vertical="top"/>
    </xf>
    <xf numFmtId="164" fontId="4" fillId="4" borderId="65" xfId="0" applyNumberFormat="1" applyFont="1" applyFill="1" applyBorder="1" applyAlignment="1">
      <alignment vertical="top"/>
    </xf>
    <xf numFmtId="164" fontId="4" fillId="4" borderId="66" xfId="0" applyNumberFormat="1" applyFont="1" applyFill="1" applyBorder="1" applyAlignment="1">
      <alignment vertical="top"/>
    </xf>
    <xf numFmtId="164" fontId="4" fillId="4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3" borderId="68" xfId="0" applyNumberFormat="1" applyFont="1" applyFill="1" applyBorder="1" applyAlignment="1">
      <alignment horizontal="center" vertical="top" wrapText="1"/>
    </xf>
    <xf numFmtId="0" fontId="5" fillId="5" borderId="4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3" fontId="1" fillId="4" borderId="8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 wrapText="1"/>
    </xf>
    <xf numFmtId="49" fontId="4" fillId="3" borderId="68" xfId="0" applyNumberFormat="1" applyFont="1" applyFill="1" applyBorder="1" applyAlignment="1">
      <alignment horizontal="center" vertical="top"/>
    </xf>
    <xf numFmtId="3" fontId="4" fillId="4" borderId="41" xfId="0" applyNumberFormat="1" applyFont="1" applyFill="1" applyBorder="1" applyAlignment="1">
      <alignment horizontal="center" vertical="top"/>
    </xf>
    <xf numFmtId="3" fontId="5" fillId="14" borderId="77" xfId="0" applyNumberFormat="1" applyFont="1" applyFill="1" applyBorder="1" applyAlignment="1">
      <alignment horizontal="center" vertical="top" wrapText="1"/>
    </xf>
    <xf numFmtId="3" fontId="5" fillId="14" borderId="67" xfId="0" applyNumberFormat="1" applyFont="1" applyFill="1" applyBorder="1" applyAlignment="1">
      <alignment horizontal="center" vertical="top" wrapText="1"/>
    </xf>
    <xf numFmtId="3" fontId="5" fillId="14" borderId="70" xfId="0" applyNumberFormat="1" applyFont="1" applyFill="1" applyBorder="1" applyAlignment="1">
      <alignment horizontal="center" vertical="top" wrapText="1"/>
    </xf>
    <xf numFmtId="3" fontId="5" fillId="14" borderId="63" xfId="0" applyNumberFormat="1" applyFont="1" applyFill="1" applyBorder="1" applyAlignment="1">
      <alignment horizontal="center" vertical="top" wrapText="1"/>
    </xf>
    <xf numFmtId="3" fontId="10" fillId="14" borderId="42" xfId="0" applyNumberFormat="1" applyFont="1" applyFill="1" applyBorder="1" applyAlignment="1">
      <alignment horizontal="left" vertical="top" wrapText="1"/>
    </xf>
    <xf numFmtId="3" fontId="2" fillId="14" borderId="59" xfId="0" applyNumberFormat="1" applyFont="1" applyFill="1" applyBorder="1" applyAlignment="1">
      <alignment vertical="top" wrapText="1"/>
    </xf>
    <xf numFmtId="3" fontId="2" fillId="14" borderId="66" xfId="0" applyNumberFormat="1" applyFont="1" applyFill="1" applyBorder="1" applyAlignment="1">
      <alignment horizontal="center" vertical="top" wrapText="1"/>
    </xf>
    <xf numFmtId="164" fontId="4" fillId="4" borderId="54" xfId="0" applyNumberFormat="1" applyFont="1" applyFill="1" applyBorder="1" applyAlignment="1">
      <alignment horizontal="center" vertical="top" wrapText="1"/>
    </xf>
    <xf numFmtId="164" fontId="10" fillId="4" borderId="45" xfId="0" applyNumberFormat="1" applyFont="1" applyFill="1" applyBorder="1" applyAlignment="1">
      <alignment horizontal="center" vertical="top" wrapText="1"/>
    </xf>
    <xf numFmtId="164" fontId="5" fillId="4" borderId="58" xfId="0" applyNumberFormat="1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left" vertical="top" wrapText="1"/>
    </xf>
    <xf numFmtId="164" fontId="4" fillId="4" borderId="58" xfId="0" applyNumberFormat="1" applyFont="1" applyFill="1" applyBorder="1" applyAlignment="1">
      <alignment horizontal="center" vertical="top" wrapText="1"/>
    </xf>
    <xf numFmtId="3" fontId="5" fillId="14" borderId="66" xfId="0" applyNumberFormat="1" applyFont="1" applyFill="1" applyBorder="1" applyAlignment="1">
      <alignment horizontal="center" vertical="top" wrapText="1"/>
    </xf>
    <xf numFmtId="3" fontId="2" fillId="14" borderId="42" xfId="0" applyNumberFormat="1" applyFont="1" applyFill="1" applyBorder="1" applyAlignment="1">
      <alignment vertical="top" wrapText="1"/>
    </xf>
    <xf numFmtId="167" fontId="4" fillId="9" borderId="2" xfId="2" applyNumberFormat="1" applyFont="1" applyFill="1" applyBorder="1" applyAlignment="1">
      <alignment horizontal="left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3" fontId="1" fillId="4" borderId="55" xfId="0" applyNumberFormat="1" applyFont="1" applyFill="1" applyBorder="1" applyAlignment="1">
      <alignment vertical="top" wrapText="1"/>
    </xf>
    <xf numFmtId="167" fontId="4" fillId="9" borderId="100" xfId="2" applyNumberFormat="1" applyFont="1" applyFill="1" applyBorder="1" applyAlignment="1">
      <alignment horizontal="center" vertical="top"/>
    </xf>
    <xf numFmtId="3" fontId="5" fillId="0" borderId="59" xfId="0" applyNumberFormat="1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0" xfId="0" applyFont="1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top" wrapText="1"/>
    </xf>
    <xf numFmtId="0" fontId="4" fillId="4" borderId="57" xfId="0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horizontal="center" vertical="top" wrapText="1"/>
    </xf>
    <xf numFmtId="164" fontId="5" fillId="4" borderId="66" xfId="0" applyNumberFormat="1" applyFont="1" applyFill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vertical="top" wrapText="1"/>
    </xf>
    <xf numFmtId="49" fontId="4" fillId="4" borderId="59" xfId="0" applyNumberFormat="1" applyFont="1" applyFill="1" applyBorder="1" applyAlignment="1">
      <alignment horizontal="center" vertical="top" wrapText="1"/>
    </xf>
    <xf numFmtId="3" fontId="5" fillId="14" borderId="59" xfId="0" applyNumberFormat="1" applyFont="1" applyFill="1" applyBorder="1" applyAlignment="1">
      <alignment vertical="top" wrapText="1"/>
    </xf>
    <xf numFmtId="3" fontId="5" fillId="14" borderId="18" xfId="0" applyNumberFormat="1" applyFont="1" applyFill="1" applyBorder="1" applyAlignment="1">
      <alignment vertical="top" wrapText="1"/>
    </xf>
    <xf numFmtId="167" fontId="4" fillId="11" borderId="6" xfId="2" applyNumberFormat="1" applyFont="1" applyFill="1" applyBorder="1" applyAlignment="1">
      <alignment horizontal="center" vertical="top"/>
    </xf>
    <xf numFmtId="167" fontId="4" fillId="11" borderId="60" xfId="2" applyNumberFormat="1" applyFont="1" applyFill="1" applyBorder="1" applyAlignment="1">
      <alignment horizontal="center" vertical="top"/>
    </xf>
    <xf numFmtId="167" fontId="4" fillId="11" borderId="5" xfId="2" applyNumberFormat="1" applyFont="1" applyFill="1" applyBorder="1" applyAlignment="1">
      <alignment horizontal="left" vertical="top" wrapText="1"/>
    </xf>
    <xf numFmtId="164" fontId="10" fillId="4" borderId="4" xfId="0" applyNumberFormat="1" applyFont="1" applyFill="1" applyBorder="1" applyAlignment="1">
      <alignment horizontal="center" vertical="top" wrapText="1"/>
    </xf>
    <xf numFmtId="164" fontId="10" fillId="4" borderId="50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 wrapText="1"/>
    </xf>
    <xf numFmtId="49" fontId="4" fillId="3" borderId="29" xfId="0" applyNumberFormat="1" applyFont="1" applyFill="1" applyBorder="1" applyAlignment="1">
      <alignment horizontal="center" vertical="top" wrapText="1"/>
    </xf>
    <xf numFmtId="3" fontId="4" fillId="4" borderId="29" xfId="0" applyNumberFormat="1" applyFont="1" applyFill="1" applyBorder="1" applyAlignment="1">
      <alignment horizontal="left" vertical="top" wrapText="1"/>
    </xf>
    <xf numFmtId="3" fontId="2" fillId="0" borderId="70" xfId="0" applyNumberFormat="1" applyFont="1" applyFill="1" applyBorder="1" applyAlignment="1">
      <alignment horizontal="center" vertical="top" textRotation="90" wrapText="1"/>
    </xf>
    <xf numFmtId="3" fontId="2" fillId="0" borderId="33" xfId="0" applyNumberFormat="1" applyFont="1" applyBorder="1" applyAlignment="1">
      <alignment horizontal="center" vertical="top" wrapText="1"/>
    </xf>
    <xf numFmtId="164" fontId="2" fillId="5" borderId="49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 wrapText="1"/>
    </xf>
    <xf numFmtId="3" fontId="2" fillId="0" borderId="59" xfId="0" applyNumberFormat="1" applyFont="1" applyFill="1" applyBorder="1" applyAlignment="1">
      <alignment horizontal="center" vertical="top" textRotation="90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51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164" fontId="1" fillId="0" borderId="66" xfId="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26" xfId="0" applyNumberFormat="1" applyFont="1" applyFill="1" applyBorder="1" applyAlignment="1">
      <alignment horizontal="center" vertical="top" wrapText="1"/>
    </xf>
    <xf numFmtId="3" fontId="2" fillId="4" borderId="24" xfId="0" applyNumberFormat="1" applyFont="1" applyFill="1" applyBorder="1" applyAlignment="1">
      <alignment horizontal="center" vertical="top"/>
    </xf>
    <xf numFmtId="164" fontId="1" fillId="0" borderId="65" xfId="0" applyNumberFormat="1" applyFont="1" applyFill="1" applyBorder="1" applyAlignment="1">
      <alignment horizontal="center" vertical="top"/>
    </xf>
    <xf numFmtId="3" fontId="1" fillId="4" borderId="62" xfId="0" applyNumberFormat="1" applyFont="1" applyFill="1" applyBorder="1" applyAlignment="1">
      <alignment horizontal="center" vertical="top" wrapText="1"/>
    </xf>
    <xf numFmtId="164" fontId="1" fillId="4" borderId="26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 wrapText="1"/>
    </xf>
    <xf numFmtId="3" fontId="2" fillId="14" borderId="18" xfId="0" applyNumberFormat="1" applyFont="1" applyFill="1" applyBorder="1" applyAlignment="1">
      <alignment vertical="top" wrapText="1"/>
    </xf>
    <xf numFmtId="164" fontId="4" fillId="12" borderId="70" xfId="2" applyNumberFormat="1" applyFont="1" applyFill="1" applyBorder="1" applyAlignment="1">
      <alignment horizontal="center" vertical="top"/>
    </xf>
    <xf numFmtId="3" fontId="5" fillId="15" borderId="67" xfId="0" applyNumberFormat="1" applyFont="1" applyFill="1" applyBorder="1" applyAlignment="1">
      <alignment horizontal="center" vertical="top" wrapText="1"/>
    </xf>
    <xf numFmtId="3" fontId="5" fillId="15" borderId="19" xfId="0" applyNumberFormat="1" applyFont="1" applyFill="1" applyBorder="1" applyAlignment="1">
      <alignment horizontal="center" vertical="top" wrapText="1"/>
    </xf>
    <xf numFmtId="3" fontId="5" fillId="0" borderId="59" xfId="0" applyNumberFormat="1" applyFont="1" applyFill="1" applyBorder="1" applyAlignment="1">
      <alignment horizontal="center" vertical="top" wrapText="1"/>
    </xf>
    <xf numFmtId="3" fontId="4" fillId="4" borderId="67" xfId="0" applyNumberFormat="1" applyFont="1" applyFill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3" fontId="4" fillId="4" borderId="54" xfId="0" applyNumberFormat="1" applyFont="1" applyFill="1" applyBorder="1" applyAlignment="1">
      <alignment horizontal="center" vertical="top" wrapText="1"/>
    </xf>
    <xf numFmtId="3" fontId="1" fillId="0" borderId="58" xfId="0" applyNumberFormat="1" applyFont="1" applyBorder="1" applyAlignment="1">
      <alignment horizontal="center" vertical="top" wrapText="1"/>
    </xf>
    <xf numFmtId="3" fontId="1" fillId="0" borderId="57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165" fontId="5" fillId="4" borderId="0" xfId="0" applyNumberFormat="1" applyFont="1" applyFill="1" applyBorder="1" applyAlignment="1">
      <alignment horizontal="center" vertical="top" wrapText="1"/>
    </xf>
    <xf numFmtId="164" fontId="4" fillId="4" borderId="15" xfId="0" applyNumberFormat="1" applyFont="1" applyFill="1" applyBorder="1" applyAlignment="1">
      <alignment horizontal="center" vertical="center"/>
    </xf>
    <xf numFmtId="167" fontId="4" fillId="11" borderId="83" xfId="2" applyNumberFormat="1" applyFont="1" applyFill="1" applyBorder="1" applyAlignment="1">
      <alignment horizontal="center" vertical="top"/>
    </xf>
    <xf numFmtId="167" fontId="4" fillId="11" borderId="39" xfId="2" applyNumberFormat="1" applyFont="1" applyFill="1" applyBorder="1" applyAlignment="1">
      <alignment horizontal="center" vertical="top"/>
    </xf>
    <xf numFmtId="3" fontId="2" fillId="4" borderId="13" xfId="0" applyNumberFormat="1" applyFont="1" applyFill="1" applyBorder="1" applyAlignment="1">
      <alignment vertical="top" wrapText="1"/>
    </xf>
    <xf numFmtId="49" fontId="20" fillId="8" borderId="17" xfId="0" applyNumberFormat="1" applyFont="1" applyFill="1" applyBorder="1" applyAlignment="1">
      <alignment horizontal="center" vertical="top" wrapText="1"/>
    </xf>
    <xf numFmtId="49" fontId="20" fillId="2" borderId="18" xfId="0" applyNumberFormat="1" applyFont="1" applyFill="1" applyBorder="1" applyAlignment="1">
      <alignment horizontal="center" vertical="top" wrapText="1"/>
    </xf>
    <xf numFmtId="49" fontId="20" fillId="3" borderId="32" xfId="0" applyNumberFormat="1" applyFont="1" applyFill="1" applyBorder="1" applyAlignment="1">
      <alignment horizontal="center" vertical="top" wrapText="1"/>
    </xf>
    <xf numFmtId="49" fontId="10" fillId="3" borderId="18" xfId="0" applyNumberFormat="1" applyFont="1" applyFill="1" applyBorder="1" applyAlignment="1">
      <alignment horizontal="center" vertical="top" wrapText="1"/>
    </xf>
    <xf numFmtId="3" fontId="20" fillId="4" borderId="0" xfId="0" applyNumberFormat="1" applyFont="1" applyFill="1" applyBorder="1" applyAlignment="1">
      <alignment horizontal="center" vertical="top" wrapText="1"/>
    </xf>
    <xf numFmtId="3" fontId="20" fillId="0" borderId="32" xfId="0" applyNumberFormat="1" applyFont="1" applyBorder="1" applyAlignment="1">
      <alignment horizontal="center" vertical="top" wrapText="1"/>
    </xf>
    <xf numFmtId="164" fontId="10" fillId="4" borderId="42" xfId="0" applyNumberFormat="1" applyFont="1" applyFill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3" fontId="10" fillId="0" borderId="67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3" fontId="10" fillId="0" borderId="31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49" fontId="10" fillId="3" borderId="66" xfId="0" applyNumberFormat="1" applyFont="1" applyFill="1" applyBorder="1" applyAlignment="1">
      <alignment horizontal="center" vertical="top" wrapText="1"/>
    </xf>
    <xf numFmtId="3" fontId="20" fillId="4" borderId="66" xfId="0" applyNumberFormat="1" applyFont="1" applyFill="1" applyBorder="1" applyAlignment="1">
      <alignment vertical="top" wrapText="1"/>
    </xf>
    <xf numFmtId="49" fontId="10" fillId="3" borderId="59" xfId="0" applyNumberFormat="1" applyFont="1" applyFill="1" applyBorder="1" applyAlignment="1">
      <alignment horizontal="center" vertical="top" wrapText="1"/>
    </xf>
    <xf numFmtId="164" fontId="5" fillId="5" borderId="61" xfId="0" applyNumberFormat="1" applyFont="1" applyFill="1" applyBorder="1" applyAlignment="1">
      <alignment horizontal="center" vertical="top" wrapText="1"/>
    </xf>
    <xf numFmtId="164" fontId="5" fillId="5" borderId="59" xfId="0" applyNumberFormat="1" applyFont="1" applyFill="1" applyBorder="1" applyAlignment="1">
      <alignment horizontal="center" vertical="top" wrapText="1"/>
    </xf>
    <xf numFmtId="3" fontId="4" fillId="3" borderId="67" xfId="0" applyNumberFormat="1" applyFont="1" applyFill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horizontal="center" vertical="top" wrapText="1"/>
    </xf>
    <xf numFmtId="3" fontId="4" fillId="3" borderId="31" xfId="0" applyNumberFormat="1" applyFont="1" applyFill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70" xfId="0" applyNumberFormat="1" applyFont="1" applyBorder="1" applyAlignment="1">
      <alignment horizontal="center" vertical="top" wrapText="1"/>
    </xf>
    <xf numFmtId="164" fontId="2" fillId="5" borderId="61" xfId="0" applyNumberFormat="1" applyFont="1" applyFill="1" applyBorder="1" applyAlignment="1">
      <alignment horizontal="center" vertical="top" wrapText="1"/>
    </xf>
    <xf numFmtId="164" fontId="2" fillId="5" borderId="59" xfId="0" applyNumberFormat="1" applyFont="1" applyFill="1" applyBorder="1" applyAlignment="1">
      <alignment horizontal="center" vertical="top" wrapText="1"/>
    </xf>
    <xf numFmtId="3" fontId="2" fillId="3" borderId="59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  <xf numFmtId="49" fontId="20" fillId="3" borderId="59" xfId="0" applyNumberFormat="1" applyFont="1" applyFill="1" applyBorder="1" applyAlignment="1">
      <alignment horizontal="center" vertical="top" wrapText="1"/>
    </xf>
    <xf numFmtId="3" fontId="5" fillId="5" borderId="27" xfId="0" applyNumberFormat="1" applyFont="1" applyFill="1" applyBorder="1" applyAlignment="1">
      <alignment vertical="top" wrapText="1"/>
    </xf>
    <xf numFmtId="3" fontId="5" fillId="5" borderId="27" xfId="0" applyNumberFormat="1" applyFont="1" applyFill="1" applyBorder="1" applyAlignment="1">
      <alignment horizontal="right" vertical="top" wrapText="1"/>
    </xf>
    <xf numFmtId="168" fontId="4" fillId="9" borderId="6" xfId="2" applyNumberFormat="1" applyFont="1" applyFill="1" applyBorder="1" applyAlignment="1">
      <alignment vertical="top" wrapText="1"/>
    </xf>
    <xf numFmtId="168" fontId="4" fillId="9" borderId="5" xfId="2" applyNumberFormat="1" applyFont="1" applyFill="1" applyBorder="1" applyAlignment="1">
      <alignment vertical="top" wrapText="1"/>
    </xf>
    <xf numFmtId="167" fontId="4" fillId="9" borderId="5" xfId="2" applyNumberFormat="1" applyFont="1" applyFill="1" applyBorder="1" applyAlignment="1">
      <alignment vertical="top" wrapText="1"/>
    </xf>
    <xf numFmtId="164" fontId="10" fillId="4" borderId="15" xfId="0" applyNumberFormat="1" applyFont="1" applyFill="1" applyBorder="1" applyAlignment="1">
      <alignment horizontal="center" vertical="top" wrapText="1"/>
    </xf>
    <xf numFmtId="164" fontId="5" fillId="4" borderId="26" xfId="0" applyNumberFormat="1" applyFont="1" applyFill="1" applyBorder="1" applyAlignment="1">
      <alignment horizontal="center" vertical="top" wrapText="1"/>
    </xf>
    <xf numFmtId="164" fontId="5" fillId="5" borderId="28" xfId="0" applyNumberFormat="1" applyFont="1" applyFill="1" applyBorder="1" applyAlignment="1">
      <alignment horizontal="center" vertical="top" wrapText="1"/>
    </xf>
    <xf numFmtId="164" fontId="4" fillId="12" borderId="39" xfId="2" applyNumberFormat="1" applyFont="1" applyFill="1" applyBorder="1" applyAlignment="1">
      <alignment horizontal="center" vertical="top"/>
    </xf>
    <xf numFmtId="164" fontId="4" fillId="12" borderId="60" xfId="2" applyNumberFormat="1" applyFont="1" applyFill="1" applyBorder="1" applyAlignment="1">
      <alignment horizontal="center" vertical="top"/>
    </xf>
    <xf numFmtId="164" fontId="2" fillId="5" borderId="28" xfId="0" applyNumberFormat="1" applyFont="1" applyFill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164" fontId="1" fillId="4" borderId="42" xfId="0" applyNumberFormat="1" applyFont="1" applyFill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textRotation="90" wrapText="1"/>
    </xf>
    <xf numFmtId="3" fontId="1" fillId="0" borderId="65" xfId="0" applyNumberFormat="1" applyFont="1" applyBorder="1" applyAlignment="1">
      <alignment horizontal="center" vertical="top" wrapText="1"/>
    </xf>
    <xf numFmtId="164" fontId="4" fillId="4" borderId="69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1" fillId="4" borderId="60" xfId="0" applyNumberFormat="1" applyFont="1" applyFill="1" applyBorder="1" applyAlignment="1">
      <alignment horizontal="center" vertical="top"/>
    </xf>
    <xf numFmtId="3" fontId="1" fillId="4" borderId="42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wrapText="1"/>
    </xf>
    <xf numFmtId="167" fontId="4" fillId="9" borderId="2" xfId="2" applyNumberFormat="1" applyFont="1" applyFill="1" applyBorder="1" applyAlignment="1">
      <alignment vertical="top" wrapText="1"/>
    </xf>
    <xf numFmtId="0" fontId="21" fillId="0" borderId="0" xfId="0" applyFont="1"/>
    <xf numFmtId="3" fontId="5" fillId="0" borderId="0" xfId="0" applyNumberFormat="1" applyFont="1" applyBorder="1" applyAlignment="1">
      <alignment vertical="top" wrapText="1"/>
    </xf>
    <xf numFmtId="3" fontId="4" fillId="14" borderId="59" xfId="0" applyNumberFormat="1" applyFont="1" applyFill="1" applyBorder="1" applyAlignment="1">
      <alignment vertical="top" wrapText="1"/>
    </xf>
    <xf numFmtId="3" fontId="4" fillId="11" borderId="18" xfId="2" applyNumberFormat="1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3" fontId="4" fillId="4" borderId="2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 wrapText="1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top"/>
    </xf>
    <xf numFmtId="164" fontId="10" fillId="4" borderId="55" xfId="0" applyNumberFormat="1" applyFont="1" applyFill="1" applyBorder="1" applyAlignment="1">
      <alignment horizontal="center" vertical="top"/>
    </xf>
    <xf numFmtId="164" fontId="4" fillId="4" borderId="36" xfId="2" applyNumberFormat="1" applyFont="1" applyFill="1" applyBorder="1" applyAlignment="1">
      <alignment horizontal="center" vertical="top"/>
    </xf>
    <xf numFmtId="49" fontId="4" fillId="3" borderId="42" xfId="0" applyNumberFormat="1" applyFont="1" applyFill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 wrapText="1"/>
    </xf>
    <xf numFmtId="164" fontId="4" fillId="4" borderId="34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5" fontId="2" fillId="5" borderId="66" xfId="0" applyNumberFormat="1" applyFont="1" applyFill="1" applyBorder="1" applyAlignment="1">
      <alignment horizontal="center" vertical="top" wrapText="1"/>
    </xf>
    <xf numFmtId="164" fontId="4" fillId="0" borderId="66" xfId="0" applyNumberFormat="1" applyFont="1" applyBorder="1" applyAlignment="1">
      <alignment horizontal="center" vertical="top" wrapText="1"/>
    </xf>
    <xf numFmtId="164" fontId="4" fillId="0" borderId="36" xfId="0" applyNumberFormat="1" applyFont="1" applyBorder="1" applyAlignment="1">
      <alignment horizontal="center" vertical="top" wrapText="1"/>
    </xf>
    <xf numFmtId="164" fontId="4" fillId="0" borderId="41" xfId="0" applyNumberFormat="1" applyFont="1" applyBorder="1" applyAlignment="1">
      <alignment horizontal="center" vertical="top" wrapText="1"/>
    </xf>
    <xf numFmtId="164" fontId="4" fillId="0" borderId="42" xfId="0" applyNumberFormat="1" applyFont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top" wrapText="1"/>
    </xf>
    <xf numFmtId="164" fontId="5" fillId="7" borderId="48" xfId="0" applyNumberFormat="1" applyFont="1" applyFill="1" applyBorder="1" applyAlignment="1">
      <alignment horizontal="center" vertical="top" wrapText="1"/>
    </xf>
    <xf numFmtId="164" fontId="5" fillId="7" borderId="4" xfId="0" applyNumberFormat="1" applyFont="1" applyFill="1" applyBorder="1" applyAlignment="1">
      <alignment horizontal="center" vertical="top" wrapText="1"/>
    </xf>
    <xf numFmtId="164" fontId="5" fillId="7" borderId="44" xfId="0" applyNumberFormat="1" applyFont="1" applyFill="1" applyBorder="1" applyAlignment="1">
      <alignment horizontal="center" vertical="top" wrapText="1"/>
    </xf>
    <xf numFmtId="3" fontId="2" fillId="4" borderId="66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textRotation="90" wrapText="1"/>
    </xf>
    <xf numFmtId="3" fontId="2" fillId="0" borderId="7" xfId="0" applyNumberFormat="1" applyFont="1" applyFill="1" applyBorder="1" applyAlignment="1">
      <alignment horizontal="center" vertical="top" textRotation="90" wrapText="1"/>
    </xf>
    <xf numFmtId="3" fontId="5" fillId="14" borderId="24" xfId="0" applyNumberFormat="1" applyFont="1" applyFill="1" applyBorder="1" applyAlignment="1">
      <alignment horizontal="center" vertical="top" wrapText="1"/>
    </xf>
    <xf numFmtId="3" fontId="5" fillId="14" borderId="7" xfId="0" applyNumberFormat="1" applyFont="1" applyFill="1" applyBorder="1" applyAlignment="1">
      <alignment horizontal="center" vertical="top" textRotation="90" wrapText="1"/>
    </xf>
    <xf numFmtId="3" fontId="5" fillId="0" borderId="31" xfId="0" applyNumberFormat="1" applyFont="1" applyFill="1" applyBorder="1" applyAlignment="1">
      <alignment horizontal="center" vertical="top" textRotation="90" wrapText="1"/>
    </xf>
    <xf numFmtId="164" fontId="4" fillId="4" borderId="42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left" vertical="top" wrapText="1"/>
    </xf>
    <xf numFmtId="3" fontId="4" fillId="4" borderId="55" xfId="0" applyNumberFormat="1" applyFont="1" applyFill="1" applyBorder="1" applyAlignment="1">
      <alignment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4" fillId="4" borderId="49" xfId="0" applyNumberFormat="1" applyFont="1" applyFill="1" applyBorder="1" applyAlignment="1">
      <alignment horizontal="center" vertical="top" wrapText="1"/>
    </xf>
    <xf numFmtId="3" fontId="2" fillId="4" borderId="26" xfId="0" applyNumberFormat="1" applyFont="1" applyFill="1" applyBorder="1" applyAlignment="1">
      <alignment horizontal="center" vertical="top"/>
    </xf>
    <xf numFmtId="3" fontId="2" fillId="4" borderId="7" xfId="0" applyNumberFormat="1" applyFont="1" applyFill="1" applyBorder="1" applyAlignment="1">
      <alignment horizontal="center" vertical="top"/>
    </xf>
    <xf numFmtId="3" fontId="2" fillId="4" borderId="7" xfId="0" applyNumberFormat="1" applyFont="1" applyFill="1" applyBorder="1" applyAlignment="1">
      <alignment vertical="top"/>
    </xf>
    <xf numFmtId="3" fontId="2" fillId="4" borderId="69" xfId="0" applyNumberFormat="1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3" borderId="64" xfId="0" applyNumberFormat="1" applyFont="1" applyFill="1" applyBorder="1" applyAlignment="1">
      <alignment vertical="top"/>
    </xf>
    <xf numFmtId="3" fontId="2" fillId="4" borderId="31" xfId="0" applyNumberFormat="1" applyFont="1" applyFill="1" applyBorder="1" applyAlignment="1">
      <alignment horizontal="center" vertical="top" textRotation="90" wrapText="1"/>
    </xf>
    <xf numFmtId="3" fontId="2" fillId="14" borderId="69" xfId="0" applyNumberFormat="1" applyFont="1" applyFill="1" applyBorder="1" applyAlignment="1">
      <alignment horizontal="center" vertical="top" wrapText="1"/>
    </xf>
    <xf numFmtId="3" fontId="5" fillId="4" borderId="77" xfId="0" applyNumberFormat="1" applyFont="1" applyFill="1" applyBorder="1" applyAlignment="1">
      <alignment horizontal="center" vertical="top" wrapText="1"/>
    </xf>
    <xf numFmtId="3" fontId="5" fillId="4" borderId="75" xfId="0" applyNumberFormat="1" applyFont="1" applyFill="1" applyBorder="1" applyAlignment="1">
      <alignment horizontal="center" vertical="top" wrapText="1"/>
    </xf>
    <xf numFmtId="49" fontId="4" fillId="4" borderId="33" xfId="0" applyNumberFormat="1" applyFont="1" applyFill="1" applyBorder="1" applyAlignment="1">
      <alignment horizontal="center" vertical="top" wrapText="1"/>
    </xf>
    <xf numFmtId="3" fontId="4" fillId="4" borderId="34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4" borderId="57" xfId="0" applyNumberFormat="1" applyFont="1" applyFill="1" applyBorder="1" applyAlignment="1">
      <alignment horizontal="left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4" borderId="8" xfId="0" applyNumberFormat="1" applyFont="1" applyFill="1" applyBorder="1" applyAlignment="1">
      <alignment horizontal="center" vertical="top" wrapText="1"/>
    </xf>
    <xf numFmtId="3" fontId="1" fillId="4" borderId="18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/>
    </xf>
    <xf numFmtId="3" fontId="1" fillId="4" borderId="43" xfId="0" applyNumberFormat="1" applyFont="1" applyFill="1" applyBorder="1" applyAlignment="1">
      <alignment horizontal="center" vertical="top" wrapText="1"/>
    </xf>
    <xf numFmtId="164" fontId="1" fillId="4" borderId="66" xfId="0" applyNumberFormat="1" applyFont="1" applyFill="1" applyBorder="1" applyAlignment="1">
      <alignment horizontal="center" vertical="top"/>
    </xf>
    <xf numFmtId="3" fontId="4" fillId="4" borderId="42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left" vertical="top" wrapText="1"/>
    </xf>
    <xf numFmtId="3" fontId="1" fillId="4" borderId="17" xfId="0" applyNumberFormat="1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 wrapText="1"/>
    </xf>
    <xf numFmtId="164" fontId="1" fillId="4" borderId="18" xfId="0" applyNumberFormat="1" applyFont="1" applyFill="1" applyBorder="1" applyAlignment="1">
      <alignment horizontal="center" vertical="top" wrapText="1"/>
    </xf>
    <xf numFmtId="3" fontId="1" fillId="4" borderId="31" xfId="0" applyNumberFormat="1" applyFont="1" applyFill="1" applyBorder="1" applyAlignment="1">
      <alignment horizontal="center" vertical="top" wrapText="1"/>
    </xf>
    <xf numFmtId="3" fontId="1" fillId="4" borderId="39" xfId="0" applyNumberFormat="1" applyFont="1" applyFill="1" applyBorder="1" applyAlignment="1">
      <alignment horizontal="center" vertical="top"/>
    </xf>
    <xf numFmtId="3" fontId="4" fillId="4" borderId="60" xfId="0" applyNumberFormat="1" applyFont="1" applyFill="1" applyBorder="1" applyAlignment="1">
      <alignment horizontal="center"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 wrapText="1"/>
    </xf>
    <xf numFmtId="3" fontId="1" fillId="0" borderId="51" xfId="0" applyNumberFormat="1" applyFont="1" applyBorder="1" applyAlignment="1">
      <alignment horizontal="center" vertical="top" wrapText="1"/>
    </xf>
    <xf numFmtId="3" fontId="1" fillId="4" borderId="37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0" fillId="3" borderId="57" xfId="0" applyNumberFormat="1" applyFont="1" applyFill="1" applyBorder="1" applyAlignment="1">
      <alignment horizontal="center" vertical="top" wrapText="1"/>
    </xf>
    <xf numFmtId="49" fontId="4" fillId="4" borderId="27" xfId="2" applyNumberFormat="1" applyFont="1" applyFill="1" applyBorder="1" applyAlignment="1">
      <alignment horizontal="center" vertical="top"/>
    </xf>
    <xf numFmtId="49" fontId="4" fillId="4" borderId="34" xfId="2" applyNumberFormat="1" applyFont="1" applyFill="1" applyBorder="1" applyAlignment="1">
      <alignment horizontal="center" vertical="top"/>
    </xf>
    <xf numFmtId="49" fontId="4" fillId="4" borderId="0" xfId="2" applyNumberFormat="1" applyFont="1" applyFill="1" applyBorder="1" applyAlignment="1">
      <alignment horizontal="center" vertical="top"/>
    </xf>
    <xf numFmtId="49" fontId="4" fillId="13" borderId="34" xfId="2" applyNumberFormat="1" applyFont="1" applyFill="1" applyBorder="1" applyAlignment="1">
      <alignment horizontal="center" vertical="top" wrapText="1"/>
    </xf>
    <xf numFmtId="49" fontId="4" fillId="4" borderId="65" xfId="2" applyNumberFormat="1" applyFont="1" applyFill="1" applyBorder="1" applyAlignment="1">
      <alignment horizontal="center" vertical="top"/>
    </xf>
    <xf numFmtId="49" fontId="4" fillId="0" borderId="57" xfId="2" applyNumberFormat="1" applyFont="1" applyFill="1" applyBorder="1" applyAlignment="1">
      <alignment horizontal="center" vertical="top"/>
    </xf>
    <xf numFmtId="49" fontId="4" fillId="0" borderId="34" xfId="2" applyNumberFormat="1" applyFont="1" applyFill="1" applyBorder="1" applyAlignment="1">
      <alignment horizontal="center" vertical="top"/>
    </xf>
    <xf numFmtId="49" fontId="4" fillId="0" borderId="27" xfId="2" applyNumberFormat="1" applyFont="1" applyFill="1" applyBorder="1" applyAlignment="1">
      <alignment horizontal="center" vertical="top"/>
    </xf>
    <xf numFmtId="49" fontId="4" fillId="0" borderId="0" xfId="2" applyNumberFormat="1" applyFont="1" applyFill="1" applyBorder="1" applyAlignment="1">
      <alignment horizontal="center" vertical="top"/>
    </xf>
    <xf numFmtId="49" fontId="4" fillId="0" borderId="34" xfId="2" applyNumberFormat="1" applyFont="1" applyFill="1" applyBorder="1" applyAlignment="1">
      <alignment horizontal="center" vertical="top" wrapText="1"/>
    </xf>
    <xf numFmtId="49" fontId="4" fillId="4" borderId="34" xfId="2" applyNumberFormat="1" applyFont="1" applyFill="1" applyBorder="1" applyAlignment="1">
      <alignment horizontal="center" vertical="top" wrapText="1"/>
    </xf>
    <xf numFmtId="3" fontId="5" fillId="5" borderId="27" xfId="0" applyNumberFormat="1" applyFont="1" applyFill="1" applyBorder="1" applyAlignment="1">
      <alignment horizontal="center" vertical="top" wrapText="1"/>
    </xf>
    <xf numFmtId="164" fontId="10" fillId="4" borderId="5" xfId="0" applyNumberFormat="1" applyFont="1" applyFill="1" applyBorder="1" applyAlignment="1">
      <alignment horizontal="center" vertical="top" wrapText="1"/>
    </xf>
    <xf numFmtId="164" fontId="4" fillId="11" borderId="6" xfId="2" applyNumberFormat="1" applyFont="1" applyFill="1" applyBorder="1" applyAlignment="1">
      <alignment horizontal="center" vertical="top"/>
    </xf>
    <xf numFmtId="164" fontId="4" fillId="11" borderId="2" xfId="2" applyNumberFormat="1" applyFont="1" applyFill="1" applyBorder="1" applyAlignment="1">
      <alignment horizontal="center" vertical="top"/>
    </xf>
    <xf numFmtId="164" fontId="4" fillId="13" borderId="2" xfId="2" applyNumberFormat="1" applyFont="1" applyFill="1" applyBorder="1" applyAlignment="1">
      <alignment horizontal="center" vertical="top"/>
    </xf>
    <xf numFmtId="164" fontId="4" fillId="11" borderId="8" xfId="2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 wrapText="1"/>
    </xf>
    <xf numFmtId="164" fontId="4" fillId="11" borderId="101" xfId="2" applyNumberFormat="1" applyFont="1" applyFill="1" applyBorder="1" applyAlignment="1">
      <alignment horizontal="center" vertical="top"/>
    </xf>
    <xf numFmtId="164" fontId="2" fillId="5" borderId="6" xfId="0" applyNumberFormat="1" applyFont="1" applyFill="1" applyBorder="1" applyAlignment="1">
      <alignment horizontal="center" vertical="top" wrapText="1"/>
    </xf>
    <xf numFmtId="164" fontId="4" fillId="11" borderId="5" xfId="2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 wrapText="1"/>
    </xf>
    <xf numFmtId="3" fontId="2" fillId="5" borderId="2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/>
    </xf>
    <xf numFmtId="167" fontId="4" fillId="9" borderId="96" xfId="2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center" vertical="top"/>
    </xf>
    <xf numFmtId="3" fontId="4" fillId="4" borderId="56" xfId="0" applyNumberFormat="1" applyFont="1" applyFill="1" applyBorder="1" applyAlignment="1">
      <alignment horizontal="center" vertical="top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1" fillId="0" borderId="40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3" fontId="4" fillId="4" borderId="37" xfId="0" applyNumberFormat="1" applyFont="1" applyFill="1" applyBorder="1" applyAlignment="1">
      <alignment horizontal="center" vertical="top"/>
    </xf>
    <xf numFmtId="3" fontId="4" fillId="4" borderId="89" xfId="0" applyNumberFormat="1" applyFont="1" applyFill="1" applyBorder="1" applyAlignment="1">
      <alignment horizontal="center" vertical="top"/>
    </xf>
    <xf numFmtId="3" fontId="4" fillId="4" borderId="40" xfId="0" applyNumberFormat="1" applyFont="1" applyFill="1" applyBorder="1" applyAlignment="1">
      <alignment horizontal="center" vertical="top"/>
    </xf>
    <xf numFmtId="3" fontId="5" fillId="4" borderId="70" xfId="0" applyNumberFormat="1" applyFont="1" applyFill="1" applyBorder="1" applyAlignment="1">
      <alignment horizontal="center" vertical="top" wrapText="1"/>
    </xf>
    <xf numFmtId="3" fontId="5" fillId="4" borderId="63" xfId="0" applyNumberFormat="1" applyFont="1" applyFill="1" applyBorder="1" applyAlignment="1">
      <alignment horizontal="center" vertical="top" wrapText="1"/>
    </xf>
    <xf numFmtId="3" fontId="10" fillId="4" borderId="42" xfId="0" applyNumberFormat="1" applyFont="1" applyFill="1" applyBorder="1" applyAlignment="1">
      <alignment horizontal="left" vertical="top" wrapText="1"/>
    </xf>
    <xf numFmtId="3" fontId="5" fillId="4" borderId="66" xfId="0" applyNumberFormat="1" applyFont="1" applyFill="1" applyBorder="1" applyAlignment="1">
      <alignment horizontal="center" vertical="top" wrapText="1"/>
    </xf>
    <xf numFmtId="3" fontId="5" fillId="4" borderId="67" xfId="0" applyNumberFormat="1" applyFont="1" applyFill="1" applyBorder="1" applyAlignment="1">
      <alignment horizontal="center" vertical="top" textRotation="180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5" fillId="4" borderId="7" xfId="0" applyNumberFormat="1" applyFont="1" applyFill="1" applyBorder="1" applyAlignment="1">
      <alignment horizontal="center" vertical="top" textRotation="90" wrapText="1"/>
    </xf>
    <xf numFmtId="3" fontId="5" fillId="4" borderId="31" xfId="0" applyNumberFormat="1" applyFont="1" applyFill="1" applyBorder="1" applyAlignment="1">
      <alignment horizontal="center" vertical="top" textRotation="90" wrapText="1"/>
    </xf>
    <xf numFmtId="3" fontId="5" fillId="4" borderId="67" xfId="0" applyNumberFormat="1" applyFont="1" applyFill="1" applyBorder="1" applyAlignment="1">
      <alignment horizontal="center" vertical="top" textRotation="90" wrapText="1"/>
    </xf>
    <xf numFmtId="3" fontId="5" fillId="4" borderId="18" xfId="0" applyNumberFormat="1" applyFont="1" applyFill="1" applyBorder="1" applyAlignment="1">
      <alignment horizontal="center" vertical="top" textRotation="90" wrapText="1"/>
    </xf>
    <xf numFmtId="3" fontId="2" fillId="4" borderId="59" xfId="0" applyNumberFormat="1" applyFont="1" applyFill="1" applyBorder="1" applyAlignment="1">
      <alignment vertical="top" wrapText="1"/>
    </xf>
    <xf numFmtId="3" fontId="2" fillId="4" borderId="18" xfId="0" applyNumberFormat="1" applyFont="1" applyFill="1" applyBorder="1" applyAlignment="1">
      <alignment vertical="top" wrapText="1"/>
    </xf>
    <xf numFmtId="3" fontId="2" fillId="4" borderId="42" xfId="0" applyNumberFormat="1" applyFont="1" applyFill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horizontal="center" vertical="top" textRotation="180" wrapText="1"/>
    </xf>
    <xf numFmtId="3" fontId="2" fillId="4" borderId="69" xfId="0" applyNumberFormat="1" applyFont="1" applyFill="1" applyBorder="1" applyAlignment="1">
      <alignment horizontal="center" vertical="top" wrapText="1"/>
    </xf>
    <xf numFmtId="49" fontId="4" fillId="4" borderId="61" xfId="2" applyNumberFormat="1" applyFont="1" applyFill="1" applyBorder="1" applyAlignment="1">
      <alignment horizontal="center" vertical="top"/>
    </xf>
    <xf numFmtId="167" fontId="4" fillId="9" borderId="94" xfId="2" applyNumberFormat="1" applyFont="1" applyFill="1" applyBorder="1" applyAlignment="1">
      <alignment horizontal="center" vertical="top" wrapText="1"/>
    </xf>
    <xf numFmtId="167" fontId="4" fillId="9" borderId="95" xfId="2" applyNumberFormat="1" applyFont="1" applyFill="1" applyBorder="1" applyAlignment="1">
      <alignment horizontal="center" vertical="top" wrapText="1"/>
    </xf>
    <xf numFmtId="3" fontId="5" fillId="0" borderId="67" xfId="0" applyNumberFormat="1" applyFont="1" applyFill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164" fontId="4" fillId="4" borderId="67" xfId="0" applyNumberFormat="1" applyFont="1" applyFill="1" applyBorder="1" applyAlignment="1">
      <alignment horizontal="center" vertical="top" wrapText="1"/>
    </xf>
    <xf numFmtId="164" fontId="4" fillId="4" borderId="67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top" wrapText="1"/>
    </xf>
    <xf numFmtId="164" fontId="10" fillId="4" borderId="18" xfId="0" applyNumberFormat="1" applyFont="1" applyFill="1" applyBorder="1" applyAlignment="1">
      <alignment horizontal="center" vertical="top" wrapText="1"/>
    </xf>
    <xf numFmtId="164" fontId="10" fillId="4" borderId="7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61" xfId="0" applyNumberFormat="1" applyFont="1" applyFill="1" applyBorder="1" applyAlignment="1">
      <alignment horizontal="center" vertical="top" wrapText="1"/>
    </xf>
    <xf numFmtId="3" fontId="4" fillId="4" borderId="41" xfId="0" applyNumberFormat="1" applyFont="1" applyFill="1" applyBorder="1" applyAlignment="1">
      <alignment horizontal="center" vertical="top" wrapText="1"/>
    </xf>
    <xf numFmtId="167" fontId="4" fillId="9" borderId="59" xfId="2" applyNumberFormat="1" applyFont="1" applyFill="1" applyBorder="1" applyAlignment="1">
      <alignment horizontal="center" vertical="top" wrapText="1"/>
    </xf>
    <xf numFmtId="167" fontId="4" fillId="9" borderId="42" xfId="2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164" fontId="1" fillId="4" borderId="32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49" fontId="4" fillId="0" borderId="8" xfId="2" applyNumberFormat="1" applyFont="1" applyFill="1" applyBorder="1" applyAlignment="1">
      <alignment horizontal="center" vertical="top"/>
    </xf>
    <xf numFmtId="164" fontId="4" fillId="12" borderId="67" xfId="2" applyNumberFormat="1" applyFont="1" applyFill="1" applyBorder="1" applyAlignment="1">
      <alignment horizontal="center" vertical="top"/>
    </xf>
    <xf numFmtId="164" fontId="4" fillId="12" borderId="31" xfId="2" applyNumberFormat="1" applyFont="1" applyFill="1" applyBorder="1" applyAlignment="1">
      <alignment horizontal="center" vertical="top"/>
    </xf>
    <xf numFmtId="167" fontId="4" fillId="11" borderId="27" xfId="2" applyNumberFormat="1" applyFont="1" applyFill="1" applyBorder="1" applyAlignment="1">
      <alignment horizontal="center" vertical="top"/>
    </xf>
    <xf numFmtId="167" fontId="4" fillId="11" borderId="57" xfId="2" applyNumberFormat="1" applyFont="1" applyFill="1" applyBorder="1" applyAlignment="1">
      <alignment horizontal="center" vertical="top"/>
    </xf>
    <xf numFmtId="167" fontId="4" fillId="11" borderId="0" xfId="2" applyNumberFormat="1" applyFont="1" applyFill="1" applyBorder="1" applyAlignment="1">
      <alignment horizontal="center" vertical="top"/>
    </xf>
    <xf numFmtId="49" fontId="4" fillId="0" borderId="8" xfId="2" applyNumberFormat="1" applyFont="1" applyFill="1" applyBorder="1" applyAlignment="1">
      <alignment horizontal="center" vertical="top" wrapText="1"/>
    </xf>
    <xf numFmtId="49" fontId="4" fillId="4" borderId="8" xfId="2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 wrapText="1"/>
    </xf>
    <xf numFmtId="164" fontId="1" fillId="4" borderId="15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1" fillId="4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164" fontId="2" fillId="5" borderId="45" xfId="0" applyNumberFormat="1" applyFont="1" applyFill="1" applyBorder="1" applyAlignment="1">
      <alignment horizontal="center" vertical="top"/>
    </xf>
    <xf numFmtId="164" fontId="4" fillId="3" borderId="61" xfId="0" applyNumberFormat="1" applyFont="1" applyFill="1" applyBorder="1" applyAlignment="1">
      <alignment horizontal="center" vertical="top" wrapText="1"/>
    </xf>
    <xf numFmtId="164" fontId="4" fillId="3" borderId="65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4" fillId="3" borderId="26" xfId="0" applyNumberFormat="1" applyFont="1" applyFill="1" applyBorder="1" applyAlignment="1">
      <alignment horizontal="center" vertical="top" wrapText="1"/>
    </xf>
    <xf numFmtId="164" fontId="4" fillId="3" borderId="66" xfId="0" applyNumberFormat="1" applyFont="1" applyFill="1" applyBorder="1" applyAlignment="1">
      <alignment horizontal="center" vertical="top" wrapText="1"/>
    </xf>
    <xf numFmtId="164" fontId="4" fillId="3" borderId="59" xfId="0" applyNumberFormat="1" applyFont="1" applyFill="1" applyBorder="1" applyAlignment="1">
      <alignment horizontal="center" vertical="top" wrapText="1"/>
    </xf>
    <xf numFmtId="164" fontId="4" fillId="3" borderId="28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3" fontId="4" fillId="4" borderId="17" xfId="0" applyNumberFormat="1" applyFont="1" applyFill="1" applyBorder="1" applyAlignment="1">
      <alignment horizontal="center" vertical="top"/>
    </xf>
    <xf numFmtId="164" fontId="4" fillId="4" borderId="31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49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164" fontId="2" fillId="5" borderId="43" xfId="0" applyNumberFormat="1" applyFont="1" applyFill="1" applyBorder="1" applyAlignment="1">
      <alignment horizontal="center" vertical="top" wrapText="1"/>
    </xf>
    <xf numFmtId="164" fontId="1" fillId="12" borderId="67" xfId="2" applyNumberFormat="1" applyFont="1" applyFill="1" applyBorder="1" applyAlignment="1">
      <alignment horizontal="center" vertical="top"/>
    </xf>
    <xf numFmtId="164" fontId="1" fillId="12" borderId="18" xfId="2" applyNumberFormat="1" applyFont="1" applyFill="1" applyBorder="1" applyAlignment="1">
      <alignment horizontal="center" vertical="top"/>
    </xf>
    <xf numFmtId="164" fontId="1" fillId="12" borderId="0" xfId="2" applyNumberFormat="1" applyFont="1" applyFill="1" applyBorder="1" applyAlignment="1">
      <alignment horizontal="center" vertical="top"/>
    </xf>
    <xf numFmtId="164" fontId="1" fillId="12" borderId="32" xfId="2" applyNumberFormat="1" applyFont="1" applyFill="1" applyBorder="1" applyAlignment="1">
      <alignment horizontal="center" vertical="top"/>
    </xf>
    <xf numFmtId="164" fontId="2" fillId="4" borderId="1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62" xfId="0" applyNumberFormat="1" applyFont="1" applyBorder="1" applyAlignment="1">
      <alignment horizontal="center" vertical="top"/>
    </xf>
    <xf numFmtId="3" fontId="1" fillId="4" borderId="17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3" fontId="1" fillId="0" borderId="17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vertical="top"/>
    </xf>
    <xf numFmtId="3" fontId="1" fillId="4" borderId="28" xfId="0" applyNumberFormat="1" applyFont="1" applyFill="1" applyBorder="1" applyAlignment="1">
      <alignment horizontal="center" vertical="top"/>
    </xf>
    <xf numFmtId="3" fontId="1" fillId="0" borderId="66" xfId="0" applyNumberFormat="1" applyFont="1" applyBorder="1" applyAlignment="1">
      <alignment horizontal="center" vertical="top" wrapText="1"/>
    </xf>
    <xf numFmtId="3" fontId="1" fillId="4" borderId="66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vertical="top"/>
    </xf>
    <xf numFmtId="3" fontId="1" fillId="0" borderId="59" xfId="0" applyNumberFormat="1" applyFont="1" applyBorder="1" applyAlignment="1">
      <alignment horizontal="center" vertical="top"/>
    </xf>
    <xf numFmtId="3" fontId="1" fillId="0" borderId="66" xfId="0" applyNumberFormat="1" applyFont="1" applyBorder="1" applyAlignment="1">
      <alignment horizontal="center" vertical="top"/>
    </xf>
    <xf numFmtId="3" fontId="5" fillId="4" borderId="39" xfId="0" applyNumberFormat="1" applyFont="1" applyFill="1" applyBorder="1" applyAlignment="1">
      <alignment horizontal="center" vertical="center" textRotation="90" wrapText="1"/>
    </xf>
    <xf numFmtId="3" fontId="1" fillId="4" borderId="8" xfId="0" applyNumberFormat="1" applyFont="1" applyFill="1" applyBorder="1" applyAlignment="1">
      <alignment horizontal="left" vertical="top" wrapText="1"/>
    </xf>
    <xf numFmtId="3" fontId="4" fillId="4" borderId="59" xfId="0" applyNumberFormat="1" applyFont="1" applyFill="1" applyBorder="1" applyAlignment="1">
      <alignment vertical="top" wrapText="1"/>
    </xf>
    <xf numFmtId="3" fontId="4" fillId="4" borderId="74" xfId="0" applyNumberFormat="1" applyFont="1" applyFill="1" applyBorder="1" applyAlignment="1">
      <alignment horizontal="left" vertical="top" wrapText="1"/>
    </xf>
    <xf numFmtId="3" fontId="1" fillId="4" borderId="71" xfId="0" applyNumberFormat="1" applyFont="1" applyFill="1" applyBorder="1" applyAlignment="1">
      <alignment horizontal="center" vertical="top"/>
    </xf>
    <xf numFmtId="3" fontId="4" fillId="4" borderId="61" xfId="0" applyNumberFormat="1" applyFont="1" applyFill="1" applyBorder="1" applyAlignment="1">
      <alignment horizontal="left" vertical="top" wrapText="1"/>
    </xf>
    <xf numFmtId="3" fontId="5" fillId="4" borderId="69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vertical="top" wrapText="1"/>
    </xf>
    <xf numFmtId="4" fontId="4" fillId="4" borderId="16" xfId="0" applyNumberFormat="1" applyFont="1" applyFill="1" applyBorder="1" applyAlignment="1">
      <alignment horizontal="center" vertical="top" wrapText="1"/>
    </xf>
    <xf numFmtId="4" fontId="4" fillId="4" borderId="64" xfId="0" applyNumberFormat="1" applyFont="1" applyFill="1" applyBorder="1" applyAlignment="1">
      <alignment horizontal="center" vertical="top" wrapText="1"/>
    </xf>
    <xf numFmtId="4" fontId="4" fillId="4" borderId="38" xfId="0" applyNumberFormat="1" applyFont="1" applyFill="1" applyBorder="1" applyAlignment="1">
      <alignment horizontal="center" vertical="top" wrapText="1"/>
    </xf>
    <xf numFmtId="3" fontId="5" fillId="4" borderId="38" xfId="0" applyNumberFormat="1" applyFont="1" applyFill="1" applyBorder="1" applyAlignment="1">
      <alignment horizontal="center" vertical="top" wrapText="1"/>
    </xf>
    <xf numFmtId="3" fontId="5" fillId="4" borderId="21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167" fontId="4" fillId="9" borderId="0" xfId="2" applyNumberFormat="1" applyFont="1" applyFill="1" applyBorder="1" applyAlignment="1">
      <alignment horizontal="center" vertical="top"/>
    </xf>
    <xf numFmtId="49" fontId="5" fillId="5" borderId="27" xfId="2" applyNumberFormat="1" applyFont="1" applyFill="1" applyBorder="1" applyAlignment="1">
      <alignment horizontal="right" vertical="top"/>
    </xf>
    <xf numFmtId="164" fontId="5" fillId="16" borderId="2" xfId="2" applyNumberFormat="1" applyFont="1" applyFill="1" applyBorder="1" applyAlignment="1">
      <alignment horizontal="center" vertical="top"/>
    </xf>
    <xf numFmtId="3" fontId="4" fillId="11" borderId="67" xfId="2" applyNumberFormat="1" applyFont="1" applyFill="1" applyBorder="1" applyAlignment="1">
      <alignment horizontal="center" vertical="top"/>
    </xf>
    <xf numFmtId="3" fontId="4" fillId="11" borderId="42" xfId="2" applyNumberFormat="1" applyFont="1" applyFill="1" applyBorder="1" applyAlignment="1">
      <alignment horizontal="center" vertical="top"/>
    </xf>
    <xf numFmtId="164" fontId="5" fillId="16" borderId="65" xfId="2" applyNumberFormat="1" applyFont="1" applyFill="1" applyBorder="1" applyAlignment="1">
      <alignment horizontal="center" vertical="top"/>
    </xf>
    <xf numFmtId="164" fontId="5" fillId="16" borderId="26" xfId="2" applyNumberFormat="1" applyFont="1" applyFill="1" applyBorder="1" applyAlignment="1">
      <alignment horizontal="center" vertical="top"/>
    </xf>
    <xf numFmtId="164" fontId="5" fillId="16" borderId="66" xfId="2" applyNumberFormat="1" applyFont="1" applyFill="1" applyBorder="1" applyAlignment="1">
      <alignment horizontal="center" vertical="top"/>
    </xf>
    <xf numFmtId="49" fontId="4" fillId="13" borderId="65" xfId="2" applyNumberFormat="1" applyFont="1" applyFill="1" applyBorder="1" applyAlignment="1">
      <alignment horizontal="center" vertical="top" wrapText="1"/>
    </xf>
    <xf numFmtId="49" fontId="4" fillId="13" borderId="61" xfId="2" applyNumberFormat="1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49" fontId="1" fillId="4" borderId="17" xfId="2" applyNumberFormat="1" applyFont="1" applyFill="1" applyBorder="1" applyAlignment="1">
      <alignment horizontal="center" vertical="top"/>
    </xf>
    <xf numFmtId="49" fontId="1" fillId="13" borderId="17" xfId="2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1" fillId="4" borderId="36" xfId="0" applyNumberFormat="1" applyFont="1" applyFill="1" applyBorder="1" applyAlignment="1">
      <alignment horizontal="center" vertical="top" wrapText="1"/>
    </xf>
    <xf numFmtId="164" fontId="1" fillId="4" borderId="37" xfId="0" applyNumberFormat="1" applyFont="1" applyFill="1" applyBorder="1" applyAlignment="1">
      <alignment horizontal="center" vertical="top" wrapText="1"/>
    </xf>
    <xf numFmtId="164" fontId="1" fillId="4" borderId="17" xfId="0" applyNumberFormat="1" applyFont="1" applyFill="1" applyBorder="1" applyAlignment="1">
      <alignment horizontal="center" vertical="top" wrapText="1"/>
    </xf>
    <xf numFmtId="164" fontId="1" fillId="11" borderId="17" xfId="2" applyNumberFormat="1" applyFont="1" applyFill="1" applyBorder="1" applyAlignment="1">
      <alignment horizontal="center" vertical="top"/>
    </xf>
    <xf numFmtId="164" fontId="1" fillId="12" borderId="40" xfId="2" applyNumberFormat="1" applyFont="1" applyFill="1" applyBorder="1" applyAlignment="1">
      <alignment horizontal="center" vertical="top"/>
    </xf>
    <xf numFmtId="164" fontId="1" fillId="12" borderId="7" xfId="2" applyNumberFormat="1" applyFont="1" applyFill="1" applyBorder="1" applyAlignment="1">
      <alignment horizontal="center" vertical="top"/>
    </xf>
    <xf numFmtId="164" fontId="1" fillId="12" borderId="17" xfId="2" applyNumberFormat="1" applyFont="1" applyFill="1" applyBorder="1" applyAlignment="1">
      <alignment horizontal="center" vertical="top"/>
    </xf>
    <xf numFmtId="164" fontId="2" fillId="4" borderId="7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Border="1" applyAlignment="1">
      <alignment horizontal="center" vertical="top" wrapText="1"/>
    </xf>
    <xf numFmtId="49" fontId="4" fillId="4" borderId="17" xfId="2" applyNumberFormat="1" applyFont="1" applyFill="1" applyBorder="1" applyAlignment="1">
      <alignment horizontal="center" vertical="top"/>
    </xf>
    <xf numFmtId="164" fontId="1" fillId="4" borderId="40" xfId="0" applyNumberFormat="1" applyFont="1" applyFill="1" applyBorder="1" applyAlignment="1">
      <alignment horizontal="center" vertical="top" wrapText="1"/>
    </xf>
    <xf numFmtId="164" fontId="1" fillId="0" borderId="71" xfId="0" applyNumberFormat="1" applyFont="1" applyBorder="1" applyAlignment="1">
      <alignment horizontal="center" vertical="top" wrapText="1"/>
    </xf>
    <xf numFmtId="164" fontId="1" fillId="0" borderId="51" xfId="0" applyNumberFormat="1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center" vertical="top" wrapText="1"/>
    </xf>
    <xf numFmtId="3" fontId="5" fillId="4" borderId="17" xfId="0" applyNumberFormat="1" applyFont="1" applyFill="1" applyBorder="1" applyAlignment="1">
      <alignment horizontal="right" vertical="top" wrapText="1"/>
    </xf>
    <xf numFmtId="164" fontId="5" fillId="4" borderId="17" xfId="0" applyNumberFormat="1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right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3" fontId="5" fillId="4" borderId="5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/>
    </xf>
    <xf numFmtId="3" fontId="1" fillId="4" borderId="59" xfId="0" applyNumberFormat="1" applyFont="1" applyFill="1" applyBorder="1" applyAlignment="1">
      <alignment horizontal="left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textRotation="90" wrapText="1"/>
    </xf>
    <xf numFmtId="0" fontId="4" fillId="4" borderId="59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49" fontId="2" fillId="8" borderId="17" xfId="0" applyNumberFormat="1" applyFont="1" applyFill="1" applyBorder="1" applyAlignment="1">
      <alignment horizontal="center" vertical="top"/>
    </xf>
    <xf numFmtId="49" fontId="2" fillId="8" borderId="56" xfId="0" applyNumberFormat="1" applyFont="1" applyFill="1" applyBorder="1" applyAlignment="1">
      <alignment horizontal="center" vertical="top"/>
    </xf>
    <xf numFmtId="3" fontId="4" fillId="4" borderId="19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5" fillId="0" borderId="19" xfId="0" applyNumberFormat="1" applyFont="1" applyFill="1" applyBorder="1" applyAlignment="1">
      <alignment horizontal="center" vertical="top" textRotation="90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4" fillId="3" borderId="59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4" borderId="6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3" fontId="1" fillId="4" borderId="65" xfId="0" applyNumberFormat="1" applyFont="1" applyFill="1" applyBorder="1" applyAlignment="1">
      <alignment horizontal="center" vertical="top"/>
    </xf>
    <xf numFmtId="3" fontId="1" fillId="4" borderId="26" xfId="0" applyNumberFormat="1" applyFont="1" applyFill="1" applyBorder="1" applyAlignment="1">
      <alignment horizontal="center" vertical="top"/>
    </xf>
    <xf numFmtId="3" fontId="2" fillId="4" borderId="39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167" fontId="4" fillId="9" borderId="6" xfId="2" applyNumberFormat="1" applyFont="1" applyFill="1" applyBorder="1" applyAlignment="1">
      <alignment horizontal="left" vertical="top" wrapText="1"/>
    </xf>
    <xf numFmtId="167" fontId="4" fillId="9" borderId="8" xfId="2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5" fillId="4" borderId="59" xfId="0" applyNumberFormat="1" applyFont="1" applyFill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horizontal="center" vertical="top" wrapText="1"/>
    </xf>
    <xf numFmtId="167" fontId="4" fillId="11" borderId="6" xfId="2" applyNumberFormat="1" applyFont="1" applyFill="1" applyBorder="1" applyAlignment="1">
      <alignment horizontal="left" vertical="top" wrapText="1"/>
    </xf>
    <xf numFmtId="167" fontId="4" fillId="11" borderId="8" xfId="2" applyNumberFormat="1" applyFont="1" applyFill="1" applyBorder="1" applyAlignment="1">
      <alignment horizontal="left" vertical="top" wrapText="1"/>
    </xf>
    <xf numFmtId="3" fontId="2" fillId="4" borderId="59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49" fontId="2" fillId="8" borderId="16" xfId="0" applyNumberFormat="1" applyFont="1" applyFill="1" applyBorder="1" applyAlignment="1">
      <alignment horizontal="center" vertical="top"/>
    </xf>
    <xf numFmtId="3" fontId="2" fillId="4" borderId="13" xfId="0" applyNumberFormat="1" applyFont="1" applyFill="1" applyBorder="1" applyAlignment="1">
      <alignment horizontal="left" vertical="top" wrapText="1"/>
    </xf>
    <xf numFmtId="3" fontId="18" fillId="0" borderId="0" xfId="0" applyNumberFormat="1" applyFont="1" applyAlignment="1">
      <alignment horizontal="left" vertical="top" wrapText="1"/>
    </xf>
    <xf numFmtId="3" fontId="4" fillId="0" borderId="43" xfId="0" applyNumberFormat="1" applyFont="1" applyBorder="1" applyAlignment="1">
      <alignment horizontal="right" wrapText="1"/>
    </xf>
    <xf numFmtId="3" fontId="1" fillId="0" borderId="34" xfId="0" applyNumberFormat="1" applyFont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center" vertical="top" wrapText="1"/>
    </xf>
    <xf numFmtId="3" fontId="1" fillId="4" borderId="34" xfId="0" applyNumberFormat="1" applyFont="1" applyFill="1" applyBorder="1" applyAlignment="1">
      <alignment horizontal="center" vertical="top"/>
    </xf>
    <xf numFmtId="3" fontId="4" fillId="4" borderId="70" xfId="0" applyNumberFormat="1" applyFont="1" applyFill="1" applyBorder="1" applyAlignment="1">
      <alignment horizontal="center" vertical="top" wrapText="1"/>
    </xf>
    <xf numFmtId="3" fontId="4" fillId="4" borderId="75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left" vertical="top" wrapText="1"/>
    </xf>
    <xf numFmtId="3" fontId="1" fillId="4" borderId="43" xfId="0" applyNumberFormat="1" applyFont="1" applyFill="1" applyBorder="1" applyAlignment="1">
      <alignment horizontal="left" vertical="top" wrapText="1"/>
    </xf>
    <xf numFmtId="164" fontId="1" fillId="4" borderId="28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165" fontId="1" fillId="4" borderId="0" xfId="0" applyNumberFormat="1" applyFont="1" applyFill="1" applyBorder="1" applyAlignment="1">
      <alignment horizontal="center" vertical="top" wrapText="1"/>
    </xf>
    <xf numFmtId="165" fontId="2" fillId="4" borderId="0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Fill="1" applyBorder="1" applyAlignment="1">
      <alignment horizontal="center" vertical="top"/>
    </xf>
    <xf numFmtId="3" fontId="2" fillId="4" borderId="13" xfId="0" applyNumberFormat="1" applyFont="1" applyFill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right" wrapText="1"/>
    </xf>
    <xf numFmtId="3" fontId="4" fillId="4" borderId="59" xfId="0" applyNumberFormat="1" applyFont="1" applyFill="1" applyBorder="1" applyAlignment="1">
      <alignment horizontal="left" vertical="top" wrapText="1"/>
    </xf>
    <xf numFmtId="3" fontId="4" fillId="4" borderId="19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left" vertical="top" wrapText="1"/>
    </xf>
    <xf numFmtId="3" fontId="4" fillId="4" borderId="43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5" fillId="4" borderId="13" xfId="0" applyNumberFormat="1" applyFont="1" applyFill="1" applyBorder="1" applyAlignment="1">
      <alignment horizontal="left" vertical="top" wrapText="1"/>
    </xf>
    <xf numFmtId="3" fontId="5" fillId="4" borderId="19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1" fillId="4" borderId="19" xfId="0" applyNumberFormat="1" applyFont="1" applyFill="1" applyBorder="1" applyAlignment="1">
      <alignment horizontal="left" vertical="top" wrapText="1"/>
    </xf>
    <xf numFmtId="49" fontId="2" fillId="8" borderId="16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8" borderId="56" xfId="0" applyNumberFormat="1" applyFont="1" applyFill="1" applyBorder="1" applyAlignment="1">
      <alignment horizontal="center" vertical="top"/>
    </xf>
    <xf numFmtId="3" fontId="5" fillId="4" borderId="18" xfId="0" applyNumberFormat="1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167" fontId="4" fillId="9" borderId="8" xfId="2" applyNumberFormat="1" applyFont="1" applyFill="1" applyBorder="1" applyAlignment="1">
      <alignment horizontal="left" vertical="top" wrapText="1"/>
    </xf>
    <xf numFmtId="3" fontId="1" fillId="4" borderId="0" xfId="0" applyNumberFormat="1" applyFont="1" applyFill="1" applyBorder="1" applyAlignment="1">
      <alignment horizontal="left" vertical="top" wrapText="1"/>
    </xf>
    <xf numFmtId="167" fontId="4" fillId="9" borderId="5" xfId="2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horizontal="left" vertical="top" wrapText="1"/>
    </xf>
    <xf numFmtId="167" fontId="4" fillId="11" borderId="6" xfId="2" applyNumberFormat="1" applyFont="1" applyFill="1" applyBorder="1" applyAlignment="1">
      <alignment horizontal="left" vertical="top" wrapText="1"/>
    </xf>
    <xf numFmtId="167" fontId="4" fillId="11" borderId="8" xfId="2" applyNumberFormat="1" applyFont="1" applyFill="1" applyBorder="1" applyAlignment="1">
      <alignment horizontal="left" vertical="top" wrapText="1"/>
    </xf>
    <xf numFmtId="3" fontId="1" fillId="4" borderId="59" xfId="0" applyNumberFormat="1" applyFont="1" applyFill="1" applyBorder="1" applyAlignment="1">
      <alignment horizontal="left" vertical="top" wrapText="1"/>
    </xf>
    <xf numFmtId="3" fontId="1" fillId="4" borderId="18" xfId="0" applyNumberFormat="1" applyFont="1" applyFill="1" applyBorder="1" applyAlignment="1">
      <alignment horizontal="left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3" fontId="4" fillId="3" borderId="59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vertical="top" wrapText="1"/>
    </xf>
    <xf numFmtId="3" fontId="1" fillId="4" borderId="2" xfId="0" applyNumberFormat="1" applyFont="1" applyFill="1" applyBorder="1" applyAlignment="1">
      <alignment horizontal="left" vertical="top" wrapText="1"/>
    </xf>
    <xf numFmtId="3" fontId="1" fillId="4" borderId="65" xfId="0" applyNumberFormat="1" applyFont="1" applyFill="1" applyBorder="1" applyAlignment="1">
      <alignment horizontal="center" vertical="top"/>
    </xf>
    <xf numFmtId="3" fontId="1" fillId="4" borderId="66" xfId="0" applyNumberFormat="1" applyFont="1" applyFill="1" applyBorder="1" applyAlignment="1">
      <alignment horizontal="center" vertical="top"/>
    </xf>
    <xf numFmtId="3" fontId="1" fillId="4" borderId="26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5" fillId="0" borderId="19" xfId="0" applyNumberFormat="1" applyFont="1" applyFill="1" applyBorder="1" applyAlignment="1">
      <alignment horizontal="center" vertical="top" textRotation="90" wrapText="1"/>
    </xf>
    <xf numFmtId="0" fontId="4" fillId="4" borderId="8" xfId="0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textRotation="90" wrapText="1"/>
    </xf>
    <xf numFmtId="0" fontId="4" fillId="4" borderId="18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3" fontId="1" fillId="4" borderId="49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14" borderId="18" xfId="0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1" fillId="14" borderId="59" xfId="0" applyNumberFormat="1" applyFont="1" applyFill="1" applyBorder="1" applyAlignment="1">
      <alignment horizontal="left" vertical="top" wrapText="1"/>
    </xf>
    <xf numFmtId="164" fontId="1" fillId="0" borderId="61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167" fontId="4" fillId="9" borderId="6" xfId="2" applyNumberFormat="1" applyFont="1" applyFill="1" applyBorder="1" applyAlignment="1">
      <alignment horizontal="center" vertical="top" wrapText="1"/>
    </xf>
    <xf numFmtId="167" fontId="4" fillId="9" borderId="8" xfId="2" applyNumberFormat="1" applyFont="1" applyFill="1" applyBorder="1" applyAlignment="1">
      <alignment horizontal="center" vertical="top" wrapText="1"/>
    </xf>
    <xf numFmtId="167" fontId="4" fillId="9" borderId="5" xfId="2" applyNumberFormat="1" applyFont="1" applyFill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2" fillId="14" borderId="59" xfId="0" applyNumberFormat="1" applyFont="1" applyFill="1" applyBorder="1" applyAlignment="1">
      <alignment horizontal="center" vertical="top" wrapText="1"/>
    </xf>
    <xf numFmtId="3" fontId="2" fillId="14" borderId="42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left" vertical="top" wrapText="1"/>
    </xf>
    <xf numFmtId="3" fontId="1" fillId="4" borderId="27" xfId="0" applyNumberFormat="1" applyFont="1" applyFill="1" applyBorder="1" applyAlignment="1">
      <alignment horizontal="left" vertical="top" wrapText="1"/>
    </xf>
    <xf numFmtId="3" fontId="1" fillId="4" borderId="43" xfId="0" applyNumberFormat="1" applyFont="1" applyFill="1" applyBorder="1" applyAlignment="1">
      <alignment horizontal="left" vertical="top" wrapText="1"/>
    </xf>
    <xf numFmtId="164" fontId="1" fillId="4" borderId="28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4" fillId="3" borderId="6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horizontal="center" vertical="top" wrapText="1"/>
    </xf>
    <xf numFmtId="49" fontId="4" fillId="3" borderId="59" xfId="0" applyNumberFormat="1" applyFont="1" applyFill="1" applyBorder="1" applyAlignment="1">
      <alignment horizontal="center" vertical="top" wrapText="1"/>
    </xf>
    <xf numFmtId="3" fontId="5" fillId="14" borderId="59" xfId="0" applyNumberFormat="1" applyFont="1" applyFill="1" applyBorder="1" applyAlignment="1">
      <alignment horizontal="center" vertical="top" wrapText="1"/>
    </xf>
    <xf numFmtId="3" fontId="5" fillId="14" borderId="18" xfId="0" applyNumberFormat="1" applyFont="1" applyFill="1" applyBorder="1" applyAlignment="1">
      <alignment horizontal="center" vertical="top" wrapText="1"/>
    </xf>
    <xf numFmtId="3" fontId="2" fillId="14" borderId="18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49" fontId="4" fillId="3" borderId="59" xfId="0" applyNumberFormat="1" applyFont="1" applyFill="1" applyBorder="1" applyAlignment="1">
      <alignment horizontal="center" vertical="top"/>
    </xf>
    <xf numFmtId="49" fontId="4" fillId="3" borderId="42" xfId="0" applyNumberFormat="1" applyFont="1" applyFill="1" applyBorder="1" applyAlignment="1">
      <alignment horizontal="center" vertical="top"/>
    </xf>
    <xf numFmtId="3" fontId="4" fillId="4" borderId="5" xfId="0" applyNumberFormat="1" applyFont="1" applyFill="1" applyBorder="1" applyAlignment="1">
      <alignment horizontal="center" vertical="top"/>
    </xf>
    <xf numFmtId="3" fontId="4" fillId="4" borderId="6" xfId="0" applyNumberFormat="1" applyFont="1" applyFill="1" applyBorder="1" applyAlignment="1">
      <alignment horizontal="center" vertical="top"/>
    </xf>
    <xf numFmtId="3" fontId="4" fillId="4" borderId="70" xfId="0" applyNumberFormat="1" applyFont="1" applyFill="1" applyBorder="1" applyAlignment="1">
      <alignment horizontal="center" vertical="top" wrapText="1"/>
    </xf>
    <xf numFmtId="3" fontId="4" fillId="4" borderId="75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49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2" fillId="14" borderId="39" xfId="0" applyNumberFormat="1" applyFont="1" applyFill="1" applyBorder="1" applyAlignment="1">
      <alignment horizontal="center" vertical="top" wrapText="1"/>
    </xf>
    <xf numFmtId="3" fontId="2" fillId="14" borderId="32" xfId="0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/>
    </xf>
    <xf numFmtId="3" fontId="1" fillId="4" borderId="2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3" fontId="4" fillId="4" borderId="59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5" fillId="4" borderId="19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3" fontId="4" fillId="4" borderId="6" xfId="0" applyNumberFormat="1" applyFont="1" applyFill="1" applyBorder="1" applyAlignment="1">
      <alignment horizontal="left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164" fontId="1" fillId="4" borderId="18" xfId="0" applyNumberFormat="1" applyFont="1" applyFill="1" applyBorder="1" applyAlignment="1">
      <alignment horizontal="center" vertical="top"/>
    </xf>
    <xf numFmtId="3" fontId="4" fillId="4" borderId="49" xfId="0" applyNumberFormat="1" applyFont="1" applyFill="1" applyBorder="1" applyAlignment="1">
      <alignment horizontal="left" vertical="top" wrapText="1"/>
    </xf>
    <xf numFmtId="3" fontId="4" fillId="4" borderId="70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vertical="top" wrapText="1"/>
    </xf>
    <xf numFmtId="49" fontId="5" fillId="8" borderId="62" xfId="0" applyNumberFormat="1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0" fontId="12" fillId="4" borderId="44" xfId="0" applyFont="1" applyFill="1" applyBorder="1" applyAlignment="1">
      <alignment horizontal="center" vertical="top" wrapText="1"/>
    </xf>
    <xf numFmtId="3" fontId="5" fillId="4" borderId="42" xfId="0" applyNumberFormat="1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49" fontId="2" fillId="8" borderId="62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center" vertical="top" wrapText="1"/>
    </xf>
    <xf numFmtId="49" fontId="5" fillId="3" borderId="53" xfId="0" applyNumberFormat="1" applyFont="1" applyFill="1" applyBorder="1" applyAlignment="1">
      <alignment horizontal="center" vertical="top" wrapText="1"/>
    </xf>
    <xf numFmtId="3" fontId="5" fillId="4" borderId="53" xfId="0" applyNumberFormat="1" applyFont="1" applyFill="1" applyBorder="1" applyAlignment="1">
      <alignment horizontal="center" vertical="top" wrapText="1"/>
    </xf>
    <xf numFmtId="164" fontId="1" fillId="4" borderId="62" xfId="0" applyNumberFormat="1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horizontal="center" vertical="top"/>
    </xf>
    <xf numFmtId="3" fontId="1" fillId="4" borderId="15" xfId="0" applyNumberFormat="1" applyFont="1" applyFill="1" applyBorder="1" applyAlignment="1">
      <alignment horizontal="center" vertical="top"/>
    </xf>
    <xf numFmtId="49" fontId="2" fillId="3" borderId="53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horizontal="center" vertical="top" textRotation="90" wrapText="1"/>
    </xf>
    <xf numFmtId="164" fontId="1" fillId="0" borderId="42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 vertical="top" wrapText="1"/>
    </xf>
    <xf numFmtId="3" fontId="1" fillId="0" borderId="60" xfId="0" applyNumberFormat="1" applyFont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horizontal="center" vertical="top" wrapText="1"/>
    </xf>
    <xf numFmtId="165" fontId="22" fillId="4" borderId="0" xfId="0" applyNumberFormat="1" applyFont="1" applyFill="1" applyBorder="1" applyAlignment="1">
      <alignment horizontal="center" vertical="top" wrapText="1"/>
    </xf>
    <xf numFmtId="3" fontId="22" fillId="4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18" fillId="0" borderId="0" xfId="0" applyNumberFormat="1" applyFont="1" applyAlignment="1">
      <alignment horizontal="left" vertical="top" wrapText="1"/>
    </xf>
    <xf numFmtId="3" fontId="4" fillId="0" borderId="43" xfId="0" applyNumberFormat="1" applyFont="1" applyBorder="1" applyAlignment="1">
      <alignment horizontal="right" wrapText="1"/>
    </xf>
    <xf numFmtId="3" fontId="4" fillId="4" borderId="59" xfId="0" applyNumberFormat="1" applyFont="1" applyFill="1" applyBorder="1" applyAlignment="1">
      <alignment horizontal="left" vertical="top" wrapText="1"/>
    </xf>
    <xf numFmtId="3" fontId="4" fillId="4" borderId="19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1" fillId="0" borderId="34" xfId="0" applyNumberFormat="1" applyFont="1" applyBorder="1" applyAlignment="1">
      <alignment horizontal="center" vertical="top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3" fontId="4" fillId="4" borderId="57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5" fillId="4" borderId="19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 wrapText="1"/>
    </xf>
    <xf numFmtId="3" fontId="1" fillId="4" borderId="19" xfId="0" applyNumberFormat="1" applyFont="1" applyFill="1" applyBorder="1" applyAlignment="1">
      <alignment horizontal="left" vertical="top" wrapText="1"/>
    </xf>
    <xf numFmtId="3" fontId="1" fillId="4" borderId="59" xfId="0" applyNumberFormat="1" applyFont="1" applyFill="1" applyBorder="1" applyAlignment="1">
      <alignment horizontal="left" vertical="top" wrapText="1"/>
    </xf>
    <xf numFmtId="49" fontId="2" fillId="8" borderId="16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8" borderId="56" xfId="0" applyNumberFormat="1" applyFont="1" applyFill="1" applyBorder="1" applyAlignment="1">
      <alignment horizontal="center" vertical="top"/>
    </xf>
    <xf numFmtId="3" fontId="5" fillId="4" borderId="18" xfId="0" applyNumberFormat="1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2" fillId="4" borderId="59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3" fontId="4" fillId="4" borderId="6" xfId="0" applyNumberFormat="1" applyFont="1" applyFill="1" applyBorder="1" applyAlignment="1">
      <alignment horizontal="left" vertical="top" wrapText="1"/>
    </xf>
    <xf numFmtId="3" fontId="5" fillId="4" borderId="42" xfId="0" applyNumberFormat="1" applyFont="1" applyFill="1" applyBorder="1" applyAlignment="1">
      <alignment horizontal="left" vertical="top" wrapText="1"/>
    </xf>
    <xf numFmtId="3" fontId="5" fillId="4" borderId="59" xfId="0" applyNumberFormat="1" applyFont="1" applyFill="1" applyBorder="1" applyAlignment="1">
      <alignment horizontal="center" vertical="top" wrapText="1"/>
    </xf>
    <xf numFmtId="3" fontId="2" fillId="4" borderId="39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3" fontId="4" fillId="3" borderId="59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vertical="top" wrapText="1"/>
    </xf>
    <xf numFmtId="3" fontId="1" fillId="4" borderId="66" xfId="0" applyNumberFormat="1" applyFont="1" applyFill="1" applyBorder="1" applyAlignment="1">
      <alignment horizontal="center" vertical="top"/>
    </xf>
    <xf numFmtId="3" fontId="4" fillId="4" borderId="43" xfId="0" applyNumberFormat="1" applyFont="1" applyFill="1" applyBorder="1" applyAlignment="1">
      <alignment horizontal="left" vertical="top" wrapText="1"/>
    </xf>
    <xf numFmtId="0" fontId="4" fillId="4" borderId="59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3" fontId="4" fillId="4" borderId="5" xfId="0" applyNumberFormat="1" applyFont="1" applyFill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left" vertical="top" wrapText="1"/>
    </xf>
    <xf numFmtId="3" fontId="1" fillId="4" borderId="43" xfId="0" applyNumberFormat="1" applyFont="1" applyFill="1" applyBorder="1" applyAlignment="1">
      <alignment horizontal="left" vertical="top" wrapText="1"/>
    </xf>
    <xf numFmtId="3" fontId="4" fillId="4" borderId="70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19" xfId="0" applyNumberFormat="1" applyFont="1" applyFill="1" applyBorder="1" applyAlignment="1">
      <alignment horizontal="center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3" fontId="1" fillId="4" borderId="34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 textRotation="90"/>
    </xf>
    <xf numFmtId="3" fontId="5" fillId="4" borderId="21" xfId="0" applyNumberFormat="1" applyFont="1" applyFill="1" applyBorder="1" applyAlignment="1">
      <alignment horizontal="center" vertical="top"/>
    </xf>
    <xf numFmtId="164" fontId="4" fillId="4" borderId="16" xfId="0" applyNumberFormat="1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top"/>
    </xf>
    <xf numFmtId="164" fontId="4" fillId="4" borderId="40" xfId="0" applyNumberFormat="1" applyFont="1" applyFill="1" applyBorder="1" applyAlignment="1">
      <alignment horizontal="center" vertical="top" wrapText="1"/>
    </xf>
    <xf numFmtId="3" fontId="4" fillId="4" borderId="27" xfId="0" applyNumberFormat="1" applyFont="1" applyFill="1" applyBorder="1" applyAlignment="1">
      <alignment horizontal="left" vertical="top" wrapText="1"/>
    </xf>
    <xf numFmtId="164" fontId="5" fillId="4" borderId="40" xfId="0" applyNumberFormat="1" applyFont="1" applyFill="1" applyBorder="1" applyAlignment="1">
      <alignment horizontal="center" vertical="top" wrapText="1"/>
    </xf>
    <xf numFmtId="164" fontId="4" fillId="4" borderId="40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10" fillId="4" borderId="40" xfId="0" applyNumberFormat="1" applyFont="1" applyFill="1" applyBorder="1" applyAlignment="1">
      <alignment horizontal="center" vertical="top" wrapText="1"/>
    </xf>
    <xf numFmtId="164" fontId="10" fillId="4" borderId="17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103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4" borderId="54" xfId="0" applyNumberFormat="1" applyFont="1" applyFill="1" applyBorder="1" applyAlignment="1">
      <alignment vertical="top" wrapText="1"/>
    </xf>
    <xf numFmtId="3" fontId="4" fillId="4" borderId="11" xfId="0" applyNumberFormat="1" applyFont="1" applyFill="1" applyBorder="1" applyAlignment="1">
      <alignment horizontal="center" vertical="top" wrapText="1"/>
    </xf>
    <xf numFmtId="3" fontId="4" fillId="4" borderId="25" xfId="0" applyNumberFormat="1" applyFont="1" applyFill="1" applyBorder="1" applyAlignment="1">
      <alignment horizontal="center" vertical="top" wrapText="1"/>
    </xf>
    <xf numFmtId="3" fontId="4" fillId="4" borderId="104" xfId="0" applyNumberFormat="1" applyFont="1" applyFill="1" applyBorder="1" applyAlignment="1">
      <alignment horizontal="center" vertical="top" wrapText="1"/>
    </xf>
    <xf numFmtId="3" fontId="1" fillId="4" borderId="29" xfId="0" applyNumberFormat="1" applyFont="1" applyFill="1" applyBorder="1" applyAlignment="1">
      <alignment horizontal="center" vertical="top" wrapText="1"/>
    </xf>
    <xf numFmtId="3" fontId="4" fillId="4" borderId="29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center" wrapText="1"/>
    </xf>
    <xf numFmtId="164" fontId="4" fillId="4" borderId="40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1" fillId="4" borderId="40" xfId="0" applyNumberFormat="1" applyFont="1" applyFill="1" applyBorder="1" applyAlignment="1">
      <alignment horizontal="center" vertical="top"/>
    </xf>
    <xf numFmtId="4" fontId="4" fillId="4" borderId="13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59" xfId="0" applyNumberFormat="1" applyFont="1" applyFill="1" applyBorder="1" applyAlignment="1">
      <alignment horizontal="center" vertical="top" wrapText="1"/>
    </xf>
    <xf numFmtId="3" fontId="1" fillId="4" borderId="58" xfId="0" applyNumberFormat="1" applyFont="1" applyFill="1" applyBorder="1" applyAlignment="1">
      <alignment horizontal="left" vertical="top" wrapText="1"/>
    </xf>
    <xf numFmtId="164" fontId="1" fillId="4" borderId="41" xfId="0" applyNumberFormat="1" applyFont="1" applyFill="1" applyBorder="1" applyAlignment="1">
      <alignment horizontal="center" vertical="top" wrapText="1"/>
    </xf>
    <xf numFmtId="3" fontId="1" fillId="4" borderId="57" xfId="0" applyNumberFormat="1" applyFont="1" applyFill="1" applyBorder="1" applyAlignment="1">
      <alignment vertical="top" wrapText="1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48" xfId="0" applyNumberFormat="1" applyFont="1" applyFill="1" applyBorder="1" applyAlignment="1">
      <alignment horizontal="center" vertical="top" wrapText="1"/>
    </xf>
    <xf numFmtId="3" fontId="1" fillId="4" borderId="45" xfId="0" applyNumberFormat="1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" fillId="4" borderId="77" xfId="0" applyNumberFormat="1" applyFont="1" applyFill="1" applyBorder="1" applyAlignment="1">
      <alignment horizontal="center" vertical="top" wrapText="1"/>
    </xf>
    <xf numFmtId="3" fontId="12" fillId="4" borderId="51" xfId="0" applyNumberFormat="1" applyFont="1" applyFill="1" applyBorder="1" applyAlignment="1">
      <alignment horizontal="center" vertical="top" wrapText="1"/>
    </xf>
    <xf numFmtId="3" fontId="12" fillId="4" borderId="66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 wrapText="1"/>
    </xf>
    <xf numFmtId="164" fontId="1" fillId="0" borderId="59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horizontal="center" vertical="top" wrapText="1"/>
    </xf>
    <xf numFmtId="164" fontId="1" fillId="4" borderId="61" xfId="0" applyNumberFormat="1" applyFont="1" applyFill="1" applyBorder="1" applyAlignment="1">
      <alignment horizontal="center" vertical="top" wrapText="1"/>
    </xf>
    <xf numFmtId="164" fontId="2" fillId="5" borderId="103" xfId="0" applyNumberFormat="1" applyFont="1" applyFill="1" applyBorder="1" applyAlignment="1">
      <alignment horizontal="center" vertical="top" wrapText="1"/>
    </xf>
    <xf numFmtId="3" fontId="1" fillId="4" borderId="19" xfId="0" applyNumberFormat="1" applyFont="1" applyFill="1" applyBorder="1" applyAlignment="1">
      <alignment horizontal="center" vertical="top" wrapText="1"/>
    </xf>
    <xf numFmtId="164" fontId="4" fillId="4" borderId="102" xfId="0" applyNumberFormat="1" applyFont="1" applyFill="1" applyBorder="1" applyAlignment="1">
      <alignment horizontal="center" vertical="top"/>
    </xf>
    <xf numFmtId="3" fontId="1" fillId="4" borderId="4" xfId="0" applyNumberFormat="1" applyFont="1" applyFill="1" applyBorder="1" applyAlignment="1">
      <alignment horizontal="center" vertical="top" wrapText="1"/>
    </xf>
    <xf numFmtId="164" fontId="1" fillId="0" borderId="7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164" fontId="1" fillId="4" borderId="102" xfId="0" applyNumberFormat="1" applyFont="1" applyFill="1" applyBorder="1" applyAlignment="1">
      <alignment horizontal="center" vertical="top" wrapText="1"/>
    </xf>
    <xf numFmtId="164" fontId="2" fillId="2" borderId="72" xfId="0" applyNumberFormat="1" applyFont="1" applyFill="1" applyBorder="1" applyAlignment="1">
      <alignment horizontal="center" vertical="top" wrapText="1"/>
    </xf>
    <xf numFmtId="3" fontId="2" fillId="2" borderId="104" xfId="0" applyNumberFormat="1" applyFont="1" applyFill="1" applyBorder="1" applyAlignment="1">
      <alignment horizontal="center" vertical="top" wrapText="1"/>
    </xf>
    <xf numFmtId="164" fontId="2" fillId="8" borderId="25" xfId="0" applyNumberFormat="1" applyFont="1" applyFill="1" applyBorder="1" applyAlignment="1">
      <alignment horizontal="center" vertical="top" wrapText="1"/>
    </xf>
    <xf numFmtId="164" fontId="2" fillId="8" borderId="54" xfId="0" applyNumberFormat="1" applyFont="1" applyFill="1" applyBorder="1" applyAlignment="1">
      <alignment horizontal="center" vertical="top" wrapText="1"/>
    </xf>
    <xf numFmtId="3" fontId="2" fillId="8" borderId="104" xfId="0" applyNumberFormat="1" applyFont="1" applyFill="1" applyBorder="1" applyAlignment="1">
      <alignment horizontal="center" vertical="top" wrapText="1"/>
    </xf>
    <xf numFmtId="164" fontId="4" fillId="4" borderId="35" xfId="0" applyNumberFormat="1" applyFont="1" applyFill="1" applyBorder="1" applyAlignment="1">
      <alignment horizontal="center" vertical="top" wrapText="1"/>
    </xf>
    <xf numFmtId="3" fontId="4" fillId="4" borderId="17" xfId="0" applyNumberFormat="1" applyFont="1" applyFill="1" applyBorder="1" applyAlignment="1">
      <alignment vertical="top" wrapText="1"/>
    </xf>
    <xf numFmtId="164" fontId="5" fillId="5" borderId="27" xfId="0" applyNumberFormat="1" applyFont="1" applyFill="1" applyBorder="1" applyAlignment="1">
      <alignment horizontal="center" vertical="top" wrapText="1"/>
    </xf>
    <xf numFmtId="164" fontId="5" fillId="5" borderId="37" xfId="0" applyNumberFormat="1" applyFont="1" applyFill="1" applyBorder="1" applyAlignment="1">
      <alignment horizontal="center" vertical="top" wrapText="1"/>
    </xf>
    <xf numFmtId="164" fontId="1" fillId="0" borderId="74" xfId="0" applyNumberFormat="1" applyFont="1" applyBorder="1" applyAlignment="1">
      <alignment horizontal="center" vertical="top" wrapText="1"/>
    </xf>
    <xf numFmtId="164" fontId="1" fillId="0" borderId="58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3" fontId="1" fillId="0" borderId="64" xfId="0" applyNumberFormat="1" applyFont="1" applyBorder="1" applyAlignment="1">
      <alignment horizontal="center" vertical="top" wrapText="1"/>
    </xf>
    <xf numFmtId="164" fontId="1" fillId="0" borderId="65" xfId="0" applyNumberFormat="1" applyFont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164" fontId="1" fillId="0" borderId="52" xfId="0" applyNumberFormat="1" applyFont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4" borderId="31" xfId="0" applyNumberFormat="1" applyFont="1" applyFill="1" applyBorder="1" applyAlignment="1">
      <alignment horizontal="center" vertical="top" wrapText="1"/>
    </xf>
    <xf numFmtId="3" fontId="1" fillId="4" borderId="40" xfId="0" applyNumberFormat="1" applyFont="1" applyFill="1" applyBorder="1" applyAlignment="1">
      <alignment vertical="top" wrapText="1"/>
    </xf>
    <xf numFmtId="3" fontId="1" fillId="4" borderId="18" xfId="0" applyNumberFormat="1" applyFont="1" applyFill="1" applyBorder="1" applyAlignment="1">
      <alignment vertical="top" wrapText="1"/>
    </xf>
    <xf numFmtId="3" fontId="1" fillId="4" borderId="31" xfId="0" applyNumberFormat="1" applyFont="1" applyFill="1" applyBorder="1" applyAlignment="1">
      <alignment vertical="top" wrapText="1"/>
    </xf>
    <xf numFmtId="3" fontId="1" fillId="4" borderId="17" xfId="0" applyNumberFormat="1" applyFont="1" applyFill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167" fontId="4" fillId="9" borderId="33" xfId="2" applyNumberFormat="1" applyFont="1" applyFill="1" applyBorder="1" applyAlignment="1">
      <alignment horizontal="center" vertical="top" wrapText="1"/>
    </xf>
    <xf numFmtId="167" fontId="4" fillId="9" borderId="53" xfId="2" applyNumberFormat="1" applyFont="1" applyFill="1" applyBorder="1" applyAlignment="1">
      <alignment horizontal="center" vertical="top" wrapText="1"/>
    </xf>
    <xf numFmtId="167" fontId="4" fillId="9" borderId="105" xfId="2" applyNumberFormat="1" applyFont="1" applyFill="1" applyBorder="1" applyAlignment="1">
      <alignment horizontal="center" vertical="top" wrapText="1"/>
    </xf>
    <xf numFmtId="167" fontId="4" fillId="9" borderId="67" xfId="2" applyNumberFormat="1" applyFont="1" applyFill="1" applyBorder="1" applyAlignment="1">
      <alignment horizontal="center" vertical="top" wrapText="1"/>
    </xf>
    <xf numFmtId="167" fontId="4" fillId="9" borderId="32" xfId="2" applyNumberFormat="1" applyFont="1" applyFill="1" applyBorder="1" applyAlignment="1">
      <alignment horizontal="center" vertical="top" wrapText="1"/>
    </xf>
    <xf numFmtId="164" fontId="1" fillId="11" borderId="18" xfId="2" applyNumberFormat="1" applyFont="1" applyFill="1" applyBorder="1" applyAlignment="1">
      <alignment horizontal="center" vertical="top"/>
    </xf>
    <xf numFmtId="164" fontId="1" fillId="11" borderId="0" xfId="2" applyNumberFormat="1" applyFont="1" applyFill="1" applyBorder="1" applyAlignment="1">
      <alignment horizontal="center" vertical="top"/>
    </xf>
    <xf numFmtId="3" fontId="1" fillId="4" borderId="67" xfId="0" applyNumberFormat="1" applyFont="1" applyFill="1" applyBorder="1" applyAlignment="1">
      <alignment horizontal="center" vertical="top" wrapText="1"/>
    </xf>
    <xf numFmtId="167" fontId="4" fillId="9" borderId="17" xfId="2" applyNumberFormat="1" applyFont="1" applyFill="1" applyBorder="1" applyAlignment="1">
      <alignment horizontal="left" vertical="top" wrapText="1"/>
    </xf>
    <xf numFmtId="168" fontId="4" fillId="9" borderId="61" xfId="2" applyNumberFormat="1" applyFont="1" applyFill="1" applyBorder="1" applyAlignment="1">
      <alignment vertical="top" wrapText="1"/>
    </xf>
    <xf numFmtId="167" fontId="4" fillId="9" borderId="106" xfId="2" applyNumberFormat="1" applyFont="1" applyFill="1" applyBorder="1" applyAlignment="1">
      <alignment horizontal="center" vertical="top"/>
    </xf>
    <xf numFmtId="3" fontId="4" fillId="4" borderId="70" xfId="2" applyNumberFormat="1" applyFont="1" applyFill="1" applyBorder="1" applyAlignment="1">
      <alignment horizontal="center" vertical="top"/>
    </xf>
    <xf numFmtId="167" fontId="4" fillId="9" borderId="33" xfId="2" applyNumberFormat="1" applyFont="1" applyFill="1" applyBorder="1" applyAlignment="1">
      <alignment horizontal="center" vertical="top"/>
    </xf>
    <xf numFmtId="168" fontId="4" fillId="9" borderId="17" xfId="2" applyNumberFormat="1" applyFont="1" applyFill="1" applyBorder="1" applyAlignment="1">
      <alignment vertical="top" wrapText="1"/>
    </xf>
    <xf numFmtId="167" fontId="4" fillId="9" borderId="105" xfId="2" applyNumberFormat="1" applyFont="1" applyFill="1" applyBorder="1" applyAlignment="1">
      <alignment horizontal="center" vertical="top"/>
    </xf>
    <xf numFmtId="3" fontId="4" fillId="4" borderId="67" xfId="2" applyNumberFormat="1" applyFont="1" applyFill="1" applyBorder="1" applyAlignment="1">
      <alignment horizontal="center" vertical="top"/>
    </xf>
    <xf numFmtId="167" fontId="4" fillId="9" borderId="32" xfId="2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 wrapText="1"/>
    </xf>
    <xf numFmtId="0" fontId="4" fillId="4" borderId="59" xfId="0" applyFont="1" applyFill="1" applyBorder="1" applyAlignment="1">
      <alignment horizontal="center" vertical="top" wrapText="1"/>
    </xf>
    <xf numFmtId="0" fontId="4" fillId="4" borderId="33" xfId="0" applyFont="1" applyFill="1" applyBorder="1" applyAlignment="1">
      <alignment horizontal="center" vertical="top" wrapText="1"/>
    </xf>
    <xf numFmtId="0" fontId="4" fillId="4" borderId="31" xfId="0" applyFont="1" applyFill="1" applyBorder="1" applyAlignment="1">
      <alignment horizontal="center" vertical="top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1" fillId="4" borderId="62" xfId="0" applyFont="1" applyFill="1" applyBorder="1" applyAlignment="1">
      <alignment horizontal="left" vertical="top" wrapText="1"/>
    </xf>
    <xf numFmtId="0" fontId="1" fillId="4" borderId="53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3" fontId="4" fillId="3" borderId="32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top" wrapText="1"/>
    </xf>
    <xf numFmtId="164" fontId="4" fillId="12" borderId="0" xfId="2" applyNumberFormat="1" applyFont="1" applyFill="1" applyBorder="1" applyAlignment="1">
      <alignment horizontal="center" vertical="top"/>
    </xf>
    <xf numFmtId="167" fontId="4" fillId="11" borderId="33" xfId="2" applyNumberFormat="1" applyFont="1" applyFill="1" applyBorder="1" applyAlignment="1">
      <alignment horizontal="center" vertical="top"/>
    </xf>
    <xf numFmtId="167" fontId="4" fillId="11" borderId="53" xfId="2" applyNumberFormat="1" applyFont="1" applyFill="1" applyBorder="1" applyAlignment="1">
      <alignment horizontal="center" vertical="top"/>
    </xf>
    <xf numFmtId="167" fontId="4" fillId="11" borderId="61" xfId="2" applyNumberFormat="1" applyFont="1" applyFill="1" applyBorder="1" applyAlignment="1">
      <alignment horizontal="left" vertical="top" wrapText="1"/>
    </xf>
    <xf numFmtId="167" fontId="4" fillId="11" borderId="17" xfId="2" applyNumberFormat="1" applyFont="1" applyFill="1" applyBorder="1" applyAlignment="1">
      <alignment horizontal="left" vertical="top" wrapText="1"/>
    </xf>
    <xf numFmtId="167" fontId="4" fillId="11" borderId="32" xfId="2" applyNumberFormat="1" applyFont="1" applyFill="1" applyBorder="1" applyAlignment="1">
      <alignment horizontal="center" vertical="top"/>
    </xf>
    <xf numFmtId="167" fontId="4" fillId="11" borderId="62" xfId="2" applyNumberFormat="1" applyFont="1" applyFill="1" applyBorder="1" applyAlignment="1">
      <alignment horizontal="left" vertical="top" wrapText="1"/>
    </xf>
    <xf numFmtId="3" fontId="1" fillId="4" borderId="61" xfId="0" applyNumberFormat="1" applyFont="1" applyFill="1" applyBorder="1" applyAlignment="1">
      <alignment horizontal="left" vertical="top" wrapText="1"/>
    </xf>
    <xf numFmtId="0" fontId="4" fillId="4" borderId="61" xfId="0" applyFont="1" applyFill="1" applyBorder="1" applyAlignment="1">
      <alignment horizontal="left" vertical="top" wrapText="1"/>
    </xf>
    <xf numFmtId="3" fontId="4" fillId="4" borderId="59" xfId="0" applyNumberFormat="1" applyFont="1" applyFill="1" applyBorder="1" applyAlignment="1">
      <alignment horizontal="center" vertical="top"/>
    </xf>
    <xf numFmtId="167" fontId="4" fillId="9" borderId="65" xfId="2" applyNumberFormat="1" applyFont="1" applyFill="1" applyBorder="1" applyAlignment="1">
      <alignment horizontal="left" vertical="top" wrapText="1"/>
    </xf>
    <xf numFmtId="167" fontId="4" fillId="9" borderId="107" xfId="2" applyNumberFormat="1" applyFont="1" applyFill="1" applyBorder="1" applyAlignment="1">
      <alignment horizontal="center" vertical="top"/>
    </xf>
    <xf numFmtId="164" fontId="4" fillId="4" borderId="76" xfId="2" applyNumberFormat="1" applyFont="1" applyFill="1" applyBorder="1" applyAlignment="1"/>
    <xf numFmtId="167" fontId="4" fillId="9" borderId="51" xfId="2" applyNumberFormat="1" applyFont="1" applyFill="1" applyBorder="1" applyAlignment="1">
      <alignment horizontal="center" vertical="top"/>
    </xf>
    <xf numFmtId="167" fontId="4" fillId="9" borderId="61" xfId="2" applyNumberFormat="1" applyFont="1" applyFill="1" applyBorder="1" applyAlignment="1">
      <alignment horizontal="left" vertical="top" wrapText="1"/>
    </xf>
    <xf numFmtId="3" fontId="4" fillId="11" borderId="70" xfId="2" applyNumberFormat="1" applyFont="1" applyFill="1" applyBorder="1" applyAlignment="1">
      <alignment horizontal="center" vertical="top"/>
    </xf>
    <xf numFmtId="3" fontId="1" fillId="4" borderId="17" xfId="0" applyNumberFormat="1" applyFont="1" applyFill="1" applyBorder="1" applyAlignment="1">
      <alignment horizontal="left" vertical="top" wrapText="1"/>
    </xf>
    <xf numFmtId="167" fontId="4" fillId="9" borderId="87" xfId="2" applyNumberFormat="1" applyFont="1" applyFill="1" applyBorder="1" applyAlignment="1">
      <alignment vertical="top" wrapText="1"/>
    </xf>
    <xf numFmtId="167" fontId="4" fillId="9" borderId="108" xfId="2" applyNumberFormat="1" applyFont="1" applyFill="1" applyBorder="1" applyAlignment="1">
      <alignment horizontal="center" vertical="top" wrapText="1"/>
    </xf>
    <xf numFmtId="167" fontId="4" fillId="9" borderId="100" xfId="2" applyNumberFormat="1" applyFont="1" applyFill="1" applyBorder="1" applyAlignment="1">
      <alignment horizontal="center" vertical="top" wrapText="1"/>
    </xf>
    <xf numFmtId="167" fontId="4" fillId="9" borderId="108" xfId="2" applyNumberFormat="1" applyFont="1" applyFill="1" applyBorder="1" applyAlignment="1">
      <alignment horizontal="center" vertical="top"/>
    </xf>
    <xf numFmtId="167" fontId="4" fillId="9" borderId="17" xfId="2" applyNumberFormat="1" applyFont="1" applyFill="1" applyBorder="1" applyAlignment="1">
      <alignment vertical="top" wrapText="1"/>
    </xf>
    <xf numFmtId="167" fontId="4" fillId="9" borderId="106" xfId="2" applyNumberFormat="1" applyFont="1" applyFill="1" applyBorder="1" applyAlignment="1">
      <alignment horizontal="center" vertical="top" wrapText="1"/>
    </xf>
    <xf numFmtId="164" fontId="2" fillId="4" borderId="42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top" wrapText="1"/>
    </xf>
    <xf numFmtId="164" fontId="1" fillId="4" borderId="22" xfId="0" applyNumberFormat="1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vertical="top" wrapText="1"/>
    </xf>
    <xf numFmtId="3" fontId="1" fillId="0" borderId="18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3" fontId="1" fillId="0" borderId="62" xfId="0" applyNumberFormat="1" applyFont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0" borderId="57" xfId="0" applyNumberFormat="1" applyFont="1" applyBorder="1" applyAlignment="1">
      <alignment horizontal="center" vertical="top" wrapText="1"/>
    </xf>
    <xf numFmtId="164" fontId="1" fillId="0" borderId="62" xfId="0" applyNumberFormat="1" applyFont="1" applyBorder="1" applyAlignment="1">
      <alignment horizontal="center" vertical="top" wrapText="1"/>
    </xf>
    <xf numFmtId="3" fontId="1" fillId="4" borderId="57" xfId="0" applyNumberFormat="1" applyFont="1" applyFill="1" applyBorder="1" applyAlignment="1">
      <alignment horizontal="center" vertical="top"/>
    </xf>
    <xf numFmtId="164" fontId="2" fillId="5" borderId="34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164" fontId="5" fillId="5" borderId="19" xfId="0" applyNumberFormat="1" applyFont="1" applyFill="1" applyBorder="1" applyAlignment="1">
      <alignment horizontal="center" vertical="top" wrapText="1"/>
    </xf>
    <xf numFmtId="164" fontId="5" fillId="5" borderId="7" xfId="0" applyNumberFormat="1" applyFont="1" applyFill="1" applyBorder="1" applyAlignment="1">
      <alignment horizontal="center" vertical="top" wrapText="1"/>
    </xf>
    <xf numFmtId="3" fontId="1" fillId="4" borderId="56" xfId="0" applyNumberFormat="1" applyFont="1" applyFill="1" applyBorder="1" applyAlignment="1">
      <alignment vertical="top" wrapText="1"/>
    </xf>
    <xf numFmtId="3" fontId="1" fillId="4" borderId="68" xfId="0" applyNumberFormat="1" applyFont="1" applyFill="1" applyBorder="1" applyAlignment="1">
      <alignment horizontal="center" vertical="top"/>
    </xf>
    <xf numFmtId="3" fontId="1" fillId="4" borderId="19" xfId="0" applyNumberFormat="1" applyFont="1" applyFill="1" applyBorder="1" applyAlignment="1">
      <alignment horizontal="center" vertical="top"/>
    </xf>
    <xf numFmtId="3" fontId="1" fillId="4" borderId="43" xfId="0" applyNumberFormat="1" applyFont="1" applyFill="1" applyBorder="1" applyAlignment="1">
      <alignment horizontal="center" vertical="top"/>
    </xf>
    <xf numFmtId="3" fontId="1" fillId="4" borderId="21" xfId="0" applyNumberFormat="1" applyFont="1" applyFill="1" applyBorder="1" applyAlignment="1">
      <alignment horizontal="center" vertical="top"/>
    </xf>
    <xf numFmtId="164" fontId="4" fillId="0" borderId="73" xfId="0" applyNumberFormat="1" applyFont="1" applyFill="1" applyBorder="1" applyAlignment="1">
      <alignment horizontal="center" vertical="top"/>
    </xf>
    <xf numFmtId="3" fontId="1" fillId="0" borderId="32" xfId="0" applyNumberFormat="1" applyFont="1" applyBorder="1" applyAlignment="1">
      <alignment vertical="top"/>
    </xf>
    <xf numFmtId="3" fontId="1" fillId="0" borderId="31" xfId="0" applyNumberFormat="1" applyFont="1" applyBorder="1" applyAlignment="1">
      <alignment vertical="top"/>
    </xf>
    <xf numFmtId="164" fontId="4" fillId="0" borderId="59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2" fillId="2" borderId="43" xfId="0" applyNumberFormat="1" applyFont="1" applyFill="1" applyBorder="1" applyAlignment="1">
      <alignment horizontal="center" vertical="top" wrapText="1"/>
    </xf>
    <xf numFmtId="3" fontId="5" fillId="4" borderId="13" xfId="0" applyNumberFormat="1" applyFont="1" applyFill="1" applyBorder="1" applyAlignment="1">
      <alignment horizontal="center" vertical="top" textRotation="90" wrapText="1"/>
    </xf>
    <xf numFmtId="164" fontId="4" fillId="4" borderId="22" xfId="0" applyNumberFormat="1" applyFont="1" applyFill="1" applyBorder="1" applyAlignment="1">
      <alignment horizontal="center" vertical="top" wrapText="1"/>
    </xf>
    <xf numFmtId="3" fontId="4" fillId="0" borderId="64" xfId="0" applyNumberFormat="1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3" fontId="4" fillId="4" borderId="32" xfId="0" applyNumberFormat="1" applyFont="1" applyFill="1" applyBorder="1" applyAlignment="1">
      <alignment horizontal="center" vertical="top"/>
    </xf>
    <xf numFmtId="3" fontId="4" fillId="4" borderId="53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3" fontId="4" fillId="4" borderId="51" xfId="0" applyNumberFormat="1" applyFont="1" applyFill="1" applyBorder="1" applyAlignment="1">
      <alignment horizontal="center" vertical="top"/>
    </xf>
    <xf numFmtId="3" fontId="23" fillId="4" borderId="6" xfId="0" applyNumberFormat="1" applyFont="1" applyFill="1" applyBorder="1" applyAlignment="1">
      <alignment vertical="top" wrapText="1"/>
    </xf>
    <xf numFmtId="3" fontId="23" fillId="4" borderId="70" xfId="0" applyNumberFormat="1" applyFont="1" applyFill="1" applyBorder="1" applyAlignment="1">
      <alignment horizontal="center" vertical="top"/>
    </xf>
    <xf numFmtId="3" fontId="23" fillId="4" borderId="27" xfId="0" applyNumberFormat="1" applyFont="1" applyFill="1" applyBorder="1" applyAlignment="1">
      <alignment horizontal="center" vertical="top"/>
    </xf>
    <xf numFmtId="3" fontId="23" fillId="4" borderId="59" xfId="0" applyNumberFormat="1" applyFont="1" applyFill="1" applyBorder="1" applyAlignment="1">
      <alignment horizontal="center" vertical="top"/>
    </xf>
    <xf numFmtId="164" fontId="4" fillId="4" borderId="41" xfId="0" applyNumberFormat="1" applyFont="1" applyFill="1" applyBorder="1" applyAlignment="1">
      <alignment horizontal="center" vertical="top"/>
    </xf>
    <xf numFmtId="3" fontId="4" fillId="4" borderId="19" xfId="0" applyNumberFormat="1" applyFont="1" applyFill="1" applyBorder="1" applyAlignment="1">
      <alignment vertical="top" wrapText="1"/>
    </xf>
    <xf numFmtId="3" fontId="5" fillId="5" borderId="56" xfId="0" applyNumberFormat="1" applyFont="1" applyFill="1" applyBorder="1" applyAlignment="1">
      <alignment horizontal="center" vertical="top" wrapText="1"/>
    </xf>
    <xf numFmtId="164" fontId="5" fillId="5" borderId="56" xfId="0" applyNumberFormat="1" applyFont="1" applyFill="1" applyBorder="1" applyAlignment="1">
      <alignment horizontal="center" vertical="top" wrapText="1"/>
    </xf>
    <xf numFmtId="164" fontId="5" fillId="5" borderId="43" xfId="0" applyNumberFormat="1" applyFont="1" applyFill="1" applyBorder="1" applyAlignment="1">
      <alignment horizontal="center" vertical="top" wrapText="1"/>
    </xf>
    <xf numFmtId="164" fontId="5" fillId="5" borderId="20" xfId="0" applyNumberFormat="1" applyFont="1" applyFill="1" applyBorder="1" applyAlignment="1">
      <alignment horizontal="center" vertical="top" wrapText="1"/>
    </xf>
    <xf numFmtId="164" fontId="5" fillId="5" borderId="69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164" fontId="4" fillId="4" borderId="22" xfId="0" applyNumberFormat="1" applyFont="1" applyFill="1" applyBorder="1" applyAlignment="1">
      <alignment horizontal="center" vertical="top"/>
    </xf>
    <xf numFmtId="164" fontId="5" fillId="5" borderId="45" xfId="0" applyNumberFormat="1" applyFont="1" applyFill="1" applyBorder="1" applyAlignment="1">
      <alignment horizontal="center" vertical="top"/>
    </xf>
    <xf numFmtId="164" fontId="5" fillId="5" borderId="48" xfId="0" applyNumberFormat="1" applyFont="1" applyFill="1" applyBorder="1" applyAlignment="1">
      <alignment horizontal="center" vertical="top"/>
    </xf>
    <xf numFmtId="164" fontId="5" fillId="5" borderId="19" xfId="0" applyNumberFormat="1" applyFont="1" applyFill="1" applyBorder="1" applyAlignment="1">
      <alignment horizontal="center" vertical="top"/>
    </xf>
    <xf numFmtId="164" fontId="5" fillId="5" borderId="69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 wrapText="1"/>
    </xf>
    <xf numFmtId="3" fontId="1" fillId="4" borderId="24" xfId="0" applyNumberFormat="1" applyFont="1" applyFill="1" applyBorder="1" applyAlignment="1">
      <alignment horizontal="left" vertical="top" wrapText="1"/>
    </xf>
    <xf numFmtId="3" fontId="1" fillId="4" borderId="7" xfId="0" applyNumberFormat="1" applyFont="1" applyFill="1" applyBorder="1" applyAlignment="1">
      <alignment horizontal="left" vertical="top" wrapText="1"/>
    </xf>
    <xf numFmtId="3" fontId="1" fillId="4" borderId="15" xfId="0" applyNumberFormat="1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26" xfId="0" applyFont="1" applyFill="1" applyBorder="1" applyAlignment="1">
      <alignment horizontal="left" vertical="top" wrapText="1"/>
    </xf>
    <xf numFmtId="0" fontId="4" fillId="4" borderId="26" xfId="0" applyFont="1" applyFill="1" applyBorder="1" applyAlignment="1">
      <alignment vertical="top" wrapText="1"/>
    </xf>
    <xf numFmtId="3" fontId="4" fillId="0" borderId="51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 applyAlignment="1">
      <alignment horizontal="center" vertical="top"/>
    </xf>
    <xf numFmtId="0" fontId="4" fillId="4" borderId="28" xfId="0" applyFont="1" applyFill="1" applyBorder="1" applyAlignment="1">
      <alignment vertical="top" wrapText="1"/>
    </xf>
    <xf numFmtId="164" fontId="1" fillId="0" borderId="35" xfId="0" applyNumberFormat="1" applyFont="1" applyFill="1" applyBorder="1" applyAlignment="1">
      <alignment horizontal="center" vertical="top" wrapText="1"/>
    </xf>
    <xf numFmtId="164" fontId="1" fillId="0" borderId="74" xfId="0" applyNumberFormat="1" applyFont="1" applyFill="1" applyBorder="1" applyAlignment="1">
      <alignment horizontal="center" vertical="top" wrapText="1"/>
    </xf>
    <xf numFmtId="3" fontId="1" fillId="4" borderId="7" xfId="0" applyNumberFormat="1" applyFont="1" applyFill="1" applyBorder="1" applyAlignment="1">
      <alignment vertical="top" wrapText="1"/>
    </xf>
    <xf numFmtId="0" fontId="4" fillId="4" borderId="69" xfId="0" applyFont="1" applyFill="1" applyBorder="1" applyAlignment="1">
      <alignment vertical="top" wrapText="1"/>
    </xf>
    <xf numFmtId="164" fontId="2" fillId="8" borderId="43" xfId="0" applyNumberFormat="1" applyFont="1" applyFill="1" applyBorder="1" applyAlignment="1">
      <alignment horizontal="center" vertical="top" wrapText="1"/>
    </xf>
    <xf numFmtId="164" fontId="2" fillId="8" borderId="20" xfId="0" applyNumberFormat="1" applyFont="1" applyFill="1" applyBorder="1" applyAlignment="1">
      <alignment horizontal="center" vertical="top" wrapText="1"/>
    </xf>
    <xf numFmtId="164" fontId="2" fillId="7" borderId="43" xfId="0" applyNumberFormat="1" applyFont="1" applyFill="1" applyBorder="1" applyAlignment="1">
      <alignment horizontal="center" vertical="top" wrapText="1"/>
    </xf>
    <xf numFmtId="164" fontId="2" fillId="7" borderId="2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wrapText="1"/>
    </xf>
    <xf numFmtId="3" fontId="5" fillId="0" borderId="74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165" fontId="2" fillId="7" borderId="73" xfId="0" applyNumberFormat="1" applyFont="1" applyFill="1" applyBorder="1" applyAlignment="1">
      <alignment horizontal="center" vertical="top" wrapText="1"/>
    </xf>
    <xf numFmtId="165" fontId="2" fillId="7" borderId="102" xfId="0" applyNumberFormat="1" applyFont="1" applyFill="1" applyBorder="1" applyAlignment="1">
      <alignment horizontal="center" vertical="top" wrapText="1"/>
    </xf>
    <xf numFmtId="165" fontId="2" fillId="7" borderId="71" xfId="0" applyNumberFormat="1" applyFont="1" applyFill="1" applyBorder="1" applyAlignment="1">
      <alignment horizontal="center" vertical="top" wrapText="1"/>
    </xf>
    <xf numFmtId="165" fontId="2" fillId="5" borderId="42" xfId="0" applyNumberFormat="1" applyFont="1" applyFill="1" applyBorder="1" applyAlignment="1">
      <alignment horizontal="center" vertical="top" wrapText="1"/>
    </xf>
    <xf numFmtId="165" fontId="2" fillId="5" borderId="76" xfId="0" applyNumberFormat="1" applyFont="1" applyFill="1" applyBorder="1" applyAlignment="1">
      <alignment horizontal="center" vertical="top" wrapText="1"/>
    </xf>
    <xf numFmtId="165" fontId="2" fillId="5" borderId="57" xfId="0" applyNumberFormat="1" applyFont="1" applyFill="1" applyBorder="1" applyAlignment="1">
      <alignment horizontal="center" vertical="top" wrapText="1"/>
    </xf>
    <xf numFmtId="164" fontId="4" fillId="0" borderId="76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5" borderId="76" xfId="0" applyNumberFormat="1" applyFont="1" applyFill="1" applyBorder="1" applyAlignment="1">
      <alignment horizontal="center" vertical="top" wrapText="1"/>
    </xf>
    <xf numFmtId="164" fontId="4" fillId="5" borderId="34" xfId="0" applyNumberFormat="1" applyFont="1" applyFill="1" applyBorder="1" applyAlignment="1">
      <alignment horizontal="center" vertical="top" wrapText="1"/>
    </xf>
    <xf numFmtId="164" fontId="4" fillId="5" borderId="51" xfId="0" applyNumberFormat="1" applyFont="1" applyFill="1" applyBorder="1" applyAlignment="1">
      <alignment horizontal="center" vertical="top" wrapText="1"/>
    </xf>
    <xf numFmtId="164" fontId="5" fillId="7" borderId="47" xfId="0" applyNumberFormat="1" applyFont="1" applyFill="1" applyBorder="1" applyAlignment="1">
      <alignment horizontal="center" vertical="top" wrapText="1"/>
    </xf>
    <xf numFmtId="164" fontId="5" fillId="7" borderId="50" xfId="0" applyNumberFormat="1" applyFont="1" applyFill="1" applyBorder="1" applyAlignment="1">
      <alignment horizontal="center" vertical="top" wrapText="1"/>
    </xf>
    <xf numFmtId="164" fontId="5" fillId="7" borderId="103" xfId="0" applyNumberFormat="1" applyFont="1" applyFill="1" applyBorder="1" applyAlignment="1">
      <alignment horizontal="center" vertical="top" wrapText="1"/>
    </xf>
    <xf numFmtId="164" fontId="5" fillId="7" borderId="46" xfId="0" applyNumberFormat="1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63" xfId="0" applyNumberFormat="1" applyFont="1" applyBorder="1" applyAlignment="1">
      <alignment horizontal="center" vertical="top" wrapText="1"/>
    </xf>
    <xf numFmtId="164" fontId="4" fillId="0" borderId="53" xfId="0" applyNumberFormat="1" applyFont="1" applyBorder="1" applyAlignment="1">
      <alignment horizontal="center" vertical="top" wrapText="1"/>
    </xf>
    <xf numFmtId="164" fontId="4" fillId="0" borderId="51" xfId="0" applyNumberFormat="1" applyFont="1" applyFill="1" applyBorder="1" applyAlignment="1">
      <alignment horizontal="center" vertical="top" wrapText="1"/>
    </xf>
    <xf numFmtId="164" fontId="4" fillId="0" borderId="65" xfId="0" applyNumberFormat="1" applyFont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76" xfId="0" applyNumberFormat="1" applyFont="1" applyBorder="1" applyAlignment="1">
      <alignment horizontal="center" vertical="top" wrapText="1"/>
    </xf>
    <xf numFmtId="164" fontId="4" fillId="0" borderId="51" xfId="0" applyNumberFormat="1" applyFont="1" applyBorder="1" applyAlignment="1">
      <alignment horizontal="center" vertical="top" wrapText="1"/>
    </xf>
    <xf numFmtId="164" fontId="5" fillId="5" borderId="103" xfId="0" applyNumberFormat="1" applyFont="1" applyFill="1" applyBorder="1" applyAlignment="1">
      <alignment horizontal="center" vertical="top" wrapText="1"/>
    </xf>
    <xf numFmtId="164" fontId="5" fillId="5" borderId="46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textRotation="90" wrapText="1"/>
    </xf>
    <xf numFmtId="3" fontId="23" fillId="4" borderId="8" xfId="0" applyNumberFormat="1" applyFont="1" applyFill="1" applyBorder="1" applyAlignment="1">
      <alignment horizontal="left" vertical="top" wrapText="1"/>
    </xf>
    <xf numFmtId="3" fontId="23" fillId="4" borderId="67" xfId="0" applyNumberFormat="1" applyFont="1" applyFill="1" applyBorder="1" applyAlignment="1">
      <alignment horizontal="center" vertical="top"/>
    </xf>
    <xf numFmtId="3" fontId="23" fillId="4" borderId="0" xfId="0" applyNumberFormat="1" applyFont="1" applyFill="1" applyBorder="1" applyAlignment="1">
      <alignment horizontal="center" vertical="top"/>
    </xf>
    <xf numFmtId="3" fontId="23" fillId="4" borderId="18" xfId="0" applyNumberFormat="1" applyFont="1" applyFill="1" applyBorder="1" applyAlignment="1">
      <alignment horizontal="center" vertical="top"/>
    </xf>
    <xf numFmtId="3" fontId="1" fillId="4" borderId="19" xfId="0" applyNumberFormat="1" applyFont="1" applyFill="1" applyBorder="1" applyAlignment="1">
      <alignment horizontal="left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4" borderId="2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center" vertical="top" wrapText="1"/>
    </xf>
    <xf numFmtId="165" fontId="15" fillId="0" borderId="16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right" wrapText="1"/>
    </xf>
    <xf numFmtId="11" fontId="1" fillId="0" borderId="22" xfId="0" applyNumberFormat="1" applyFont="1" applyBorder="1" applyAlignment="1">
      <alignment horizontal="center" vertical="center" textRotation="90" wrapText="1"/>
    </xf>
    <xf numFmtId="11" fontId="1" fillId="0" borderId="40" xfId="0" applyNumberFormat="1" applyFont="1" applyBorder="1" applyAlignment="1">
      <alignment horizontal="center" vertical="center" textRotation="90" wrapText="1"/>
    </xf>
    <xf numFmtId="11" fontId="1" fillId="0" borderId="20" xfId="0" applyNumberFormat="1" applyFont="1" applyBorder="1" applyAlignment="1">
      <alignment horizontal="center" vertical="center" textRotation="90" wrapText="1"/>
    </xf>
    <xf numFmtId="11" fontId="1" fillId="0" borderId="13" xfId="0" applyNumberFormat="1" applyFont="1" applyBorder="1" applyAlignment="1">
      <alignment horizontal="center" vertical="center" textRotation="90" wrapText="1"/>
    </xf>
    <xf numFmtId="11" fontId="1" fillId="0" borderId="18" xfId="0" applyNumberFormat="1" applyFont="1" applyBorder="1" applyAlignment="1">
      <alignment horizontal="center" vertical="center" textRotation="90" wrapText="1"/>
    </xf>
    <xf numFmtId="11" fontId="1" fillId="0" borderId="1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horizontal="center" vertical="center" textRotation="90" wrapText="1"/>
    </xf>
    <xf numFmtId="3" fontId="1" fillId="0" borderId="21" xfId="0" applyNumberFormat="1" applyFont="1" applyBorder="1" applyAlignment="1">
      <alignment horizontal="center" vertical="center" textRotation="90" wrapText="1"/>
    </xf>
    <xf numFmtId="3" fontId="2" fillId="6" borderId="12" xfId="0" applyNumberFormat="1" applyFont="1" applyFill="1" applyBorder="1" applyAlignment="1">
      <alignment horizontal="left" vertical="top" wrapText="1"/>
    </xf>
    <xf numFmtId="3" fontId="2" fillId="6" borderId="54" xfId="0" applyNumberFormat="1" applyFont="1" applyFill="1" applyBorder="1" applyAlignment="1">
      <alignment horizontal="left" vertical="top" wrapText="1"/>
    </xf>
    <xf numFmtId="3" fontId="2" fillId="6" borderId="72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6" fillId="7" borderId="54" xfId="0" applyNumberFormat="1" applyFont="1" applyFill="1" applyBorder="1" applyAlignment="1">
      <alignment horizontal="left" vertical="top" wrapText="1"/>
    </xf>
    <xf numFmtId="3" fontId="6" fillId="7" borderId="72" xfId="0" applyNumberFormat="1" applyFont="1" applyFill="1" applyBorder="1" applyAlignment="1">
      <alignment horizontal="left" vertical="top" wrapText="1"/>
    </xf>
    <xf numFmtId="3" fontId="5" fillId="8" borderId="12" xfId="0" applyNumberFormat="1" applyFont="1" applyFill="1" applyBorder="1" applyAlignment="1">
      <alignment horizontal="left" vertical="top" wrapText="1"/>
    </xf>
    <xf numFmtId="3" fontId="5" fillId="8" borderId="54" xfId="0" applyNumberFormat="1" applyFont="1" applyFill="1" applyBorder="1" applyAlignment="1">
      <alignment horizontal="left" vertical="top" wrapText="1"/>
    </xf>
    <xf numFmtId="3" fontId="5" fillId="8" borderId="72" xfId="0" applyNumberFormat="1" applyFont="1" applyFill="1" applyBorder="1" applyAlignment="1">
      <alignment horizontal="left" vertical="top" wrapText="1"/>
    </xf>
    <xf numFmtId="3" fontId="5" fillId="2" borderId="12" xfId="0" applyNumberFormat="1" applyFont="1" applyFill="1" applyBorder="1" applyAlignment="1">
      <alignment horizontal="left" vertical="top" wrapText="1"/>
    </xf>
    <xf numFmtId="3" fontId="5" fillId="2" borderId="54" xfId="0" applyNumberFormat="1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3" fontId="5" fillId="2" borderId="72" xfId="0" applyNumberFormat="1" applyFont="1" applyFill="1" applyBorder="1" applyAlignment="1">
      <alignment horizontal="left" vertical="top" wrapText="1"/>
    </xf>
    <xf numFmtId="3" fontId="4" fillId="4" borderId="59" xfId="0" applyNumberFormat="1" applyFont="1" applyFill="1" applyBorder="1" applyAlignment="1">
      <alignment horizontal="left" vertical="top" wrapText="1"/>
    </xf>
    <xf numFmtId="3" fontId="4" fillId="4" borderId="18" xfId="0" applyNumberFormat="1" applyFont="1" applyFill="1" applyBorder="1" applyAlignment="1">
      <alignment horizontal="left" vertical="top" wrapText="1"/>
    </xf>
    <xf numFmtId="3" fontId="4" fillId="4" borderId="42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textRotation="90" shrinkToFit="1"/>
    </xf>
    <xf numFmtId="0" fontId="5" fillId="0" borderId="31" xfId="0" applyFont="1" applyBorder="1" applyAlignment="1">
      <alignment horizontal="center" vertical="center" textRotation="90" shrinkToFit="1"/>
    </xf>
    <xf numFmtId="0" fontId="5" fillId="0" borderId="21" xfId="0" applyFont="1" applyBorder="1" applyAlignment="1">
      <alignment horizontal="center" vertical="center" textRotation="90" shrinkToFit="1"/>
    </xf>
    <xf numFmtId="164" fontId="4" fillId="0" borderId="22" xfId="0" applyNumberFormat="1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 shrinkToFit="1"/>
    </xf>
    <xf numFmtId="0" fontId="4" fillId="4" borderId="18" xfId="0" applyFont="1" applyFill="1" applyBorder="1" applyAlignment="1">
      <alignment horizontal="center" vertical="center" textRotation="90" wrapText="1" shrinkToFit="1"/>
    </xf>
    <xf numFmtId="0" fontId="4" fillId="4" borderId="19" xfId="0" applyFont="1" applyFill="1" applyBorder="1" applyAlignment="1">
      <alignment horizontal="center" vertical="center" textRotation="90" wrapText="1" shrinkToFit="1"/>
    </xf>
    <xf numFmtId="0" fontId="5" fillId="0" borderId="7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horizontal="center" vertical="center" textRotation="90" wrapText="1"/>
    </xf>
    <xf numFmtId="3" fontId="1" fillId="0" borderId="49" xfId="0" applyNumberFormat="1" applyFont="1" applyBorder="1" applyAlignment="1">
      <alignment horizontal="center" vertical="center" textRotation="90" wrapText="1"/>
    </xf>
    <xf numFmtId="164" fontId="4" fillId="0" borderId="40" xfId="0" applyNumberFormat="1" applyFont="1" applyBorder="1" applyAlignment="1">
      <alignment horizontal="center" vertical="center" textRotation="90" wrapText="1"/>
    </xf>
    <xf numFmtId="164" fontId="4" fillId="0" borderId="20" xfId="0" applyNumberFormat="1" applyFont="1" applyBorder="1" applyAlignment="1">
      <alignment horizontal="center" vertical="center" textRotation="90" wrapText="1"/>
    </xf>
    <xf numFmtId="3" fontId="4" fillId="4" borderId="13" xfId="0" applyNumberFormat="1" applyFont="1" applyFill="1" applyBorder="1" applyAlignment="1">
      <alignment horizontal="left" vertical="top" wrapText="1"/>
    </xf>
    <xf numFmtId="3" fontId="4" fillId="4" borderId="19" xfId="0" applyNumberFormat="1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left" vertical="top" wrapText="1"/>
    </xf>
    <xf numFmtId="3" fontId="4" fillId="4" borderId="57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4" borderId="13" xfId="0" applyNumberFormat="1" applyFont="1" applyFill="1" applyBorder="1" applyAlignment="1">
      <alignment horizontal="left" vertical="top" wrapText="1"/>
    </xf>
    <xf numFmtId="3" fontId="5" fillId="4" borderId="18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4" borderId="64" xfId="0" applyNumberFormat="1" applyFont="1" applyFill="1" applyBorder="1" applyAlignment="1">
      <alignment horizontal="left" vertical="top" wrapText="1"/>
    </xf>
    <xf numFmtId="3" fontId="4" fillId="4" borderId="68" xfId="0" applyNumberFormat="1" applyFont="1" applyFill="1" applyBorder="1" applyAlignment="1">
      <alignment horizontal="left" vertical="top" wrapText="1"/>
    </xf>
    <xf numFmtId="3" fontId="13" fillId="5" borderId="46" xfId="0" applyNumberFormat="1" applyFont="1" applyFill="1" applyBorder="1" applyAlignment="1">
      <alignment horizontal="right" vertical="top" wrapText="1"/>
    </xf>
    <xf numFmtId="3" fontId="13" fillId="5" borderId="69" xfId="0" applyNumberFormat="1" applyFont="1" applyFill="1" applyBorder="1" applyAlignment="1">
      <alignment horizontal="right" vertical="top" wrapText="1"/>
    </xf>
    <xf numFmtId="3" fontId="1" fillId="4" borderId="59" xfId="0" applyNumberFormat="1" applyFont="1" applyFill="1" applyBorder="1" applyAlignment="1">
      <alignment horizontal="left" vertical="top" wrapText="1"/>
    </xf>
    <xf numFmtId="3" fontId="1" fillId="4" borderId="18" xfId="0" applyNumberFormat="1" applyFont="1" applyFill="1" applyBorder="1" applyAlignment="1">
      <alignment horizontal="left" vertical="top" wrapText="1"/>
    </xf>
    <xf numFmtId="3" fontId="1" fillId="4" borderId="19" xfId="0" applyNumberFormat="1" applyFont="1" applyFill="1" applyBorder="1" applyAlignment="1">
      <alignment horizontal="left" vertical="top" wrapText="1"/>
    </xf>
    <xf numFmtId="3" fontId="1" fillId="4" borderId="27" xfId="0" applyNumberFormat="1" applyFont="1" applyFill="1" applyBorder="1" applyAlignment="1">
      <alignment horizontal="left" vertical="top" wrapText="1"/>
    </xf>
    <xf numFmtId="3" fontId="1" fillId="4" borderId="43" xfId="0" applyNumberFormat="1" applyFont="1" applyFill="1" applyBorder="1" applyAlignment="1">
      <alignment horizontal="left" vertical="top" wrapText="1"/>
    </xf>
    <xf numFmtId="3" fontId="5" fillId="4" borderId="19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 wrapText="1"/>
    </xf>
    <xf numFmtId="3" fontId="5" fillId="4" borderId="59" xfId="0" applyNumberFormat="1" applyFont="1" applyFill="1" applyBorder="1" applyAlignment="1">
      <alignment horizontal="left" vertical="top" wrapText="1"/>
    </xf>
    <xf numFmtId="49" fontId="2" fillId="8" borderId="16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8" borderId="56" xfId="0" applyNumberFormat="1" applyFont="1" applyFill="1" applyBorder="1" applyAlignment="1">
      <alignment horizontal="center" vertical="top"/>
    </xf>
    <xf numFmtId="3" fontId="2" fillId="10" borderId="13" xfId="0" quotePrefix="1" applyNumberFormat="1" applyFont="1" applyFill="1" applyBorder="1" applyAlignment="1">
      <alignment horizontal="center" vertical="top" wrapText="1"/>
    </xf>
    <xf numFmtId="3" fontId="2" fillId="10" borderId="18" xfId="0" quotePrefix="1" applyNumberFormat="1" applyFont="1" applyFill="1" applyBorder="1" applyAlignment="1">
      <alignment horizontal="center" vertical="top" wrapText="1"/>
    </xf>
    <xf numFmtId="3" fontId="2" fillId="10" borderId="19" xfId="0" quotePrefix="1" applyNumberFormat="1" applyFont="1" applyFill="1" applyBorder="1" applyAlignment="1">
      <alignment horizontal="center" vertical="top" wrapText="1"/>
    </xf>
    <xf numFmtId="3" fontId="2" fillId="4" borderId="64" xfId="0" quotePrefix="1" applyNumberFormat="1" applyFont="1" applyFill="1" applyBorder="1" applyAlignment="1">
      <alignment horizontal="center" vertical="top" wrapText="1"/>
    </xf>
    <xf numFmtId="3" fontId="2" fillId="4" borderId="32" xfId="0" quotePrefix="1" applyNumberFormat="1" applyFont="1" applyFill="1" applyBorder="1" applyAlignment="1">
      <alignment horizontal="center" vertical="top" wrapText="1"/>
    </xf>
    <xf numFmtId="3" fontId="2" fillId="4" borderId="68" xfId="0" quotePrefix="1" applyNumberFormat="1" applyFont="1" applyFill="1" applyBorder="1" applyAlignment="1">
      <alignment horizontal="center" vertical="top" wrapText="1"/>
    </xf>
    <xf numFmtId="3" fontId="5" fillId="4" borderId="13" xfId="0" applyNumberFormat="1" applyFont="1" applyFill="1" applyBorder="1" applyAlignment="1">
      <alignment horizontal="center" vertical="top" wrapText="1"/>
    </xf>
    <xf numFmtId="3" fontId="5" fillId="4" borderId="18" xfId="0" applyNumberFormat="1" applyFont="1" applyFill="1" applyBorder="1" applyAlignment="1">
      <alignment horizontal="center" vertical="top" wrapText="1"/>
    </xf>
    <xf numFmtId="3" fontId="5" fillId="4" borderId="19" xfId="0" applyNumberFormat="1" applyFont="1" applyFill="1" applyBorder="1" applyAlignment="1">
      <alignment horizontal="center" vertical="top" wrapText="1"/>
    </xf>
    <xf numFmtId="3" fontId="1" fillId="4" borderId="13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left" vertical="top" wrapText="1"/>
    </xf>
    <xf numFmtId="3" fontId="4" fillId="4" borderId="62" xfId="0" applyNumberFormat="1" applyFont="1" applyFill="1" applyBorder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left" vertical="top" wrapText="1"/>
    </xf>
    <xf numFmtId="3" fontId="20" fillId="4" borderId="59" xfId="0" applyNumberFormat="1" applyFont="1" applyFill="1" applyBorder="1" applyAlignment="1">
      <alignment horizontal="left" vertical="top" wrapText="1"/>
    </xf>
    <xf numFmtId="3" fontId="20" fillId="4" borderId="18" xfId="0" applyNumberFormat="1" applyFont="1" applyFill="1" applyBorder="1" applyAlignment="1">
      <alignment horizontal="left" vertical="top" wrapText="1"/>
    </xf>
    <xf numFmtId="167" fontId="4" fillId="9" borderId="61" xfId="2" applyNumberFormat="1" applyFont="1" applyFill="1" applyBorder="1" applyAlignment="1">
      <alignment horizontal="left" vertical="top" wrapText="1"/>
    </xf>
    <xf numFmtId="167" fontId="4" fillId="9" borderId="62" xfId="2" applyNumberFormat="1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167" fontId="4" fillId="9" borderId="17" xfId="2" applyNumberFormat="1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right" vertical="top" wrapText="1"/>
    </xf>
    <xf numFmtId="3" fontId="2" fillId="2" borderId="54" xfId="0" applyNumberFormat="1" applyFont="1" applyFill="1" applyBorder="1" applyAlignment="1">
      <alignment horizontal="right" vertical="top" wrapText="1"/>
    </xf>
    <xf numFmtId="3" fontId="2" fillId="8" borderId="14" xfId="0" applyNumberFormat="1" applyFont="1" applyFill="1" applyBorder="1" applyAlignment="1">
      <alignment horizontal="right" vertical="top" wrapText="1"/>
    </xf>
    <xf numFmtId="3" fontId="2" fillId="8" borderId="54" xfId="0" applyNumberFormat="1" applyFont="1" applyFill="1" applyBorder="1" applyAlignment="1">
      <alignment horizontal="right" vertical="top" wrapText="1"/>
    </xf>
    <xf numFmtId="3" fontId="2" fillId="8" borderId="14" xfId="0" applyNumberFormat="1" applyFont="1" applyFill="1" applyBorder="1" applyAlignment="1">
      <alignment horizontal="left" vertical="top" wrapText="1"/>
    </xf>
    <xf numFmtId="3" fontId="2" fillId="8" borderId="54" xfId="0" applyNumberFormat="1" applyFont="1" applyFill="1" applyBorder="1" applyAlignment="1">
      <alignment horizontal="left" vertical="top" wrapText="1"/>
    </xf>
    <xf numFmtId="3" fontId="2" fillId="8" borderId="72" xfId="0" applyNumberFormat="1" applyFont="1" applyFill="1" applyBorder="1" applyAlignment="1">
      <alignment horizontal="left" vertical="top" wrapText="1"/>
    </xf>
    <xf numFmtId="3" fontId="2" fillId="2" borderId="12" xfId="0" applyNumberFormat="1" applyFont="1" applyFill="1" applyBorder="1" applyAlignment="1">
      <alignment horizontal="left" vertical="top" wrapText="1"/>
    </xf>
    <xf numFmtId="3" fontId="2" fillId="2" borderId="54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left" vertical="top" wrapText="1"/>
    </xf>
    <xf numFmtId="3" fontId="2" fillId="2" borderId="24" xfId="0" applyNumberFormat="1" applyFont="1" applyFill="1" applyBorder="1" applyAlignment="1">
      <alignment horizontal="left" vertical="top" wrapText="1"/>
    </xf>
    <xf numFmtId="3" fontId="2" fillId="4" borderId="59" xfId="0" applyNumberFormat="1" applyFont="1" applyFill="1" applyBorder="1" applyAlignment="1">
      <alignment horizontal="center" vertical="top" wrapText="1"/>
    </xf>
    <xf numFmtId="3" fontId="2" fillId="4" borderId="18" xfId="0" applyNumberFormat="1" applyFont="1" applyFill="1" applyBorder="1" applyAlignment="1">
      <alignment horizontal="center" vertical="top" wrapText="1"/>
    </xf>
    <xf numFmtId="167" fontId="4" fillId="9" borderId="106" xfId="2" applyNumberFormat="1" applyFont="1" applyFill="1" applyBorder="1" applyAlignment="1">
      <alignment horizontal="center" vertical="top" wrapText="1"/>
    </xf>
    <xf numFmtId="167" fontId="4" fillId="9" borderId="105" xfId="2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left" vertical="top" wrapText="1"/>
    </xf>
    <xf numFmtId="3" fontId="4" fillId="4" borderId="61" xfId="0" applyNumberFormat="1" applyFont="1" applyFill="1" applyBorder="1" applyAlignment="1">
      <alignment horizontal="left" vertical="top" wrapText="1"/>
    </xf>
    <xf numFmtId="3" fontId="5" fillId="4" borderId="42" xfId="0" applyNumberFormat="1" applyFont="1" applyFill="1" applyBorder="1" applyAlignment="1">
      <alignment horizontal="left" vertical="top" wrapText="1"/>
    </xf>
    <xf numFmtId="0" fontId="4" fillId="4" borderId="61" xfId="0" applyFont="1" applyFill="1" applyBorder="1" applyAlignment="1">
      <alignment horizontal="left" vertical="top" wrapText="1"/>
    </xf>
    <xf numFmtId="0" fontId="4" fillId="4" borderId="62" xfId="0" applyFont="1" applyFill="1" applyBorder="1" applyAlignment="1">
      <alignment horizontal="left" vertical="top" wrapText="1"/>
    </xf>
    <xf numFmtId="3" fontId="5" fillId="4" borderId="59" xfId="0" applyNumberFormat="1" applyFont="1" applyFill="1" applyBorder="1" applyAlignment="1">
      <alignment horizontal="center" vertical="top" wrapText="1"/>
    </xf>
    <xf numFmtId="3" fontId="5" fillId="4" borderId="0" xfId="0" applyNumberFormat="1" applyFont="1" applyFill="1" applyBorder="1" applyAlignment="1">
      <alignment horizontal="left" vertical="top" wrapText="1"/>
    </xf>
    <xf numFmtId="167" fontId="4" fillId="11" borderId="61" xfId="2" applyNumberFormat="1" applyFont="1" applyFill="1" applyBorder="1" applyAlignment="1">
      <alignment horizontal="left" vertical="top" wrapText="1"/>
    </xf>
    <xf numFmtId="167" fontId="4" fillId="11" borderId="17" xfId="2" applyNumberFormat="1" applyFont="1" applyFill="1" applyBorder="1" applyAlignment="1">
      <alignment horizontal="left" vertical="top" wrapText="1"/>
    </xf>
    <xf numFmtId="3" fontId="2" fillId="4" borderId="59" xfId="0" applyNumberFormat="1" applyFont="1" applyFill="1" applyBorder="1" applyAlignment="1">
      <alignment horizontal="left" vertical="top" wrapText="1"/>
    </xf>
    <xf numFmtId="3" fontId="2" fillId="4" borderId="42" xfId="0" applyNumberFormat="1" applyFont="1" applyFill="1" applyBorder="1" applyAlignment="1">
      <alignment horizontal="left" vertical="top" wrapText="1"/>
    </xf>
    <xf numFmtId="3" fontId="1" fillId="4" borderId="61" xfId="0" applyNumberFormat="1" applyFont="1" applyFill="1" applyBorder="1" applyAlignment="1">
      <alignment horizontal="left" vertical="top" wrapText="1"/>
    </xf>
    <xf numFmtId="3" fontId="1" fillId="4" borderId="56" xfId="0" applyNumberFormat="1" applyFont="1" applyFill="1" applyBorder="1" applyAlignment="1">
      <alignment horizontal="left" vertical="top" wrapText="1"/>
    </xf>
    <xf numFmtId="3" fontId="2" fillId="5" borderId="46" xfId="0" applyNumberFormat="1" applyFont="1" applyFill="1" applyBorder="1" applyAlignment="1">
      <alignment horizontal="right" vertical="top" wrapText="1"/>
    </xf>
    <xf numFmtId="3" fontId="2" fillId="5" borderId="50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left" vertical="top" wrapText="1"/>
    </xf>
    <xf numFmtId="3" fontId="2" fillId="2" borderId="72" xfId="0" applyNumberFormat="1" applyFont="1" applyFill="1" applyBorder="1" applyAlignment="1">
      <alignment horizontal="left" vertical="top" wrapText="1"/>
    </xf>
    <xf numFmtId="3" fontId="4" fillId="4" borderId="66" xfId="0" applyNumberFormat="1" applyFont="1" applyFill="1" applyBorder="1" applyAlignment="1">
      <alignment horizontal="left" vertical="top" wrapText="1"/>
    </xf>
    <xf numFmtId="167" fontId="4" fillId="9" borderId="56" xfId="2" applyNumberFormat="1" applyFont="1" applyFill="1" applyBorder="1" applyAlignment="1">
      <alignment horizontal="left" vertical="top" wrapText="1"/>
    </xf>
    <xf numFmtId="3" fontId="2" fillId="5" borderId="43" xfId="0" applyNumberFormat="1" applyFont="1" applyFill="1" applyBorder="1" applyAlignment="1">
      <alignment horizontal="right" vertical="top" wrapText="1"/>
    </xf>
    <xf numFmtId="3" fontId="1" fillId="4" borderId="42" xfId="0" applyNumberFormat="1" applyFont="1" applyFill="1" applyBorder="1" applyAlignment="1">
      <alignment horizontal="left" vertical="top" wrapText="1"/>
    </xf>
    <xf numFmtId="3" fontId="1" fillId="4" borderId="34" xfId="0" applyNumberFormat="1" applyFont="1" applyFill="1" applyBorder="1" applyAlignment="1">
      <alignment horizontal="left" vertical="top" wrapText="1"/>
    </xf>
    <xf numFmtId="3" fontId="1" fillId="4" borderId="45" xfId="0" applyNumberFormat="1" applyFont="1" applyFill="1" applyBorder="1" applyAlignment="1">
      <alignment horizontal="left" vertical="top" wrapText="1"/>
    </xf>
    <xf numFmtId="3" fontId="1" fillId="4" borderId="51" xfId="0" applyNumberFormat="1" applyFont="1" applyFill="1" applyBorder="1" applyAlignment="1">
      <alignment horizontal="center" vertical="top"/>
    </xf>
    <xf numFmtId="3" fontId="1" fillId="4" borderId="46" xfId="0" applyNumberFormat="1" applyFont="1" applyFill="1" applyBorder="1" applyAlignment="1">
      <alignment horizontal="center" vertical="top"/>
    </xf>
    <xf numFmtId="3" fontId="1" fillId="4" borderId="66" xfId="0" applyNumberFormat="1" applyFont="1" applyFill="1" applyBorder="1" applyAlignment="1">
      <alignment horizontal="center" vertical="top"/>
    </xf>
    <xf numFmtId="3" fontId="1" fillId="4" borderId="4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3" fontId="1" fillId="4" borderId="45" xfId="0" applyNumberFormat="1" applyFont="1" applyFill="1" applyBorder="1" applyAlignment="1">
      <alignment horizontal="center" vertical="top"/>
    </xf>
    <xf numFmtId="3" fontId="1" fillId="4" borderId="60" xfId="0" applyNumberFormat="1" applyFont="1" applyFill="1" applyBorder="1" applyAlignment="1">
      <alignment horizontal="center" vertical="top"/>
    </xf>
    <xf numFmtId="3" fontId="1" fillId="4" borderId="44" xfId="0" applyNumberFormat="1" applyFont="1" applyFill="1" applyBorder="1" applyAlignment="1">
      <alignment horizontal="center" vertical="top"/>
    </xf>
    <xf numFmtId="3" fontId="2" fillId="4" borderId="39" xfId="0" applyNumberFormat="1" applyFont="1" applyFill="1" applyBorder="1" applyAlignment="1">
      <alignment horizontal="center" vertical="top" wrapText="1"/>
    </xf>
    <xf numFmtId="3" fontId="2" fillId="4" borderId="31" xfId="0" applyNumberFormat="1" applyFont="1" applyFill="1" applyBorder="1" applyAlignment="1">
      <alignment horizontal="center" vertical="top" wrapText="1"/>
    </xf>
    <xf numFmtId="3" fontId="5" fillId="4" borderId="59" xfId="0" applyNumberFormat="1" applyFont="1" applyFill="1" applyBorder="1" applyAlignment="1">
      <alignment horizontal="center" vertical="center" textRotation="90" wrapText="1"/>
    </xf>
    <xf numFmtId="3" fontId="5" fillId="4" borderId="42" xfId="0" applyNumberFormat="1" applyFont="1" applyFill="1" applyBorder="1" applyAlignment="1">
      <alignment horizontal="center" vertical="center" textRotation="90" wrapText="1"/>
    </xf>
    <xf numFmtId="3" fontId="4" fillId="0" borderId="59" xfId="0" applyNumberFormat="1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23" fillId="0" borderId="59" xfId="0" applyNumberFormat="1" applyFont="1" applyFill="1" applyBorder="1" applyAlignment="1">
      <alignment horizontal="left" vertical="top" wrapText="1"/>
    </xf>
    <xf numFmtId="3" fontId="23" fillId="0" borderId="18" xfId="0" applyNumberFormat="1" applyFont="1" applyFill="1" applyBorder="1" applyAlignment="1">
      <alignment horizontal="left" vertical="top" wrapText="1"/>
    </xf>
    <xf numFmtId="3" fontId="4" fillId="4" borderId="39" xfId="0" applyNumberFormat="1" applyFont="1" applyFill="1" applyBorder="1" applyAlignment="1">
      <alignment horizontal="left" vertical="top" wrapText="1"/>
    </xf>
    <xf numFmtId="3" fontId="4" fillId="4" borderId="31" xfId="0" applyNumberFormat="1" applyFont="1" applyFill="1" applyBorder="1" applyAlignment="1">
      <alignment horizontal="left" vertical="top" wrapText="1"/>
    </xf>
    <xf numFmtId="3" fontId="4" fillId="4" borderId="21" xfId="0" applyNumberFormat="1" applyFont="1" applyFill="1" applyBorder="1" applyAlignment="1">
      <alignment horizontal="left" vertical="top" wrapText="1"/>
    </xf>
    <xf numFmtId="3" fontId="2" fillId="2" borderId="68" xfId="0" applyNumberFormat="1" applyFont="1" applyFill="1" applyBorder="1" applyAlignment="1">
      <alignment horizontal="right" vertical="top" wrapText="1"/>
    </xf>
    <xf numFmtId="3" fontId="2" fillId="2" borderId="43" xfId="0" applyNumberFormat="1" applyFont="1" applyFill="1" applyBorder="1" applyAlignment="1">
      <alignment horizontal="right" vertical="top" wrapText="1"/>
    </xf>
    <xf numFmtId="3" fontId="5" fillId="3" borderId="13" xfId="0" applyNumberFormat="1" applyFont="1" applyFill="1" applyBorder="1" applyAlignment="1">
      <alignment horizontal="left" vertical="top" wrapText="1"/>
    </xf>
    <xf numFmtId="3" fontId="5" fillId="3" borderId="18" xfId="0" applyNumberFormat="1" applyFont="1" applyFill="1" applyBorder="1" applyAlignment="1">
      <alignment horizontal="left" vertical="top" wrapText="1"/>
    </xf>
    <xf numFmtId="3" fontId="4" fillId="3" borderId="59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4" borderId="6" xfId="0" applyNumberFormat="1" applyFont="1" applyFill="1" applyBorder="1" applyAlignment="1">
      <alignment horizontal="left" vertical="top" wrapText="1"/>
    </xf>
    <xf numFmtId="3" fontId="4" fillId="4" borderId="8" xfId="0" applyNumberFormat="1" applyFont="1" applyFill="1" applyBorder="1" applyAlignment="1">
      <alignment horizontal="left" vertical="top" wrapText="1"/>
    </xf>
    <xf numFmtId="3" fontId="4" fillId="4" borderId="5" xfId="0" applyNumberFormat="1" applyFont="1" applyFill="1" applyBorder="1" applyAlignment="1">
      <alignment horizontal="left" vertical="top" wrapText="1"/>
    </xf>
    <xf numFmtId="0" fontId="4" fillId="4" borderId="59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9" fontId="2" fillId="2" borderId="4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 textRotation="90" wrapText="1"/>
    </xf>
    <xf numFmtId="3" fontId="5" fillId="0" borderId="19" xfId="0" applyNumberFormat="1" applyFont="1" applyFill="1" applyBorder="1" applyAlignment="1">
      <alignment horizontal="center" vertical="top" textRotation="90" wrapText="1"/>
    </xf>
    <xf numFmtId="3" fontId="4" fillId="4" borderId="43" xfId="0" applyNumberFormat="1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textRotation="90" wrapText="1"/>
    </xf>
    <xf numFmtId="3" fontId="5" fillId="0" borderId="42" xfId="0" applyNumberFormat="1" applyFont="1" applyFill="1" applyBorder="1" applyAlignment="1">
      <alignment horizontal="center" vertical="top" textRotation="90" wrapText="1"/>
    </xf>
    <xf numFmtId="3" fontId="1" fillId="0" borderId="65" xfId="0" applyNumberFormat="1" applyFont="1" applyBorder="1" applyAlignment="1">
      <alignment horizontal="left" vertical="top" wrapText="1"/>
    </xf>
    <xf numFmtId="3" fontId="1" fillId="0" borderId="34" xfId="0" applyNumberFormat="1" applyFont="1" applyBorder="1" applyAlignment="1">
      <alignment horizontal="left" vertical="top" wrapText="1"/>
    </xf>
    <xf numFmtId="3" fontId="1" fillId="0" borderId="65" xfId="0" applyNumberFormat="1" applyFont="1" applyBorder="1" applyAlignment="1">
      <alignment vertical="top" wrapText="1"/>
    </xf>
    <xf numFmtId="3" fontId="1" fillId="0" borderId="34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horizontal="left" vertical="top" wrapText="1"/>
    </xf>
    <xf numFmtId="3" fontId="1" fillId="0" borderId="27" xfId="0" applyNumberFormat="1" applyFont="1" applyBorder="1" applyAlignment="1">
      <alignment horizontal="left" vertical="top" wrapText="1"/>
    </xf>
    <xf numFmtId="3" fontId="2" fillId="7" borderId="14" xfId="0" applyNumberFormat="1" applyFont="1" applyFill="1" applyBorder="1" applyAlignment="1">
      <alignment horizontal="right" vertical="top" wrapText="1"/>
    </xf>
    <xf numFmtId="3" fontId="2" fillId="7" borderId="54" xfId="0" applyNumberFormat="1" applyFont="1" applyFill="1" applyBorder="1" applyAlignment="1">
      <alignment horizontal="right" vertical="top" wrapText="1"/>
    </xf>
    <xf numFmtId="3" fontId="2" fillId="0" borderId="43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center" vertical="center" wrapText="1"/>
    </xf>
    <xf numFmtId="3" fontId="2" fillId="7" borderId="74" xfId="0" applyNumberFormat="1" applyFont="1" applyFill="1" applyBorder="1" applyAlignment="1">
      <alignment horizontal="right" vertical="top" wrapText="1"/>
    </xf>
    <xf numFmtId="3" fontId="2" fillId="7" borderId="58" xfId="0" applyNumberFormat="1" applyFont="1" applyFill="1" applyBorder="1" applyAlignment="1">
      <alignment horizontal="right" vertical="top" wrapText="1"/>
    </xf>
    <xf numFmtId="3" fontId="2" fillId="5" borderId="65" xfId="0" applyNumberFormat="1" applyFont="1" applyFill="1" applyBorder="1" applyAlignment="1">
      <alignment horizontal="right" vertical="top" wrapText="1"/>
    </xf>
    <xf numFmtId="3" fontId="2" fillId="5" borderId="34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left" vertical="top" wrapText="1"/>
    </xf>
    <xf numFmtId="3" fontId="4" fillId="0" borderId="61" xfId="0" applyNumberFormat="1" applyFont="1" applyBorder="1" applyAlignment="1">
      <alignment horizontal="left" vertical="top" wrapText="1"/>
    </xf>
    <xf numFmtId="3" fontId="4" fillId="0" borderId="27" xfId="0" applyNumberFormat="1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left" vertical="top" wrapText="1"/>
    </xf>
    <xf numFmtId="3" fontId="2" fillId="5" borderId="47" xfId="0" applyNumberFormat="1" applyFont="1" applyFill="1" applyBorder="1" applyAlignment="1">
      <alignment horizontal="right" vertical="top" wrapText="1"/>
    </xf>
    <xf numFmtId="3" fontId="2" fillId="5" borderId="4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center" vertical="top" wrapText="1"/>
    </xf>
    <xf numFmtId="165" fontId="1" fillId="4" borderId="0" xfId="0" applyNumberFormat="1" applyFont="1" applyFill="1" applyBorder="1" applyAlignment="1">
      <alignment horizontal="left" vertical="top" wrapText="1"/>
    </xf>
    <xf numFmtId="3" fontId="1" fillId="5" borderId="66" xfId="0" applyNumberFormat="1" applyFont="1" applyFill="1" applyBorder="1" applyAlignment="1">
      <alignment horizontal="left" vertical="top" wrapText="1"/>
    </xf>
    <xf numFmtId="3" fontId="1" fillId="5" borderId="51" xfId="0" applyNumberFormat="1" applyFont="1" applyFill="1" applyBorder="1" applyAlignment="1">
      <alignment horizontal="left" vertical="top" wrapText="1"/>
    </xf>
    <xf numFmtId="3" fontId="2" fillId="7" borderId="56" xfId="0" applyNumberFormat="1" applyFont="1" applyFill="1" applyBorder="1" applyAlignment="1">
      <alignment horizontal="right" vertical="top" wrapText="1"/>
    </xf>
    <xf numFmtId="3" fontId="2" fillId="7" borderId="43" xfId="0" applyNumberFormat="1" applyFont="1" applyFill="1" applyBorder="1" applyAlignment="1">
      <alignment horizontal="right" vertical="top" wrapText="1"/>
    </xf>
    <xf numFmtId="3" fontId="4" fillId="0" borderId="65" xfId="0" applyNumberFormat="1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3" fontId="1" fillId="4" borderId="6" xfId="0" applyNumberFormat="1" applyFont="1" applyFill="1" applyBorder="1" applyAlignment="1">
      <alignment horizontal="left" vertical="top" wrapText="1"/>
    </xf>
    <xf numFmtId="3" fontId="1" fillId="4" borderId="49" xfId="0" applyNumberFormat="1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3" fontId="5" fillId="0" borderId="59" xfId="0" applyNumberFormat="1" applyFont="1" applyFill="1" applyBorder="1" applyAlignment="1">
      <alignment horizontal="center" vertical="center" textRotation="90" wrapText="1"/>
    </xf>
    <xf numFmtId="3" fontId="5" fillId="0" borderId="42" xfId="0" applyNumberFormat="1" applyFont="1" applyFill="1" applyBorder="1" applyAlignment="1">
      <alignment horizontal="center" vertical="center" textRotation="90" wrapText="1"/>
    </xf>
    <xf numFmtId="3" fontId="1" fillId="4" borderId="2" xfId="0" applyNumberFormat="1" applyFont="1" applyFill="1" applyBorder="1" applyAlignment="1">
      <alignment horizontal="left" vertical="top" wrapText="1"/>
    </xf>
    <xf numFmtId="3" fontId="1" fillId="4" borderId="55" xfId="0" applyNumberFormat="1" applyFont="1" applyFill="1" applyBorder="1" applyAlignment="1">
      <alignment horizontal="left" vertical="top" wrapText="1"/>
    </xf>
    <xf numFmtId="3" fontId="1" fillId="4" borderId="65" xfId="0" applyNumberFormat="1" applyFont="1" applyFill="1" applyBorder="1" applyAlignment="1">
      <alignment horizontal="center" vertical="top"/>
    </xf>
    <xf numFmtId="3" fontId="1" fillId="4" borderId="47" xfId="0" applyNumberFormat="1" applyFont="1" applyFill="1" applyBorder="1" applyAlignment="1">
      <alignment horizontal="center" vertical="top"/>
    </xf>
    <xf numFmtId="3" fontId="1" fillId="4" borderId="26" xfId="0" applyNumberFormat="1" applyFont="1" applyFill="1" applyBorder="1" applyAlignment="1">
      <alignment horizontal="center" vertical="top"/>
    </xf>
    <xf numFmtId="3" fontId="1" fillId="4" borderId="50" xfId="0" applyNumberFormat="1" applyFont="1" applyFill="1" applyBorder="1" applyAlignment="1">
      <alignment horizontal="center" vertical="top"/>
    </xf>
    <xf numFmtId="167" fontId="4" fillId="9" borderId="6" xfId="2" applyNumberFormat="1" applyFont="1" applyFill="1" applyBorder="1" applyAlignment="1">
      <alignment horizontal="left" vertical="top" wrapText="1"/>
    </xf>
    <xf numFmtId="167" fontId="4" fillId="9" borderId="8" xfId="2" applyNumberFormat="1" applyFont="1" applyFill="1" applyBorder="1" applyAlignment="1">
      <alignment horizontal="left" vertical="top" wrapText="1"/>
    </xf>
    <xf numFmtId="167" fontId="4" fillId="9" borderId="49" xfId="2" applyNumberFormat="1" applyFont="1" applyFill="1" applyBorder="1" applyAlignment="1">
      <alignment horizontal="left" vertical="top" wrapText="1"/>
    </xf>
    <xf numFmtId="167" fontId="4" fillId="11" borderId="6" xfId="2" applyNumberFormat="1" applyFont="1" applyFill="1" applyBorder="1" applyAlignment="1">
      <alignment horizontal="left" vertical="top" wrapText="1"/>
    </xf>
    <xf numFmtId="167" fontId="4" fillId="11" borderId="8" xfId="2" applyNumberFormat="1" applyFont="1" applyFill="1" applyBorder="1" applyAlignment="1">
      <alignment horizontal="left" vertical="top" wrapText="1"/>
    </xf>
    <xf numFmtId="167" fontId="4" fillId="9" borderId="5" xfId="2" applyNumberFormat="1" applyFont="1" applyFill="1" applyBorder="1" applyAlignment="1">
      <alignment horizontal="left" vertical="top" wrapText="1"/>
    </xf>
    <xf numFmtId="167" fontId="4" fillId="9" borderId="82" xfId="2" applyNumberFormat="1" applyFont="1" applyFill="1" applyBorder="1" applyAlignment="1">
      <alignment horizontal="center" vertical="top" wrapText="1"/>
    </xf>
    <xf numFmtId="167" fontId="4" fillId="9" borderId="86" xfId="2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Alignment="1">
      <alignment horizontal="left" vertical="top" wrapText="1"/>
    </xf>
    <xf numFmtId="165" fontId="4" fillId="0" borderId="77" xfId="0" applyNumberFormat="1" applyFont="1" applyBorder="1" applyAlignment="1">
      <alignment horizontal="center" vertical="center" textRotation="90" wrapText="1"/>
    </xf>
    <xf numFmtId="165" fontId="4" fillId="0" borderId="67" xfId="0" applyNumberFormat="1" applyFont="1" applyBorder="1" applyAlignment="1">
      <alignment horizontal="center" vertical="center" textRotation="90" wrapText="1"/>
    </xf>
    <xf numFmtId="165" fontId="4" fillId="0" borderId="75" xfId="0" applyNumberFormat="1" applyFont="1" applyBorder="1" applyAlignment="1">
      <alignment horizontal="center" vertical="center" textRotation="90" wrapText="1"/>
    </xf>
    <xf numFmtId="165" fontId="4" fillId="0" borderId="38" xfId="0" applyNumberFormat="1" applyFont="1" applyBorder="1" applyAlignment="1">
      <alignment horizontal="center" vertical="center" textRotation="90" wrapText="1"/>
    </xf>
    <xf numFmtId="165" fontId="4" fillId="0" borderId="31" xfId="0" applyNumberFormat="1" applyFont="1" applyBorder="1" applyAlignment="1">
      <alignment horizontal="center" vertical="center" textRotation="90" wrapText="1"/>
    </xf>
    <xf numFmtId="165" fontId="4" fillId="0" borderId="21" xfId="0" applyNumberFormat="1" applyFont="1" applyBorder="1" applyAlignment="1">
      <alignment horizontal="center" vertical="center" textRotation="90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4" borderId="5" xfId="0" applyNumberFormat="1" applyFont="1" applyFill="1" applyBorder="1" applyAlignment="1">
      <alignment horizontal="center" vertical="top" wrapText="1"/>
    </xf>
    <xf numFmtId="3" fontId="20" fillId="4" borderId="42" xfId="0" applyNumberFormat="1" applyFont="1" applyFill="1" applyBorder="1" applyAlignment="1">
      <alignment horizontal="left" vertical="top" wrapText="1"/>
    </xf>
    <xf numFmtId="3" fontId="4" fillId="4" borderId="6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1" fillId="4" borderId="6" xfId="0" applyNumberFormat="1" applyFont="1" applyFill="1" applyBorder="1" applyAlignment="1">
      <alignment horizontal="center" vertical="top" wrapText="1"/>
    </xf>
    <xf numFmtId="3" fontId="1" fillId="4" borderId="5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3" fontId="1" fillId="14" borderId="59" xfId="0" applyNumberFormat="1" applyFont="1" applyFill="1" applyBorder="1" applyAlignment="1">
      <alignment horizontal="left" vertical="top" wrapText="1"/>
    </xf>
    <xf numFmtId="3" fontId="1" fillId="14" borderId="19" xfId="0" applyNumberFormat="1" applyFont="1" applyFill="1" applyBorder="1" applyAlignment="1">
      <alignment horizontal="left" vertical="top" wrapText="1"/>
    </xf>
    <xf numFmtId="3" fontId="1" fillId="14" borderId="42" xfId="0" applyNumberFormat="1" applyFont="1" applyFill="1" applyBorder="1" applyAlignment="1">
      <alignment horizontal="left" vertical="top" wrapText="1"/>
    </xf>
    <xf numFmtId="3" fontId="1" fillId="4" borderId="2" xfId="0" applyNumberFormat="1" applyFont="1" applyFill="1" applyBorder="1" applyAlignment="1">
      <alignment horizontal="center" vertical="top"/>
    </xf>
    <xf numFmtId="3" fontId="1" fillId="4" borderId="55" xfId="0" applyNumberFormat="1" applyFont="1" applyFill="1" applyBorder="1" applyAlignment="1">
      <alignment horizontal="center" vertical="top"/>
    </xf>
    <xf numFmtId="3" fontId="4" fillId="14" borderId="59" xfId="0" applyNumberFormat="1" applyFont="1" applyFill="1" applyBorder="1" applyAlignment="1">
      <alignment horizontal="left" vertical="top" wrapText="1"/>
    </xf>
    <xf numFmtId="3" fontId="4" fillId="14" borderId="18" xfId="0" applyNumberFormat="1" applyFont="1" applyFill="1" applyBorder="1" applyAlignment="1">
      <alignment horizontal="left" vertical="top" wrapText="1"/>
    </xf>
    <xf numFmtId="3" fontId="2" fillId="14" borderId="33" xfId="0" applyNumberFormat="1" applyFont="1" applyFill="1" applyBorder="1" applyAlignment="1">
      <alignment horizontal="center" vertical="top" wrapText="1"/>
    </xf>
    <xf numFmtId="3" fontId="2" fillId="14" borderId="32" xfId="0" applyNumberFormat="1" applyFont="1" applyFill="1" applyBorder="1" applyAlignment="1">
      <alignment horizontal="center" vertical="top" wrapText="1"/>
    </xf>
    <xf numFmtId="3" fontId="2" fillId="14" borderId="53" xfId="0" applyNumberFormat="1" applyFont="1" applyFill="1" applyBorder="1" applyAlignment="1">
      <alignment horizontal="center" vertical="top" wrapText="1"/>
    </xf>
    <xf numFmtId="3" fontId="4" fillId="14" borderId="42" xfId="0" applyNumberFormat="1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2" fillId="14" borderId="39" xfId="0" applyNumberFormat="1" applyFont="1" applyFill="1" applyBorder="1" applyAlignment="1">
      <alignment horizontal="center" vertical="top" wrapText="1"/>
    </xf>
    <xf numFmtId="3" fontId="2" fillId="14" borderId="60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2" fillId="2" borderId="25" xfId="0" applyNumberFormat="1" applyFont="1" applyFill="1" applyBorder="1" applyAlignment="1">
      <alignment horizontal="right" vertical="top" wrapText="1"/>
    </xf>
    <xf numFmtId="3" fontId="2" fillId="8" borderId="25" xfId="0" applyNumberFormat="1" applyFont="1" applyFill="1" applyBorder="1" applyAlignment="1">
      <alignment horizontal="right" vertical="top" wrapText="1"/>
    </xf>
    <xf numFmtId="3" fontId="4" fillId="4" borderId="49" xfId="0" applyNumberFormat="1" applyFont="1" applyFill="1" applyBorder="1" applyAlignment="1">
      <alignment horizontal="center" vertical="top" wrapText="1"/>
    </xf>
    <xf numFmtId="3" fontId="4" fillId="4" borderId="70" xfId="0" applyNumberFormat="1" applyFont="1" applyFill="1" applyBorder="1" applyAlignment="1">
      <alignment horizontal="center" vertical="top" wrapText="1"/>
    </xf>
    <xf numFmtId="3" fontId="4" fillId="4" borderId="75" xfId="0" applyNumberFormat="1" applyFont="1" applyFill="1" applyBorder="1" applyAlignment="1">
      <alignment horizontal="center" vertical="top" wrapText="1"/>
    </xf>
    <xf numFmtId="3" fontId="4" fillId="4" borderId="59" xfId="0" applyNumberFormat="1" applyFont="1" applyFill="1" applyBorder="1" applyAlignment="1">
      <alignment horizontal="center" vertical="top" wrapText="1"/>
    </xf>
    <xf numFmtId="3" fontId="4" fillId="4" borderId="19" xfId="0" applyNumberFormat="1" applyFont="1" applyFill="1" applyBorder="1" applyAlignment="1">
      <alignment horizontal="center" vertical="top" wrapText="1"/>
    </xf>
    <xf numFmtId="3" fontId="4" fillId="4" borderId="39" xfId="0" applyNumberFormat="1" applyFont="1" applyFill="1" applyBorder="1" applyAlignment="1">
      <alignment horizontal="center" vertical="top" wrapText="1"/>
    </xf>
    <xf numFmtId="3" fontId="4" fillId="4" borderId="21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4" borderId="10" xfId="0" applyNumberFormat="1" applyFont="1" applyFill="1" applyBorder="1" applyAlignment="1">
      <alignment horizontal="center" vertical="top" wrapText="1"/>
    </xf>
    <xf numFmtId="3" fontId="1" fillId="4" borderId="49" xfId="0" applyNumberFormat="1" applyFont="1" applyFill="1" applyBorder="1" applyAlignment="1">
      <alignment horizontal="center" vertical="top" wrapText="1"/>
    </xf>
    <xf numFmtId="3" fontId="4" fillId="14" borderId="13" xfId="0" applyNumberFormat="1" applyFont="1" applyFill="1" applyBorder="1" applyAlignment="1">
      <alignment horizontal="left" vertical="top" wrapText="1"/>
    </xf>
    <xf numFmtId="3" fontId="4" fillId="14" borderId="19" xfId="0" applyNumberFormat="1" applyFont="1" applyFill="1" applyBorder="1" applyAlignment="1">
      <alignment horizontal="left" vertical="top" wrapText="1"/>
    </xf>
    <xf numFmtId="3" fontId="5" fillId="14" borderId="13" xfId="0" applyNumberFormat="1" applyFont="1" applyFill="1" applyBorder="1" applyAlignment="1">
      <alignment horizontal="center" vertical="top" wrapText="1"/>
    </xf>
    <xf numFmtId="3" fontId="5" fillId="14" borderId="18" xfId="0" applyNumberFormat="1" applyFont="1" applyFill="1" applyBorder="1" applyAlignment="1">
      <alignment horizontal="center" vertical="top" wrapText="1"/>
    </xf>
    <xf numFmtId="3" fontId="5" fillId="14" borderId="19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Alignment="1">
      <alignment horizontal="right" vertical="top" wrapText="1"/>
    </xf>
    <xf numFmtId="3" fontId="1" fillId="0" borderId="61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center" textRotation="90" wrapText="1"/>
    </xf>
    <xf numFmtId="165" fontId="4" fillId="0" borderId="8" xfId="0" applyNumberFormat="1" applyFont="1" applyBorder="1" applyAlignment="1">
      <alignment horizontal="center" vertical="center" textRotation="90" wrapText="1"/>
    </xf>
    <xf numFmtId="165" fontId="4" fillId="0" borderId="49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49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5" fillId="14" borderId="13" xfId="0" applyNumberFormat="1" applyFont="1" applyFill="1" applyBorder="1" applyAlignment="1">
      <alignment horizontal="left" vertical="top" wrapText="1"/>
    </xf>
    <xf numFmtId="3" fontId="5" fillId="14" borderId="18" xfId="0" applyNumberFormat="1" applyFont="1" applyFill="1" applyBorder="1" applyAlignment="1">
      <alignment horizontal="left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13" fillId="5" borderId="45" xfId="0" applyNumberFormat="1" applyFont="1" applyFill="1" applyBorder="1" applyAlignment="1">
      <alignment horizontal="right" vertical="top" wrapText="1"/>
    </xf>
    <xf numFmtId="3" fontId="13" fillId="5" borderId="50" xfId="0" applyNumberFormat="1" applyFont="1" applyFill="1" applyBorder="1" applyAlignment="1">
      <alignment horizontal="right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3" fontId="19" fillId="4" borderId="49" xfId="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>
      <alignment horizontal="center" vertical="top" wrapText="1"/>
    </xf>
    <xf numFmtId="49" fontId="4" fillId="3" borderId="59" xfId="0" applyNumberFormat="1" applyFont="1" applyFill="1" applyBorder="1" applyAlignment="1">
      <alignment horizontal="center" vertical="top" wrapText="1"/>
    </xf>
    <xf numFmtId="3" fontId="5" fillId="14" borderId="59" xfId="0" applyNumberFormat="1" applyFont="1" applyFill="1" applyBorder="1" applyAlignment="1">
      <alignment horizontal="center" vertical="top" wrapText="1"/>
    </xf>
    <xf numFmtId="3" fontId="2" fillId="14" borderId="59" xfId="0" applyNumberFormat="1" applyFont="1" applyFill="1" applyBorder="1" applyAlignment="1">
      <alignment horizontal="center" vertical="top" wrapText="1"/>
    </xf>
    <xf numFmtId="3" fontId="2" fillId="14" borderId="18" xfId="0" applyNumberFormat="1" applyFont="1" applyFill="1" applyBorder="1" applyAlignment="1">
      <alignment horizontal="center" vertical="top" wrapText="1"/>
    </xf>
    <xf numFmtId="3" fontId="2" fillId="14" borderId="42" xfId="0" applyNumberFormat="1" applyFont="1" applyFill="1" applyBorder="1" applyAlignment="1">
      <alignment horizontal="center" vertical="top" wrapText="1"/>
    </xf>
    <xf numFmtId="3" fontId="4" fillId="4" borderId="24" xfId="0" applyNumberFormat="1" applyFont="1" applyFill="1" applyBorder="1" applyAlignment="1">
      <alignment horizontal="left" vertical="top" wrapText="1"/>
    </xf>
    <xf numFmtId="3" fontId="4" fillId="4" borderId="69" xfId="0" applyNumberFormat="1" applyFont="1" applyFill="1" applyBorder="1" applyAlignment="1">
      <alignment horizontal="left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49" fontId="4" fillId="3" borderId="59" xfId="0" applyNumberFormat="1" applyFont="1" applyFill="1" applyBorder="1" applyAlignment="1">
      <alignment horizontal="center" vertical="top"/>
    </xf>
    <xf numFmtId="49" fontId="4" fillId="3" borderId="42" xfId="0" applyNumberFormat="1" applyFont="1" applyFill="1" applyBorder="1" applyAlignment="1">
      <alignment horizontal="center" vertical="top"/>
    </xf>
    <xf numFmtId="3" fontId="4" fillId="4" borderId="5" xfId="0" applyNumberFormat="1" applyFont="1" applyFill="1" applyBorder="1" applyAlignment="1">
      <alignment horizontal="center" vertical="top"/>
    </xf>
    <xf numFmtId="3" fontId="4" fillId="4" borderId="6" xfId="0" applyNumberFormat="1" applyFont="1" applyFill="1" applyBorder="1" applyAlignment="1">
      <alignment horizontal="center" vertical="top"/>
    </xf>
    <xf numFmtId="0" fontId="4" fillId="4" borderId="42" xfId="0" applyFont="1" applyFill="1" applyBorder="1" applyAlignment="1">
      <alignment horizontal="left" vertical="top" wrapText="1"/>
    </xf>
    <xf numFmtId="3" fontId="4" fillId="3" borderId="6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5" fillId="0" borderId="64" xfId="0" applyNumberFormat="1" applyFont="1" applyFill="1" applyBorder="1" applyAlignment="1">
      <alignment horizontal="center" vertical="top"/>
    </xf>
    <xf numFmtId="3" fontId="5" fillId="0" borderId="68" xfId="0" applyNumberFormat="1" applyFont="1" applyFill="1" applyBorder="1" applyAlignment="1">
      <alignment horizontal="center" vertical="top"/>
    </xf>
    <xf numFmtId="3" fontId="1" fillId="14" borderId="18" xfId="0" applyNumberFormat="1" applyFont="1" applyFill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4" borderId="49" xfId="0" applyNumberFormat="1" applyFont="1" applyFill="1" applyBorder="1" applyAlignment="1">
      <alignment horizontal="left" vertical="top" wrapText="1"/>
    </xf>
    <xf numFmtId="164" fontId="1" fillId="4" borderId="28" xfId="0" applyNumberFormat="1" applyFont="1" applyFill="1" applyBorder="1" applyAlignment="1">
      <alignment horizontal="center" vertical="top" wrapText="1"/>
    </xf>
    <xf numFmtId="164" fontId="1" fillId="4" borderId="69" xfId="0" applyNumberFormat="1" applyFont="1" applyFill="1" applyBorder="1" applyAlignment="1">
      <alignment horizontal="center" vertical="top" wrapText="1"/>
    </xf>
    <xf numFmtId="3" fontId="5" fillId="0" borderId="70" xfId="0" applyNumberFormat="1" applyFont="1" applyFill="1" applyBorder="1" applyAlignment="1">
      <alignment horizontal="center" vertical="center" textRotation="90" wrapText="1"/>
    </xf>
    <xf numFmtId="3" fontId="5" fillId="0" borderId="67" xfId="0" applyNumberFormat="1" applyFont="1" applyFill="1" applyBorder="1" applyAlignment="1">
      <alignment horizontal="center" vertical="center" textRotation="90" wrapText="1"/>
    </xf>
    <xf numFmtId="165" fontId="4" fillId="4" borderId="0" xfId="0" applyNumberFormat="1" applyFont="1" applyFill="1" applyBorder="1" applyAlignment="1">
      <alignment horizontal="left" vertical="top" wrapText="1"/>
    </xf>
    <xf numFmtId="167" fontId="4" fillId="9" borderId="6" xfId="2" applyNumberFormat="1" applyFont="1" applyFill="1" applyBorder="1" applyAlignment="1">
      <alignment horizontal="center" vertical="top" wrapText="1"/>
    </xf>
    <xf numFmtId="167" fontId="4" fillId="9" borderId="8" xfId="2" applyNumberFormat="1" applyFont="1" applyFill="1" applyBorder="1" applyAlignment="1">
      <alignment horizontal="center" vertical="top" wrapText="1"/>
    </xf>
    <xf numFmtId="167" fontId="4" fillId="9" borderId="5" xfId="2" applyNumberFormat="1" applyFont="1" applyFill="1" applyBorder="1" applyAlignment="1">
      <alignment horizontal="center" vertical="top" wrapText="1"/>
    </xf>
    <xf numFmtId="167" fontId="4" fillId="9" borderId="80" xfId="2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3" fontId="2" fillId="14" borderId="59" xfId="0" applyNumberFormat="1" applyFont="1" applyFill="1" applyBorder="1" applyAlignment="1">
      <alignment horizontal="left" vertical="top" wrapText="1"/>
    </xf>
    <xf numFmtId="3" fontId="2" fillId="14" borderId="42" xfId="0" applyNumberFormat="1" applyFont="1" applyFill="1" applyBorder="1" applyAlignment="1">
      <alignment horizontal="left" vertical="top" wrapText="1"/>
    </xf>
    <xf numFmtId="164" fontId="1" fillId="0" borderId="61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left" vertical="top" wrapText="1"/>
    </xf>
  </cellXfs>
  <cellStyles count="3">
    <cellStyle name="Excel Built-in Normal" xfId="2"/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CC"/>
      <color rgb="FFFFFF99"/>
      <color rgb="FFCCFFCC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73"/>
  <sheetViews>
    <sheetView zoomScaleNormal="100" workbookViewId="0">
      <selection activeCell="G7" sqref="G7:G9"/>
    </sheetView>
  </sheetViews>
  <sheetFormatPr defaultColWidth="9.140625" defaultRowHeight="12.75" x14ac:dyDescent="0.2"/>
  <cols>
    <col min="1" max="3" width="2.7109375" style="163" customWidth="1"/>
    <col min="4" max="4" width="32.28515625" style="164" customWidth="1"/>
    <col min="5" max="5" width="3" style="162" customWidth="1"/>
    <col min="6" max="6" width="8" style="165" customWidth="1"/>
    <col min="7" max="8" width="8.85546875" style="166" customWidth="1"/>
    <col min="9" max="9" width="9.28515625" style="166" customWidth="1"/>
    <col min="10" max="11" width="8.85546875" style="166" customWidth="1"/>
    <col min="12" max="12" width="9.42578125" style="166" customWidth="1"/>
    <col min="13" max="14" width="8.85546875" style="166" customWidth="1"/>
    <col min="15" max="15" width="9.85546875" style="166" customWidth="1"/>
    <col min="16" max="16" width="23.5703125" style="164" customWidth="1"/>
    <col min="17" max="19" width="5.85546875" style="1456" customWidth="1"/>
    <col min="20" max="20" width="30.85546875" style="1456" customWidth="1"/>
    <col min="21" max="21" width="12.5703125" style="167" customWidth="1"/>
    <col min="22" max="22" width="7.7109375" style="167" customWidth="1"/>
    <col min="23" max="16384" width="9.140625" style="167"/>
  </cols>
  <sheetData>
    <row r="1" spans="1:21" ht="17.25" customHeight="1" x14ac:dyDescent="0.2">
      <c r="A1" s="163" t="s">
        <v>300</v>
      </c>
      <c r="P1" s="1740" t="s">
        <v>344</v>
      </c>
      <c r="Q1" s="1740"/>
      <c r="R1" s="1740"/>
      <c r="S1" s="1740"/>
      <c r="T1" s="1740"/>
    </row>
    <row r="2" spans="1:21" ht="17.25" customHeight="1" x14ac:dyDescent="0.2">
      <c r="P2" s="1421"/>
      <c r="Q2" s="1421"/>
      <c r="R2" s="1421"/>
      <c r="S2" s="1421"/>
      <c r="T2" s="1421"/>
    </row>
    <row r="3" spans="1:21" s="168" customFormat="1" ht="15.75" x14ac:dyDescent="0.2">
      <c r="A3" s="1741" t="s">
        <v>317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  <c r="N3" s="1741"/>
      <c r="O3" s="1741"/>
      <c r="P3" s="1741"/>
      <c r="Q3" s="1741"/>
      <c r="R3" s="1741"/>
      <c r="S3" s="1741"/>
      <c r="T3" s="1741"/>
    </row>
    <row r="4" spans="1:21" s="168" customFormat="1" ht="19.5" customHeight="1" x14ac:dyDescent="0.2">
      <c r="A4" s="1742" t="s">
        <v>29</v>
      </c>
      <c r="B4" s="1742"/>
      <c r="C4" s="1742"/>
      <c r="D4" s="1742"/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1742"/>
      <c r="P4" s="1742"/>
      <c r="Q4" s="1742"/>
      <c r="R4" s="1742"/>
      <c r="S4" s="1742"/>
      <c r="T4" s="1742"/>
    </row>
    <row r="5" spans="1:21" s="168" customFormat="1" ht="19.5" customHeight="1" x14ac:dyDescent="0.2">
      <c r="A5" s="1743" t="s">
        <v>51</v>
      </c>
      <c r="B5" s="1743"/>
      <c r="C5" s="1743"/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3"/>
      <c r="O5" s="1743"/>
      <c r="P5" s="1743"/>
      <c r="Q5" s="1743"/>
      <c r="R5" s="1743"/>
      <c r="S5" s="1743"/>
      <c r="T5" s="1743"/>
    </row>
    <row r="6" spans="1:21" ht="15.75" customHeight="1" thickBot="1" x14ac:dyDescent="0.25">
      <c r="A6" s="14"/>
      <c r="B6" s="14"/>
      <c r="D6" s="1422"/>
      <c r="E6" s="1422"/>
      <c r="F6" s="268"/>
      <c r="G6" s="1422"/>
      <c r="H6" s="1422"/>
      <c r="I6" s="1422"/>
      <c r="J6" s="1422"/>
      <c r="K6" s="1422"/>
      <c r="L6" s="1422"/>
      <c r="M6" s="1422"/>
      <c r="N6" s="1422"/>
      <c r="O6" s="1422"/>
      <c r="P6" s="1422"/>
      <c r="Q6" s="1744" t="s">
        <v>67</v>
      </c>
      <c r="R6" s="1744"/>
      <c r="S6" s="1744"/>
      <c r="T6" s="1744"/>
    </row>
    <row r="7" spans="1:21" ht="21" customHeight="1" x14ac:dyDescent="0.2">
      <c r="A7" s="1745" t="s">
        <v>8</v>
      </c>
      <c r="B7" s="1748" t="s">
        <v>9</v>
      </c>
      <c r="C7" s="1751" t="s">
        <v>10</v>
      </c>
      <c r="D7" s="1754" t="s">
        <v>94</v>
      </c>
      <c r="E7" s="1757" t="s">
        <v>11</v>
      </c>
      <c r="F7" s="1792" t="s">
        <v>13</v>
      </c>
      <c r="G7" s="1779" t="s">
        <v>345</v>
      </c>
      <c r="H7" s="1782" t="s">
        <v>346</v>
      </c>
      <c r="I7" s="1776" t="s">
        <v>347</v>
      </c>
      <c r="J7" s="1779" t="s">
        <v>158</v>
      </c>
      <c r="K7" s="1782" t="s">
        <v>348</v>
      </c>
      <c r="L7" s="1776" t="s">
        <v>347</v>
      </c>
      <c r="M7" s="1779" t="s">
        <v>158</v>
      </c>
      <c r="N7" s="1782" t="s">
        <v>349</v>
      </c>
      <c r="O7" s="1776" t="s">
        <v>347</v>
      </c>
      <c r="P7" s="1785" t="s">
        <v>350</v>
      </c>
      <c r="Q7" s="1786"/>
      <c r="R7" s="1786"/>
      <c r="S7" s="1787"/>
      <c r="T7" s="1471"/>
    </row>
    <row r="8" spans="1:21" ht="15.75" customHeight="1" x14ac:dyDescent="0.2">
      <c r="A8" s="1746"/>
      <c r="B8" s="1749"/>
      <c r="C8" s="1752"/>
      <c r="D8" s="1755"/>
      <c r="E8" s="1758"/>
      <c r="F8" s="1793"/>
      <c r="G8" s="1795"/>
      <c r="H8" s="1783"/>
      <c r="I8" s="1777"/>
      <c r="J8" s="1780"/>
      <c r="K8" s="1783"/>
      <c r="L8" s="1777"/>
      <c r="M8" s="1780"/>
      <c r="N8" s="1783"/>
      <c r="O8" s="1777"/>
      <c r="P8" s="1788" t="s">
        <v>23</v>
      </c>
      <c r="Q8" s="1790" t="s">
        <v>55</v>
      </c>
      <c r="R8" s="1791"/>
      <c r="S8" s="1791"/>
      <c r="T8" s="1472"/>
    </row>
    <row r="9" spans="1:21" ht="93.75" customHeight="1" thickBot="1" x14ac:dyDescent="0.25">
      <c r="A9" s="1747"/>
      <c r="B9" s="1750"/>
      <c r="C9" s="1753"/>
      <c r="D9" s="1756"/>
      <c r="E9" s="1759"/>
      <c r="F9" s="1794"/>
      <c r="G9" s="1796"/>
      <c r="H9" s="1784"/>
      <c r="I9" s="1778"/>
      <c r="J9" s="1781"/>
      <c r="K9" s="1784"/>
      <c r="L9" s="1778"/>
      <c r="M9" s="1781"/>
      <c r="N9" s="1784"/>
      <c r="O9" s="1778"/>
      <c r="P9" s="1789"/>
      <c r="Q9" s="1473" t="s">
        <v>93</v>
      </c>
      <c r="R9" s="1473" t="s">
        <v>159</v>
      </c>
      <c r="S9" s="1473" t="s">
        <v>232</v>
      </c>
      <c r="T9" s="1474" t="s">
        <v>351</v>
      </c>
    </row>
    <row r="10" spans="1:21" ht="15.75" customHeight="1" thickBot="1" x14ac:dyDescent="0.25">
      <c r="A10" s="1760" t="s">
        <v>60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1"/>
      <c r="N10" s="1761"/>
      <c r="O10" s="1761"/>
      <c r="P10" s="1761"/>
      <c r="Q10" s="1761"/>
      <c r="R10" s="1761"/>
      <c r="S10" s="1761"/>
      <c r="T10" s="1762"/>
    </row>
    <row r="11" spans="1:21" s="170" customFormat="1" ht="15.75" customHeight="1" thickBot="1" x14ac:dyDescent="0.25">
      <c r="A11" s="1763" t="s">
        <v>30</v>
      </c>
      <c r="B11" s="1764"/>
      <c r="C11" s="1764"/>
      <c r="D11" s="1764"/>
      <c r="E11" s="1764"/>
      <c r="F11" s="1764"/>
      <c r="G11" s="1764"/>
      <c r="H11" s="1764"/>
      <c r="I11" s="1764"/>
      <c r="J11" s="1764"/>
      <c r="K11" s="1764"/>
      <c r="L11" s="1764"/>
      <c r="M11" s="1764"/>
      <c r="N11" s="1764"/>
      <c r="O11" s="1764"/>
      <c r="P11" s="1764"/>
      <c r="Q11" s="1764"/>
      <c r="R11" s="1764"/>
      <c r="S11" s="1764"/>
      <c r="T11" s="1765"/>
      <c r="U11" s="169"/>
    </row>
    <row r="12" spans="1:21" s="170" customFormat="1" ht="15.75" customHeight="1" thickBot="1" x14ac:dyDescent="0.25">
      <c r="A12" s="171" t="s">
        <v>14</v>
      </c>
      <c r="B12" s="1766" t="s">
        <v>35</v>
      </c>
      <c r="C12" s="1767"/>
      <c r="D12" s="1767"/>
      <c r="E12" s="1767"/>
      <c r="F12" s="1767"/>
      <c r="G12" s="1767"/>
      <c r="H12" s="1767"/>
      <c r="I12" s="1767"/>
      <c r="J12" s="1767"/>
      <c r="K12" s="1767"/>
      <c r="L12" s="1767"/>
      <c r="M12" s="1767"/>
      <c r="N12" s="1767"/>
      <c r="O12" s="1767"/>
      <c r="P12" s="1767"/>
      <c r="Q12" s="1767"/>
      <c r="R12" s="1767"/>
      <c r="S12" s="1767"/>
      <c r="T12" s="1768"/>
    </row>
    <row r="13" spans="1:21" s="170" customFormat="1" ht="15.75" customHeight="1" thickBot="1" x14ac:dyDescent="0.25">
      <c r="A13" s="172" t="s">
        <v>14</v>
      </c>
      <c r="B13" s="173" t="s">
        <v>14</v>
      </c>
      <c r="C13" s="1769" t="s">
        <v>64</v>
      </c>
      <c r="D13" s="1770"/>
      <c r="E13" s="1770"/>
      <c r="F13" s="1771"/>
      <c r="G13" s="1771"/>
      <c r="H13" s="1771"/>
      <c r="I13" s="1771"/>
      <c r="J13" s="1771"/>
      <c r="K13" s="1771"/>
      <c r="L13" s="1771"/>
      <c r="M13" s="1771"/>
      <c r="N13" s="1771"/>
      <c r="O13" s="1771"/>
      <c r="P13" s="1770"/>
      <c r="Q13" s="1770"/>
      <c r="R13" s="1770"/>
      <c r="S13" s="1770"/>
      <c r="T13" s="1772"/>
    </row>
    <row r="14" spans="1:21" s="170" customFormat="1" ht="16.5" customHeight="1" x14ac:dyDescent="0.2">
      <c r="A14" s="174" t="s">
        <v>14</v>
      </c>
      <c r="B14" s="175" t="s">
        <v>14</v>
      </c>
      <c r="C14" s="176" t="s">
        <v>14</v>
      </c>
      <c r="D14" s="978" t="s">
        <v>43</v>
      </c>
      <c r="E14" s="980" t="s">
        <v>152</v>
      </c>
      <c r="F14" s="314" t="s">
        <v>15</v>
      </c>
      <c r="G14" s="319">
        <f>38193.5-115</f>
        <v>38078.5</v>
      </c>
      <c r="H14" s="318">
        <f>38193.5-115</f>
        <v>38078.5</v>
      </c>
      <c r="I14" s="319"/>
      <c r="J14" s="468">
        <v>37916.1</v>
      </c>
      <c r="K14" s="318">
        <v>37916.1</v>
      </c>
      <c r="L14" s="367"/>
      <c r="M14" s="1475">
        <v>37838.400000000001</v>
      </c>
      <c r="N14" s="81">
        <v>37838.400000000001</v>
      </c>
      <c r="O14" s="79"/>
      <c r="P14" s="501"/>
      <c r="Q14" s="143"/>
      <c r="R14" s="143"/>
      <c r="S14" s="910"/>
      <c r="T14" s="151"/>
    </row>
    <row r="15" spans="1:21" s="170" customFormat="1" ht="16.5" customHeight="1" x14ac:dyDescent="0.2">
      <c r="A15" s="177"/>
      <c r="B15" s="181"/>
      <c r="C15" s="184"/>
      <c r="D15" s="979"/>
      <c r="E15" s="1067"/>
      <c r="F15" s="1068" t="s">
        <v>87</v>
      </c>
      <c r="G15" s="496">
        <v>5.0999999999999996</v>
      </c>
      <c r="H15" s="94">
        <v>5.0999999999999996</v>
      </c>
      <c r="I15" s="496"/>
      <c r="J15" s="460"/>
      <c r="K15" s="94"/>
      <c r="L15" s="61"/>
      <c r="M15" s="72"/>
      <c r="N15" s="94"/>
      <c r="O15" s="61"/>
      <c r="P15" s="152"/>
      <c r="Q15" s="29"/>
      <c r="R15" s="29"/>
      <c r="S15" s="985"/>
      <c r="T15" s="634"/>
    </row>
    <row r="16" spans="1:21" s="170" customFormat="1" ht="16.5" customHeight="1" x14ac:dyDescent="0.2">
      <c r="A16" s="177"/>
      <c r="B16" s="181"/>
      <c r="C16" s="184"/>
      <c r="D16" s="979"/>
      <c r="E16" s="1067"/>
      <c r="F16" s="1068" t="s">
        <v>18</v>
      </c>
      <c r="G16" s="496">
        <v>45607.3</v>
      </c>
      <c r="H16" s="94">
        <v>45607.3</v>
      </c>
      <c r="I16" s="496"/>
      <c r="J16" s="460">
        <v>45349.599999999999</v>
      </c>
      <c r="K16" s="94">
        <v>45349.599999999999</v>
      </c>
      <c r="L16" s="61"/>
      <c r="M16" s="72">
        <v>45348.7</v>
      </c>
      <c r="N16" s="94">
        <v>45348.7</v>
      </c>
      <c r="O16" s="61"/>
      <c r="P16" s="152"/>
      <c r="Q16" s="29"/>
      <c r="R16" s="29"/>
      <c r="S16" s="985"/>
      <c r="T16" s="634"/>
    </row>
    <row r="17" spans="1:23" s="170" customFormat="1" ht="16.5" customHeight="1" x14ac:dyDescent="0.2">
      <c r="A17" s="177"/>
      <c r="B17" s="181"/>
      <c r="C17" s="184"/>
      <c r="D17" s="979"/>
      <c r="E17" s="1067"/>
      <c r="F17" s="1068" t="s">
        <v>42</v>
      </c>
      <c r="G17" s="496">
        <v>5390</v>
      </c>
      <c r="H17" s="94">
        <v>5390</v>
      </c>
      <c r="I17" s="496"/>
      <c r="J17" s="460">
        <v>5390</v>
      </c>
      <c r="K17" s="94">
        <v>5390</v>
      </c>
      <c r="L17" s="61"/>
      <c r="M17" s="72">
        <v>5390</v>
      </c>
      <c r="N17" s="94">
        <v>5390</v>
      </c>
      <c r="O17" s="61"/>
      <c r="P17" s="152"/>
      <c r="Q17" s="29"/>
      <c r="R17" s="29"/>
      <c r="S17" s="985"/>
      <c r="T17" s="634"/>
    </row>
    <row r="18" spans="1:23" s="170" customFormat="1" ht="16.5" customHeight="1" x14ac:dyDescent="0.2">
      <c r="A18" s="177"/>
      <c r="B18" s="181"/>
      <c r="C18" s="184"/>
      <c r="D18" s="979"/>
      <c r="E18" s="1067"/>
      <c r="F18" s="390" t="s">
        <v>59</v>
      </c>
      <c r="G18" s="496">
        <v>415.4</v>
      </c>
      <c r="H18" s="94">
        <v>415.4</v>
      </c>
      <c r="I18" s="496"/>
      <c r="J18" s="460"/>
      <c r="K18" s="94"/>
      <c r="L18" s="61"/>
      <c r="M18" s="72"/>
      <c r="N18" s="94"/>
      <c r="O18" s="61"/>
      <c r="P18" s="152"/>
      <c r="Q18" s="29"/>
      <c r="R18" s="29"/>
      <c r="S18" s="985"/>
      <c r="T18" s="634"/>
    </row>
    <row r="19" spans="1:23" s="170" customFormat="1" ht="16.5" customHeight="1" x14ac:dyDescent="0.2">
      <c r="A19" s="177"/>
      <c r="B19" s="181"/>
      <c r="C19" s="184"/>
      <c r="D19" s="979"/>
      <c r="E19" s="1067"/>
      <c r="F19" s="390" t="s">
        <v>89</v>
      </c>
      <c r="G19" s="496">
        <v>519.4</v>
      </c>
      <c r="H19" s="94">
        <v>519.4</v>
      </c>
      <c r="I19" s="496"/>
      <c r="J19" s="460">
        <v>71.599999999999994</v>
      </c>
      <c r="K19" s="94">
        <v>71.599999999999994</v>
      </c>
      <c r="L19" s="61"/>
      <c r="M19" s="72"/>
      <c r="N19" s="94"/>
      <c r="O19" s="61"/>
      <c r="P19" s="152"/>
      <c r="Q19" s="29"/>
      <c r="R19" s="29"/>
      <c r="S19" s="985"/>
      <c r="T19" s="634"/>
    </row>
    <row r="20" spans="1:23" s="170" customFormat="1" ht="16.5" customHeight="1" x14ac:dyDescent="0.2">
      <c r="A20" s="177"/>
      <c r="B20" s="181"/>
      <c r="C20" s="184"/>
      <c r="D20" s="979"/>
      <c r="E20" s="1067"/>
      <c r="F20" s="390" t="s">
        <v>148</v>
      </c>
      <c r="G20" s="496">
        <v>46.5</v>
      </c>
      <c r="H20" s="94">
        <v>46.5</v>
      </c>
      <c r="I20" s="496"/>
      <c r="J20" s="460"/>
      <c r="K20" s="94"/>
      <c r="L20" s="61"/>
      <c r="M20" s="72"/>
      <c r="N20" s="94"/>
      <c r="O20" s="61"/>
      <c r="P20" s="152"/>
      <c r="Q20" s="29"/>
      <c r="R20" s="29"/>
      <c r="S20" s="985"/>
      <c r="T20" s="634"/>
    </row>
    <row r="21" spans="1:23" s="170" customFormat="1" ht="16.5" customHeight="1" x14ac:dyDescent="0.2">
      <c r="A21" s="177"/>
      <c r="B21" s="181"/>
      <c r="C21" s="184"/>
      <c r="D21" s="979"/>
      <c r="E21" s="1067"/>
      <c r="F21" s="390" t="s">
        <v>221</v>
      </c>
      <c r="G21" s="496">
        <v>447.8</v>
      </c>
      <c r="H21" s="94">
        <v>447.8</v>
      </c>
      <c r="I21" s="496"/>
      <c r="J21" s="460"/>
      <c r="K21" s="94"/>
      <c r="L21" s="61"/>
      <c r="M21" s="72"/>
      <c r="N21" s="94"/>
      <c r="O21" s="61"/>
      <c r="P21" s="152"/>
      <c r="Q21" s="29"/>
      <c r="R21" s="29"/>
      <c r="S21" s="985"/>
      <c r="T21" s="634"/>
    </row>
    <row r="22" spans="1:23" s="170" customFormat="1" ht="16.5" customHeight="1" x14ac:dyDescent="0.2">
      <c r="A22" s="177"/>
      <c r="B22" s="181"/>
      <c r="C22" s="184"/>
      <c r="D22" s="979"/>
      <c r="E22" s="1067"/>
      <c r="F22" s="390" t="s">
        <v>4</v>
      </c>
      <c r="G22" s="496">
        <v>125.9</v>
      </c>
      <c r="H22" s="94">
        <v>125.9</v>
      </c>
      <c r="I22" s="496"/>
      <c r="J22" s="460"/>
      <c r="K22" s="94"/>
      <c r="L22" s="61"/>
      <c r="M22" s="452"/>
      <c r="N22" s="127"/>
      <c r="O22" s="135"/>
      <c r="P22" s="498"/>
      <c r="Q22" s="29"/>
      <c r="R22" s="29"/>
      <c r="S22" s="985"/>
      <c r="T22" s="634"/>
    </row>
    <row r="23" spans="1:23" s="170" customFormat="1" ht="14.25" customHeight="1" x14ac:dyDescent="0.2">
      <c r="A23" s="177"/>
      <c r="B23" s="178"/>
      <c r="C23" s="179"/>
      <c r="D23" s="1773" t="s">
        <v>115</v>
      </c>
      <c r="E23" s="1048" t="s">
        <v>262</v>
      </c>
      <c r="F23" s="1457"/>
      <c r="G23" s="138"/>
      <c r="H23" s="130"/>
      <c r="I23" s="138"/>
      <c r="J23" s="1476"/>
      <c r="K23" s="130"/>
      <c r="L23" s="15"/>
      <c r="M23" s="134"/>
      <c r="N23" s="130"/>
      <c r="O23" s="15"/>
      <c r="P23" s="1429" t="s">
        <v>100</v>
      </c>
      <c r="Q23" s="26">
        <v>47</v>
      </c>
      <c r="R23" s="27">
        <v>47</v>
      </c>
      <c r="S23" s="26">
        <v>47</v>
      </c>
      <c r="T23" s="23"/>
      <c r="U23" s="649"/>
    </row>
    <row r="24" spans="1:23" s="170" customFormat="1" ht="14.25" customHeight="1" x14ac:dyDescent="0.2">
      <c r="A24" s="177"/>
      <c r="B24" s="178"/>
      <c r="C24" s="179"/>
      <c r="D24" s="1774"/>
      <c r="E24" s="31"/>
      <c r="F24" s="1457"/>
      <c r="G24" s="119"/>
      <c r="H24" s="64"/>
      <c r="I24" s="119"/>
      <c r="J24" s="1477"/>
      <c r="K24" s="64"/>
      <c r="L24" s="807"/>
      <c r="M24" s="333"/>
      <c r="N24" s="64"/>
      <c r="O24" s="807"/>
      <c r="P24" s="470" t="s">
        <v>101</v>
      </c>
      <c r="Q24" s="373">
        <v>7968</v>
      </c>
      <c r="R24" s="373">
        <v>7990</v>
      </c>
      <c r="S24" s="1464">
        <v>7995</v>
      </c>
      <c r="T24" s="1466"/>
      <c r="U24" s="666"/>
      <c r="W24" s="169"/>
    </row>
    <row r="25" spans="1:23" s="170" customFormat="1" ht="16.5" customHeight="1" x14ac:dyDescent="0.2">
      <c r="A25" s="177"/>
      <c r="B25" s="181"/>
      <c r="C25" s="179"/>
      <c r="D25" s="1774"/>
      <c r="E25" s="31"/>
      <c r="F25" s="1457"/>
      <c r="G25" s="119"/>
      <c r="H25" s="64"/>
      <c r="I25" s="119"/>
      <c r="J25" s="1477"/>
      <c r="K25" s="64"/>
      <c r="L25" s="807"/>
      <c r="M25" s="333"/>
      <c r="N25" s="64"/>
      <c r="O25" s="807"/>
      <c r="P25" s="1432"/>
      <c r="Q25" s="985"/>
      <c r="R25" s="29"/>
      <c r="S25" s="985"/>
      <c r="T25" s="634"/>
      <c r="U25" s="649"/>
    </row>
    <row r="26" spans="1:23" s="170" customFormat="1" ht="42" customHeight="1" x14ac:dyDescent="0.2">
      <c r="A26" s="177"/>
      <c r="B26" s="181"/>
      <c r="C26" s="179"/>
      <c r="D26" s="1773" t="s">
        <v>266</v>
      </c>
      <c r="E26" s="1048" t="s">
        <v>262</v>
      </c>
      <c r="F26" s="1457"/>
      <c r="G26" s="119"/>
      <c r="H26" s="64"/>
      <c r="I26" s="119"/>
      <c r="J26" s="1477"/>
      <c r="K26" s="64"/>
      <c r="L26" s="807"/>
      <c r="M26" s="333"/>
      <c r="N26" s="64"/>
      <c r="O26" s="807"/>
      <c r="P26" s="1478" t="s">
        <v>267</v>
      </c>
      <c r="Q26" s="373">
        <v>2</v>
      </c>
      <c r="R26" s="373">
        <v>2</v>
      </c>
      <c r="S26" s="1464">
        <v>2</v>
      </c>
      <c r="T26" s="1466"/>
      <c r="U26" s="649"/>
    </row>
    <row r="27" spans="1:23" s="170" customFormat="1" ht="18.75" customHeight="1" x14ac:dyDescent="0.2">
      <c r="A27" s="177"/>
      <c r="B27" s="181"/>
      <c r="C27" s="179"/>
      <c r="D27" s="1775"/>
      <c r="E27" s="1049"/>
      <c r="F27" s="1457"/>
      <c r="G27" s="119"/>
      <c r="H27" s="64"/>
      <c r="I27" s="119"/>
      <c r="J27" s="1477"/>
      <c r="K27" s="64"/>
      <c r="L27" s="807"/>
      <c r="M27" s="333"/>
      <c r="N27" s="64"/>
      <c r="O27" s="807"/>
      <c r="P27" s="976" t="s">
        <v>272</v>
      </c>
      <c r="Q27" s="27">
        <v>48</v>
      </c>
      <c r="R27" s="27">
        <v>55</v>
      </c>
      <c r="S27" s="26">
        <v>47</v>
      </c>
      <c r="T27" s="23"/>
      <c r="U27" s="649"/>
    </row>
    <row r="28" spans="1:23" s="170" customFormat="1" ht="15.75" customHeight="1" x14ac:dyDescent="0.2">
      <c r="A28" s="177"/>
      <c r="B28" s="181"/>
      <c r="C28" s="179"/>
      <c r="D28" s="1774" t="s">
        <v>241</v>
      </c>
      <c r="E28" s="1438"/>
      <c r="F28" s="1457"/>
      <c r="G28" s="119"/>
      <c r="H28" s="64"/>
      <c r="I28" s="119"/>
      <c r="J28" s="1477"/>
      <c r="K28" s="64"/>
      <c r="L28" s="807"/>
      <c r="M28" s="333"/>
      <c r="N28" s="64"/>
      <c r="O28" s="807"/>
      <c r="P28" s="1429" t="s">
        <v>100</v>
      </c>
      <c r="Q28" s="29">
        <v>7</v>
      </c>
      <c r="R28" s="29">
        <v>7</v>
      </c>
      <c r="S28" s="985">
        <v>7</v>
      </c>
      <c r="T28" s="634"/>
      <c r="U28" s="650"/>
    </row>
    <row r="29" spans="1:23" s="170" customFormat="1" ht="14.25" customHeight="1" x14ac:dyDescent="0.2">
      <c r="A29" s="177"/>
      <c r="B29" s="178"/>
      <c r="C29" s="179"/>
      <c r="D29" s="1774"/>
      <c r="E29" s="31"/>
      <c r="F29" s="1457"/>
      <c r="G29" s="401"/>
      <c r="H29" s="327"/>
      <c r="I29" s="401"/>
      <c r="J29" s="1479"/>
      <c r="K29" s="327"/>
      <c r="L29" s="328"/>
      <c r="M29" s="1199"/>
      <c r="N29" s="327"/>
      <c r="O29" s="328"/>
      <c r="P29" s="470" t="s">
        <v>101</v>
      </c>
      <c r="Q29" s="373">
        <v>335</v>
      </c>
      <c r="R29" s="373">
        <v>340</v>
      </c>
      <c r="S29" s="1464">
        <v>350</v>
      </c>
      <c r="T29" s="1466"/>
    </row>
    <row r="30" spans="1:23" s="170" customFormat="1" ht="15" customHeight="1" thickBot="1" x14ac:dyDescent="0.25">
      <c r="A30" s="177"/>
      <c r="B30" s="181"/>
      <c r="C30" s="179"/>
      <c r="D30" s="1774"/>
      <c r="E30" s="31"/>
      <c r="F30" s="1457"/>
      <c r="G30" s="119"/>
      <c r="H30" s="64"/>
      <c r="I30" s="119"/>
      <c r="J30" s="1477"/>
      <c r="K30" s="64"/>
      <c r="L30" s="807"/>
      <c r="M30" s="333"/>
      <c r="N30" s="64"/>
      <c r="O30" s="807"/>
      <c r="P30" s="486"/>
      <c r="Q30" s="267"/>
      <c r="R30" s="267"/>
      <c r="S30" s="1465"/>
      <c r="T30" s="1467"/>
    </row>
    <row r="31" spans="1:23" s="170" customFormat="1" ht="12.75" customHeight="1" x14ac:dyDescent="0.2">
      <c r="A31" s="182"/>
      <c r="B31" s="181"/>
      <c r="C31" s="183"/>
      <c r="D31" s="1797" t="s">
        <v>66</v>
      </c>
      <c r="E31" s="31"/>
      <c r="F31" s="1457"/>
      <c r="G31" s="138"/>
      <c r="H31" s="130"/>
      <c r="I31" s="138"/>
      <c r="J31" s="1476"/>
      <c r="K31" s="130"/>
      <c r="L31" s="15"/>
      <c r="M31" s="134"/>
      <c r="N31" s="130"/>
      <c r="O31" s="15"/>
      <c r="P31" s="485" t="s">
        <v>100</v>
      </c>
      <c r="Q31" s="29">
        <v>4</v>
      </c>
      <c r="R31" s="29">
        <v>4</v>
      </c>
      <c r="S31" s="985">
        <v>4</v>
      </c>
      <c r="T31" s="634"/>
    </row>
    <row r="32" spans="1:23" s="170" customFormat="1" ht="15.75" customHeight="1" x14ac:dyDescent="0.2">
      <c r="A32" s="182"/>
      <c r="B32" s="181"/>
      <c r="C32" s="184"/>
      <c r="D32" s="1774"/>
      <c r="E32" s="31"/>
      <c r="F32" s="1457"/>
      <c r="G32" s="119"/>
      <c r="H32" s="64"/>
      <c r="I32" s="119"/>
      <c r="J32" s="1477"/>
      <c r="K32" s="64"/>
      <c r="L32" s="807"/>
      <c r="M32" s="333"/>
      <c r="N32" s="64"/>
      <c r="O32" s="807"/>
      <c r="P32" s="470" t="s">
        <v>326</v>
      </c>
      <c r="Q32" s="373">
        <v>1285</v>
      </c>
      <c r="R32" s="373">
        <v>1285</v>
      </c>
      <c r="S32" s="1464">
        <v>1285</v>
      </c>
      <c r="T32" s="1466"/>
    </row>
    <row r="33" spans="1:23" s="170" customFormat="1" ht="15.75" customHeight="1" thickBot="1" x14ac:dyDescent="0.25">
      <c r="A33" s="182"/>
      <c r="B33" s="181"/>
      <c r="C33" s="184"/>
      <c r="D33" s="1774"/>
      <c r="E33" s="31"/>
      <c r="F33" s="1457"/>
      <c r="G33" s="119"/>
      <c r="H33" s="64"/>
      <c r="I33" s="119"/>
      <c r="J33" s="1477"/>
      <c r="K33" s="64"/>
      <c r="L33" s="807"/>
      <c r="M33" s="333"/>
      <c r="N33" s="64"/>
      <c r="O33" s="807"/>
      <c r="P33" s="152" t="s">
        <v>203</v>
      </c>
      <c r="Q33" s="29">
        <v>910</v>
      </c>
      <c r="R33" s="29">
        <v>910</v>
      </c>
      <c r="S33" s="985">
        <v>910</v>
      </c>
      <c r="T33" s="634"/>
    </row>
    <row r="34" spans="1:23" s="170" customFormat="1" ht="18" customHeight="1" x14ac:dyDescent="0.2">
      <c r="A34" s="185"/>
      <c r="B34" s="181"/>
      <c r="C34" s="184"/>
      <c r="D34" s="1797" t="s">
        <v>307</v>
      </c>
      <c r="E34" s="973"/>
      <c r="F34" s="1457"/>
      <c r="G34" s="119"/>
      <c r="H34" s="64"/>
      <c r="I34" s="119"/>
      <c r="J34" s="1477"/>
      <c r="K34" s="64"/>
      <c r="L34" s="807"/>
      <c r="M34" s="333"/>
      <c r="N34" s="64"/>
      <c r="O34" s="807"/>
      <c r="P34" s="497" t="s">
        <v>100</v>
      </c>
      <c r="Q34" s="143">
        <v>1</v>
      </c>
      <c r="R34" s="143">
        <v>1</v>
      </c>
      <c r="S34" s="910">
        <v>1</v>
      </c>
      <c r="T34" s="151"/>
    </row>
    <row r="35" spans="1:23" s="170" customFormat="1" ht="18" customHeight="1" thickBot="1" x14ac:dyDescent="0.25">
      <c r="A35" s="185"/>
      <c r="B35" s="181"/>
      <c r="C35" s="184"/>
      <c r="D35" s="1798"/>
      <c r="E35" s="974"/>
      <c r="F35" s="1457"/>
      <c r="G35" s="119"/>
      <c r="H35" s="64"/>
      <c r="I35" s="119"/>
      <c r="J35" s="1477"/>
      <c r="K35" s="64"/>
      <c r="L35" s="807"/>
      <c r="M35" s="333"/>
      <c r="N35" s="64"/>
      <c r="O35" s="807"/>
      <c r="P35" s="489" t="s">
        <v>101</v>
      </c>
      <c r="Q35" s="139">
        <v>50</v>
      </c>
      <c r="R35" s="139">
        <v>50</v>
      </c>
      <c r="S35" s="589">
        <v>50</v>
      </c>
      <c r="T35" s="25"/>
    </row>
    <row r="36" spans="1:23" s="170" customFormat="1" ht="15.75" customHeight="1" x14ac:dyDescent="0.25">
      <c r="A36" s="185"/>
      <c r="B36" s="178"/>
      <c r="C36" s="184"/>
      <c r="D36" s="1774" t="s">
        <v>116</v>
      </c>
      <c r="E36" s="31"/>
      <c r="F36" s="1457"/>
      <c r="G36" s="1078"/>
      <c r="H36" s="1079"/>
      <c r="I36" s="1078"/>
      <c r="J36" s="1480"/>
      <c r="K36" s="1079"/>
      <c r="L36" s="1080"/>
      <c r="M36" s="1481"/>
      <c r="N36" s="1079"/>
      <c r="O36" s="1080"/>
      <c r="P36" s="498" t="s">
        <v>100</v>
      </c>
      <c r="Q36" s="32">
        <v>32</v>
      </c>
      <c r="R36" s="32">
        <v>32</v>
      </c>
      <c r="S36" s="994">
        <v>32</v>
      </c>
      <c r="T36" s="1007"/>
      <c r="W36" s="926"/>
    </row>
    <row r="37" spans="1:23" s="170" customFormat="1" ht="15.75" customHeight="1" x14ac:dyDescent="0.2">
      <c r="A37" s="185"/>
      <c r="B37" s="178"/>
      <c r="C37" s="184"/>
      <c r="D37" s="1774"/>
      <c r="E37" s="31"/>
      <c r="F37" s="1457"/>
      <c r="G37" s="138"/>
      <c r="H37" s="130"/>
      <c r="I37" s="138"/>
      <c r="J37" s="1476"/>
      <c r="K37" s="130"/>
      <c r="L37" s="15"/>
      <c r="M37" s="134"/>
      <c r="N37" s="130"/>
      <c r="O37" s="15"/>
      <c r="P37" s="471" t="s">
        <v>101</v>
      </c>
      <c r="Q37" s="26">
        <v>18020</v>
      </c>
      <c r="R37" s="27">
        <v>18100</v>
      </c>
      <c r="S37" s="994">
        <v>18150</v>
      </c>
      <c r="T37" s="1007"/>
    </row>
    <row r="38" spans="1:23" s="170" customFormat="1" ht="15.75" customHeight="1" x14ac:dyDescent="0.2">
      <c r="A38" s="185"/>
      <c r="B38" s="178"/>
      <c r="C38" s="184"/>
      <c r="D38" s="1774"/>
      <c r="E38" s="31"/>
      <c r="F38" s="1457"/>
      <c r="G38" s="119"/>
      <c r="H38" s="64"/>
      <c r="I38" s="119"/>
      <c r="J38" s="1477"/>
      <c r="K38" s="64"/>
      <c r="L38" s="807"/>
      <c r="M38" s="333"/>
      <c r="N38" s="64"/>
      <c r="O38" s="807"/>
      <c r="P38" s="470" t="s">
        <v>120</v>
      </c>
      <c r="Q38" s="373">
        <v>17850</v>
      </c>
      <c r="R38" s="373">
        <v>17900</v>
      </c>
      <c r="S38" s="1464">
        <v>17950</v>
      </c>
      <c r="T38" s="1466"/>
    </row>
    <row r="39" spans="1:23" s="170" customFormat="1" ht="30" customHeight="1" thickBot="1" x14ac:dyDescent="0.25">
      <c r="A39" s="185"/>
      <c r="B39" s="178"/>
      <c r="C39" s="184"/>
      <c r="D39" s="1050" t="s">
        <v>271</v>
      </c>
      <c r="E39" s="1051" t="s">
        <v>262</v>
      </c>
      <c r="F39" s="1457"/>
      <c r="G39" s="1075"/>
      <c r="H39" s="1076"/>
      <c r="I39" s="1075"/>
      <c r="J39" s="1482"/>
      <c r="K39" s="1076"/>
      <c r="L39" s="1077"/>
      <c r="M39" s="1483"/>
      <c r="N39" s="1076"/>
      <c r="O39" s="1077"/>
      <c r="P39" s="489" t="s">
        <v>327</v>
      </c>
      <c r="Q39" s="1484" t="s">
        <v>269</v>
      </c>
      <c r="R39" s="829" t="s">
        <v>269</v>
      </c>
      <c r="S39" s="1485" t="s">
        <v>269</v>
      </c>
      <c r="T39" s="1486"/>
      <c r="V39" s="927"/>
    </row>
    <row r="40" spans="1:23" s="170" customFormat="1" ht="41.45" customHeight="1" thickBot="1" x14ac:dyDescent="0.25">
      <c r="A40" s="185"/>
      <c r="B40" s="178"/>
      <c r="C40" s="573"/>
      <c r="D40" s="1423" t="s">
        <v>247</v>
      </c>
      <c r="E40" s="1438"/>
      <c r="F40" s="1457"/>
      <c r="G40" s="119"/>
      <c r="H40" s="64"/>
      <c r="I40" s="119"/>
      <c r="J40" s="1477"/>
      <c r="K40" s="64"/>
      <c r="L40" s="807"/>
      <c r="M40" s="333"/>
      <c r="N40" s="64"/>
      <c r="O40" s="807"/>
      <c r="P40" s="1487" t="s">
        <v>248</v>
      </c>
      <c r="Q40" s="1488">
        <v>4</v>
      </c>
      <c r="R40" s="647"/>
      <c r="S40" s="1489"/>
      <c r="T40" s="1490"/>
      <c r="V40" s="1804"/>
      <c r="W40" s="1804"/>
    </row>
    <row r="41" spans="1:23" s="170" customFormat="1" ht="16.5" customHeight="1" x14ac:dyDescent="0.2">
      <c r="A41" s="185"/>
      <c r="B41" s="178"/>
      <c r="C41" s="184"/>
      <c r="D41" s="1773" t="s">
        <v>242</v>
      </c>
      <c r="E41" s="31"/>
      <c r="F41" s="1457"/>
      <c r="G41" s="138"/>
      <c r="H41" s="130"/>
      <c r="I41" s="138"/>
      <c r="J41" s="1476"/>
      <c r="K41" s="130"/>
      <c r="L41" s="15"/>
      <c r="M41" s="134"/>
      <c r="N41" s="130"/>
      <c r="O41" s="15"/>
      <c r="P41" s="152" t="s">
        <v>100</v>
      </c>
      <c r="Q41" s="29">
        <v>6</v>
      </c>
      <c r="R41" s="29">
        <v>6</v>
      </c>
      <c r="S41" s="985"/>
      <c r="T41" s="634"/>
    </row>
    <row r="42" spans="1:23" s="170" customFormat="1" ht="25.5" customHeight="1" thickBot="1" x14ac:dyDescent="0.25">
      <c r="A42" s="185"/>
      <c r="B42" s="178"/>
      <c r="C42" s="184"/>
      <c r="D42" s="1774"/>
      <c r="E42" s="31"/>
      <c r="F42" s="1457"/>
      <c r="G42" s="138"/>
      <c r="H42" s="130"/>
      <c r="I42" s="138"/>
      <c r="J42" s="1476"/>
      <c r="K42" s="130"/>
      <c r="L42" s="15"/>
      <c r="M42" s="134"/>
      <c r="N42" s="130"/>
      <c r="O42" s="15"/>
      <c r="P42" s="152"/>
      <c r="Q42" s="29"/>
      <c r="R42" s="29"/>
      <c r="S42" s="985"/>
      <c r="T42" s="634"/>
    </row>
    <row r="43" spans="1:23" s="170" customFormat="1" ht="30.75" customHeight="1" thickBot="1" x14ac:dyDescent="0.25">
      <c r="A43" s="185"/>
      <c r="B43" s="178"/>
      <c r="C43" s="184"/>
      <c r="D43" s="411" t="s">
        <v>246</v>
      </c>
      <c r="E43" s="31"/>
      <c r="F43" s="1457"/>
      <c r="G43" s="138"/>
      <c r="H43" s="130"/>
      <c r="I43" s="138"/>
      <c r="J43" s="1476"/>
      <c r="K43" s="130"/>
      <c r="L43" s="15"/>
      <c r="M43" s="134"/>
      <c r="N43" s="130"/>
      <c r="O43" s="15"/>
      <c r="P43" s="502" t="s">
        <v>100</v>
      </c>
      <c r="Q43" s="1491">
        <v>5</v>
      </c>
      <c r="R43" s="220">
        <v>5</v>
      </c>
      <c r="S43" s="1491">
        <v>5</v>
      </c>
      <c r="T43" s="194"/>
    </row>
    <row r="44" spans="1:23" s="170" customFormat="1" ht="21.75" customHeight="1" x14ac:dyDescent="0.2">
      <c r="A44" s="185"/>
      <c r="B44" s="178"/>
      <c r="C44" s="184"/>
      <c r="D44" s="1797" t="s">
        <v>243</v>
      </c>
      <c r="E44" s="31"/>
      <c r="F44" s="1457"/>
      <c r="G44" s="119"/>
      <c r="H44" s="64"/>
      <c r="I44" s="119"/>
      <c r="J44" s="1477"/>
      <c r="K44" s="64"/>
      <c r="L44" s="807"/>
      <c r="M44" s="333"/>
      <c r="N44" s="64"/>
      <c r="O44" s="807"/>
      <c r="P44" s="485" t="s">
        <v>100</v>
      </c>
      <c r="Q44" s="88">
        <v>6</v>
      </c>
      <c r="R44" s="88">
        <v>6</v>
      </c>
      <c r="S44" s="1492">
        <v>6</v>
      </c>
      <c r="T44" s="87"/>
    </row>
    <row r="45" spans="1:23" s="170" customFormat="1" ht="21.75" customHeight="1" thickBot="1" x14ac:dyDescent="0.25">
      <c r="A45" s="185"/>
      <c r="B45" s="178"/>
      <c r="C45" s="184"/>
      <c r="D45" s="1798"/>
      <c r="E45" s="31"/>
      <c r="F45" s="1457"/>
      <c r="G45" s="119"/>
      <c r="H45" s="64"/>
      <c r="I45" s="119"/>
      <c r="J45" s="1477"/>
      <c r="K45" s="64"/>
      <c r="L45" s="807"/>
      <c r="M45" s="333"/>
      <c r="N45" s="64"/>
      <c r="O45" s="807"/>
      <c r="P45" s="470" t="s">
        <v>101</v>
      </c>
      <c r="Q45" s="373">
        <f>1265-50</f>
        <v>1215</v>
      </c>
      <c r="R45" s="373">
        <f>1270-50</f>
        <v>1220</v>
      </c>
      <c r="S45" s="1464">
        <f>1280-50</f>
        <v>1230</v>
      </c>
      <c r="T45" s="1466"/>
    </row>
    <row r="46" spans="1:23" s="170" customFormat="1" ht="21.75" customHeight="1" x14ac:dyDescent="0.2">
      <c r="A46" s="185"/>
      <c r="B46" s="178"/>
      <c r="C46" s="184"/>
      <c r="D46" s="1774" t="s">
        <v>192</v>
      </c>
      <c r="E46" s="31"/>
      <c r="F46" s="1457"/>
      <c r="G46" s="119"/>
      <c r="H46" s="64"/>
      <c r="I46" s="119"/>
      <c r="J46" s="1477"/>
      <c r="K46" s="64"/>
      <c r="L46" s="807"/>
      <c r="M46" s="333"/>
      <c r="N46" s="64"/>
      <c r="O46" s="807"/>
      <c r="P46" s="1799" t="s">
        <v>160</v>
      </c>
      <c r="Q46" s="143">
        <v>1990</v>
      </c>
      <c r="R46" s="143">
        <v>2000</v>
      </c>
      <c r="S46" s="910">
        <v>2020</v>
      </c>
      <c r="T46" s="151"/>
      <c r="V46" s="1801"/>
      <c r="W46" s="1801"/>
    </row>
    <row r="47" spans="1:23" s="190" customFormat="1" ht="19.5" customHeight="1" x14ac:dyDescent="0.2">
      <c r="A47" s="177"/>
      <c r="B47" s="178"/>
      <c r="C47" s="183"/>
      <c r="D47" s="1774"/>
      <c r="E47" s="1493"/>
      <c r="F47" s="987"/>
      <c r="G47" s="119"/>
      <c r="H47" s="64"/>
      <c r="I47" s="119"/>
      <c r="J47" s="1477"/>
      <c r="K47" s="64"/>
      <c r="L47" s="807"/>
      <c r="M47" s="333"/>
      <c r="N47" s="64"/>
      <c r="O47" s="807"/>
      <c r="P47" s="1800"/>
      <c r="Q47" s="32"/>
      <c r="R47" s="32"/>
      <c r="S47" s="994"/>
      <c r="T47" s="1007"/>
    </row>
    <row r="48" spans="1:23" s="170" customFormat="1" ht="16.5" customHeight="1" x14ac:dyDescent="0.2">
      <c r="A48" s="182"/>
      <c r="B48" s="178"/>
      <c r="C48" s="184"/>
      <c r="D48" s="1774" t="s">
        <v>114</v>
      </c>
      <c r="E48" s="1052"/>
      <c r="F48" s="1457"/>
      <c r="G48" s="119"/>
      <c r="H48" s="64"/>
      <c r="I48" s="119"/>
      <c r="J48" s="1477"/>
      <c r="K48" s="64"/>
      <c r="L48" s="807"/>
      <c r="M48" s="333"/>
      <c r="N48" s="64"/>
      <c r="O48" s="807"/>
      <c r="P48" s="498" t="s">
        <v>100</v>
      </c>
      <c r="Q48" s="994">
        <v>6</v>
      </c>
      <c r="R48" s="32">
        <v>6</v>
      </c>
      <c r="S48" s="994">
        <v>6</v>
      </c>
      <c r="T48" s="1007"/>
    </row>
    <row r="49" spans="1:24" s="170" customFormat="1" ht="15.75" customHeight="1" x14ac:dyDescent="0.2">
      <c r="A49" s="182"/>
      <c r="B49" s="178"/>
      <c r="C49" s="184"/>
      <c r="D49" s="1774"/>
      <c r="E49" s="1052"/>
      <c r="F49" s="1457"/>
      <c r="G49" s="1072"/>
      <c r="H49" s="1073"/>
      <c r="I49" s="1072"/>
      <c r="J49" s="1494"/>
      <c r="K49" s="1073"/>
      <c r="L49" s="1074"/>
      <c r="M49" s="1495"/>
      <c r="N49" s="1073"/>
      <c r="O49" s="1074"/>
      <c r="P49" s="470" t="s">
        <v>101</v>
      </c>
      <c r="Q49" s="27">
        <v>5565</v>
      </c>
      <c r="R49" s="27">
        <v>5570</v>
      </c>
      <c r="S49" s="26">
        <v>5570</v>
      </c>
      <c r="T49" s="23"/>
    </row>
    <row r="50" spans="1:24" s="170" customFormat="1" ht="43.5" customHeight="1" x14ac:dyDescent="0.2">
      <c r="A50" s="182"/>
      <c r="B50" s="178"/>
      <c r="C50" s="184"/>
      <c r="D50" s="1774"/>
      <c r="E50" s="1052"/>
      <c r="F50" s="1457"/>
      <c r="G50" s="119"/>
      <c r="H50" s="64"/>
      <c r="I50" s="119"/>
      <c r="J50" s="1477"/>
      <c r="K50" s="64"/>
      <c r="L50" s="807"/>
      <c r="M50" s="333"/>
      <c r="N50" s="64"/>
      <c r="O50" s="807"/>
      <c r="P50" s="471" t="s">
        <v>161</v>
      </c>
      <c r="Q50" s="26">
        <v>235</v>
      </c>
      <c r="R50" s="27">
        <v>235</v>
      </c>
      <c r="S50" s="26">
        <v>235</v>
      </c>
      <c r="T50" s="23"/>
      <c r="U50" s="169"/>
    </row>
    <row r="51" spans="1:24" s="170" customFormat="1" ht="18" customHeight="1" x14ac:dyDescent="0.2">
      <c r="A51" s="182"/>
      <c r="B51" s="178"/>
      <c r="C51" s="184"/>
      <c r="D51" s="1774"/>
      <c r="E51" s="1052"/>
      <c r="F51" s="1457"/>
      <c r="G51" s="119"/>
      <c r="H51" s="64"/>
      <c r="I51" s="119"/>
      <c r="J51" s="1477"/>
      <c r="K51" s="64"/>
      <c r="L51" s="807"/>
      <c r="M51" s="333"/>
      <c r="N51" s="64"/>
      <c r="O51" s="807"/>
      <c r="P51" s="471" t="s">
        <v>162</v>
      </c>
      <c r="Q51" s="26">
        <v>100</v>
      </c>
      <c r="R51" s="27">
        <v>100</v>
      </c>
      <c r="S51" s="26">
        <v>100</v>
      </c>
      <c r="T51" s="23"/>
      <c r="U51" s="169"/>
    </row>
    <row r="52" spans="1:24" s="170" customFormat="1" ht="18" customHeight="1" x14ac:dyDescent="0.2">
      <c r="A52" s="182"/>
      <c r="B52" s="178"/>
      <c r="C52" s="184"/>
      <c r="D52" s="1774"/>
      <c r="E52" s="1052"/>
      <c r="F52" s="1457"/>
      <c r="G52" s="119"/>
      <c r="H52" s="64"/>
      <c r="I52" s="119"/>
      <c r="J52" s="1477"/>
      <c r="K52" s="64"/>
      <c r="L52" s="807"/>
      <c r="M52" s="333"/>
      <c r="N52" s="64"/>
      <c r="O52" s="807"/>
      <c r="P52" s="471" t="s">
        <v>163</v>
      </c>
      <c r="Q52" s="26">
        <v>17</v>
      </c>
      <c r="R52" s="27">
        <v>17</v>
      </c>
      <c r="S52" s="26">
        <v>17</v>
      </c>
      <c r="T52" s="23"/>
      <c r="U52" s="169"/>
    </row>
    <row r="53" spans="1:24" s="170" customFormat="1" ht="30" customHeight="1" x14ac:dyDescent="0.2">
      <c r="A53" s="182"/>
      <c r="B53" s="178"/>
      <c r="C53" s="184"/>
      <c r="D53" s="1774"/>
      <c r="E53" s="1052"/>
      <c r="F53" s="1457"/>
      <c r="G53" s="119"/>
      <c r="H53" s="64"/>
      <c r="I53" s="119"/>
      <c r="J53" s="1477"/>
      <c r="K53" s="64"/>
      <c r="L53" s="807"/>
      <c r="M53" s="333"/>
      <c r="N53" s="64"/>
      <c r="O53" s="807"/>
      <c r="P53" s="470" t="s">
        <v>164</v>
      </c>
      <c r="Q53" s="1464">
        <v>118</v>
      </c>
      <c r="R53" s="373">
        <v>118</v>
      </c>
      <c r="S53" s="1464">
        <v>118</v>
      </c>
      <c r="T53" s="1466"/>
      <c r="U53" s="169"/>
    </row>
    <row r="54" spans="1:24" s="170" customFormat="1" ht="38.25" customHeight="1" thickBot="1" x14ac:dyDescent="0.25">
      <c r="A54" s="182"/>
      <c r="B54" s="178"/>
      <c r="C54" s="184"/>
      <c r="D54" s="1774"/>
      <c r="E54" s="1052"/>
      <c r="F54" s="1457"/>
      <c r="G54" s="119"/>
      <c r="H54" s="64"/>
      <c r="I54" s="119"/>
      <c r="J54" s="1477"/>
      <c r="K54" s="64"/>
      <c r="L54" s="1071"/>
      <c r="M54" s="333"/>
      <c r="N54" s="64"/>
      <c r="O54" s="807"/>
      <c r="P54" s="470" t="s">
        <v>237</v>
      </c>
      <c r="Q54" s="1464">
        <v>1200</v>
      </c>
      <c r="R54" s="1464"/>
      <c r="S54" s="1464">
        <v>1500</v>
      </c>
      <c r="T54" s="1466"/>
      <c r="U54" s="169"/>
    </row>
    <row r="55" spans="1:24" s="170" customFormat="1" ht="27" customHeight="1" x14ac:dyDescent="0.2">
      <c r="A55" s="182"/>
      <c r="B55" s="178"/>
      <c r="C55" s="184"/>
      <c r="D55" s="1802" t="s">
        <v>49</v>
      </c>
      <c r="E55" s="1053" t="s">
        <v>262</v>
      </c>
      <c r="F55" s="1457"/>
      <c r="G55" s="138"/>
      <c r="H55" s="130"/>
      <c r="I55" s="138"/>
      <c r="J55" s="1476"/>
      <c r="K55" s="1070"/>
      <c r="L55" s="15"/>
      <c r="M55" s="134"/>
      <c r="N55" s="130"/>
      <c r="O55" s="15"/>
      <c r="P55" s="501" t="s">
        <v>103</v>
      </c>
      <c r="Q55" s="143">
        <v>9600</v>
      </c>
      <c r="R55" s="143">
        <v>9600</v>
      </c>
      <c r="S55" s="910">
        <v>9600</v>
      </c>
      <c r="T55" s="151"/>
      <c r="V55" s="1804"/>
      <c r="W55" s="1804"/>
      <c r="X55" s="1804"/>
    </row>
    <row r="56" spans="1:24" s="170" customFormat="1" ht="30" customHeight="1" x14ac:dyDescent="0.2">
      <c r="A56" s="182"/>
      <c r="B56" s="178"/>
      <c r="C56" s="184"/>
      <c r="D56" s="1803"/>
      <c r="E56" s="1054"/>
      <c r="F56" s="1457"/>
      <c r="G56" s="119"/>
      <c r="H56" s="64"/>
      <c r="I56" s="119"/>
      <c r="J56" s="1477"/>
      <c r="K56" s="64"/>
      <c r="L56" s="807"/>
      <c r="M56" s="333"/>
      <c r="N56" s="64"/>
      <c r="O56" s="807"/>
      <c r="P56" s="976" t="s">
        <v>273</v>
      </c>
      <c r="Q56" s="26">
        <v>5</v>
      </c>
      <c r="R56" s="27">
        <v>1</v>
      </c>
      <c r="S56" s="26">
        <v>1</v>
      </c>
      <c r="T56" s="23"/>
    </row>
    <row r="57" spans="1:24" s="170" customFormat="1" ht="18" customHeight="1" thickBot="1" x14ac:dyDescent="0.25">
      <c r="A57" s="182"/>
      <c r="B57" s="178"/>
      <c r="C57" s="184"/>
      <c r="D57" s="1431"/>
      <c r="E57" s="1055"/>
      <c r="F57" s="1457"/>
      <c r="G57" s="119"/>
      <c r="H57" s="64"/>
      <c r="I57" s="119"/>
      <c r="J57" s="1477"/>
      <c r="K57" s="64"/>
      <c r="L57" s="807"/>
      <c r="M57" s="333"/>
      <c r="N57" s="64"/>
      <c r="O57" s="807"/>
      <c r="P57" s="1453" t="s">
        <v>328</v>
      </c>
      <c r="Q57" s="1465">
        <v>10</v>
      </c>
      <c r="R57" s="267">
        <v>12</v>
      </c>
      <c r="S57" s="1465">
        <v>13</v>
      </c>
      <c r="T57" s="1467"/>
    </row>
    <row r="58" spans="1:24" s="170" customFormat="1" ht="14.25" customHeight="1" x14ac:dyDescent="0.2">
      <c r="A58" s="182"/>
      <c r="B58" s="178"/>
      <c r="C58" s="184"/>
      <c r="D58" s="1802" t="s">
        <v>329</v>
      </c>
      <c r="E58" s="1056"/>
      <c r="F58" s="1457"/>
      <c r="G58" s="119"/>
      <c r="H58" s="64"/>
      <c r="I58" s="119"/>
      <c r="J58" s="1477"/>
      <c r="K58" s="64"/>
      <c r="L58" s="807"/>
      <c r="M58" s="333"/>
      <c r="N58" s="64"/>
      <c r="O58" s="807"/>
      <c r="P58" s="1432" t="s">
        <v>72</v>
      </c>
      <c r="Q58" s="910">
        <v>98</v>
      </c>
      <c r="R58" s="144">
        <v>100</v>
      </c>
      <c r="S58" s="910"/>
      <c r="T58" s="151"/>
    </row>
    <row r="59" spans="1:24" s="170" customFormat="1" ht="14.25" customHeight="1" x14ac:dyDescent="0.2">
      <c r="A59" s="182"/>
      <c r="B59" s="178"/>
      <c r="C59" s="184"/>
      <c r="D59" s="1803"/>
      <c r="E59" s="1056"/>
      <c r="F59" s="1457"/>
      <c r="G59" s="119"/>
      <c r="H59" s="64"/>
      <c r="I59" s="119"/>
      <c r="J59" s="1477"/>
      <c r="K59" s="64"/>
      <c r="L59" s="807"/>
      <c r="M59" s="333"/>
      <c r="N59" s="64"/>
      <c r="O59" s="807"/>
      <c r="P59" s="1432"/>
      <c r="Q59" s="985"/>
      <c r="R59" s="981"/>
      <c r="S59" s="985"/>
      <c r="T59" s="634"/>
      <c r="V59" s="927"/>
    </row>
    <row r="60" spans="1:24" s="170" customFormat="1" ht="22.5" customHeight="1" thickBot="1" x14ac:dyDescent="0.25">
      <c r="A60" s="182"/>
      <c r="B60" s="178"/>
      <c r="C60" s="184"/>
      <c r="D60" s="1814"/>
      <c r="E60" s="1056"/>
      <c r="F60" s="1457"/>
      <c r="G60" s="119"/>
      <c r="H60" s="64"/>
      <c r="I60" s="119"/>
      <c r="J60" s="1477"/>
      <c r="K60" s="64"/>
      <c r="L60" s="807"/>
      <c r="M60" s="333"/>
      <c r="N60" s="64"/>
      <c r="O60" s="807"/>
      <c r="P60" s="1432"/>
      <c r="Q60" s="985"/>
      <c r="R60" s="981"/>
      <c r="S60" s="985"/>
      <c r="T60" s="634"/>
      <c r="V60" s="927"/>
    </row>
    <row r="61" spans="1:24" s="170" customFormat="1" ht="12.75" customHeight="1" x14ac:dyDescent="0.2">
      <c r="A61" s="192"/>
      <c r="B61" s="181"/>
      <c r="C61" s="179"/>
      <c r="D61" s="1803" t="s">
        <v>121</v>
      </c>
      <c r="E61" s="985"/>
      <c r="F61" s="1457"/>
      <c r="G61" s="138"/>
      <c r="H61" s="130"/>
      <c r="I61" s="138"/>
      <c r="J61" s="1476"/>
      <c r="K61" s="130"/>
      <c r="L61" s="15"/>
      <c r="M61" s="134"/>
      <c r="N61" s="130"/>
      <c r="O61" s="15"/>
      <c r="P61" s="1799" t="s">
        <v>103</v>
      </c>
      <c r="Q61" s="143">
        <v>150</v>
      </c>
      <c r="R61" s="143">
        <v>155</v>
      </c>
      <c r="S61" s="910">
        <v>160</v>
      </c>
      <c r="T61" s="151"/>
    </row>
    <row r="62" spans="1:24" s="170" customFormat="1" ht="18.75" customHeight="1" thickBot="1" x14ac:dyDescent="0.25">
      <c r="A62" s="192"/>
      <c r="B62" s="181"/>
      <c r="C62" s="179"/>
      <c r="D62" s="1803"/>
      <c r="E62" s="985"/>
      <c r="F62" s="1457"/>
      <c r="G62" s="138"/>
      <c r="H62" s="130"/>
      <c r="I62" s="138"/>
      <c r="J62" s="1476"/>
      <c r="K62" s="130"/>
      <c r="L62" s="15"/>
      <c r="M62" s="134"/>
      <c r="N62" s="130"/>
      <c r="O62" s="15"/>
      <c r="P62" s="1815"/>
      <c r="Q62" s="29"/>
      <c r="R62" s="29"/>
      <c r="S62" s="985"/>
      <c r="T62" s="634"/>
    </row>
    <row r="63" spans="1:24" s="170" customFormat="1" ht="43.15" customHeight="1" x14ac:dyDescent="0.2">
      <c r="A63" s="192"/>
      <c r="B63" s="181"/>
      <c r="C63" s="179"/>
      <c r="D63" s="1430" t="s">
        <v>122</v>
      </c>
      <c r="E63" s="1056"/>
      <c r="F63" s="1457"/>
      <c r="G63" s="998"/>
      <c r="H63" s="1459"/>
      <c r="I63" s="998"/>
      <c r="J63" s="1496"/>
      <c r="K63" s="1459"/>
      <c r="L63" s="999"/>
      <c r="M63" s="1105"/>
      <c r="N63" s="1459"/>
      <c r="O63" s="999"/>
      <c r="P63" s="485" t="s">
        <v>165</v>
      </c>
      <c r="Q63" s="88">
        <v>670</v>
      </c>
      <c r="R63" s="88">
        <v>650</v>
      </c>
      <c r="S63" s="1492">
        <v>630</v>
      </c>
      <c r="T63" s="87"/>
    </row>
    <row r="64" spans="1:24" ht="16.5" customHeight="1" x14ac:dyDescent="0.2">
      <c r="A64" s="192"/>
      <c r="B64" s="181"/>
      <c r="C64" s="179"/>
      <c r="D64" s="1430"/>
      <c r="E64" s="1057"/>
      <c r="F64" s="1457"/>
      <c r="G64" s="119"/>
      <c r="H64" s="64"/>
      <c r="I64" s="119"/>
      <c r="J64" s="1477"/>
      <c r="K64" s="64"/>
      <c r="L64" s="807"/>
      <c r="M64" s="333"/>
      <c r="N64" s="64"/>
      <c r="O64" s="807"/>
      <c r="P64" s="152" t="s">
        <v>166</v>
      </c>
      <c r="Q64" s="29">
        <v>20</v>
      </c>
      <c r="R64" s="29">
        <v>20</v>
      </c>
      <c r="S64" s="985">
        <v>20</v>
      </c>
      <c r="T64" s="634"/>
      <c r="U64" s="240"/>
    </row>
    <row r="65" spans="1:23" ht="30.75" customHeight="1" thickBot="1" x14ac:dyDescent="0.25">
      <c r="A65" s="192"/>
      <c r="B65" s="181"/>
      <c r="C65" s="179"/>
      <c r="D65" s="1431"/>
      <c r="E65" s="1056"/>
      <c r="F65" s="1457"/>
      <c r="G65" s="119"/>
      <c r="H65" s="64"/>
      <c r="I65" s="119"/>
      <c r="J65" s="1477"/>
      <c r="K65" s="64"/>
      <c r="L65" s="807"/>
      <c r="M65" s="333"/>
      <c r="N65" s="64"/>
      <c r="O65" s="807"/>
      <c r="P65" s="489" t="s">
        <v>104</v>
      </c>
      <c r="Q65" s="589">
        <v>13000</v>
      </c>
      <c r="R65" s="191">
        <v>12700</v>
      </c>
      <c r="S65" s="589">
        <v>12500</v>
      </c>
      <c r="T65" s="25"/>
    </row>
    <row r="66" spans="1:23" ht="21" customHeight="1" x14ac:dyDescent="0.2">
      <c r="A66" s="192"/>
      <c r="B66" s="181"/>
      <c r="C66" s="179"/>
      <c r="D66" s="1774" t="s">
        <v>193</v>
      </c>
      <c r="E66" s="1056"/>
      <c r="F66" s="1457"/>
      <c r="G66" s="119"/>
      <c r="H66" s="64"/>
      <c r="I66" s="119"/>
      <c r="J66" s="1477"/>
      <c r="K66" s="64"/>
      <c r="L66" s="807"/>
      <c r="M66" s="333"/>
      <c r="N66" s="64"/>
      <c r="O66" s="807"/>
      <c r="P66" s="485" t="s">
        <v>105</v>
      </c>
      <c r="Q66" s="88">
        <v>110</v>
      </c>
      <c r="R66" s="220"/>
      <c r="S66" s="1492"/>
      <c r="T66" s="87"/>
    </row>
    <row r="67" spans="1:23" ht="21" customHeight="1" thickBot="1" x14ac:dyDescent="0.25">
      <c r="A67" s="192"/>
      <c r="B67" s="181"/>
      <c r="C67" s="179"/>
      <c r="D67" s="1798"/>
      <c r="E67" s="1057"/>
      <c r="F67" s="1457"/>
      <c r="G67" s="119"/>
      <c r="H67" s="64"/>
      <c r="I67" s="119"/>
      <c r="J67" s="1477"/>
      <c r="K67" s="64"/>
      <c r="L67" s="807"/>
      <c r="M67" s="333"/>
      <c r="N67" s="64"/>
      <c r="O67" s="807"/>
      <c r="P67" s="470" t="s">
        <v>100</v>
      </c>
      <c r="Q67" s="373">
        <v>27</v>
      </c>
      <c r="R67" s="34"/>
      <c r="S67" s="1464"/>
      <c r="T67" s="1466"/>
    </row>
    <row r="68" spans="1:23" ht="32.25" customHeight="1" x14ac:dyDescent="0.2">
      <c r="A68" s="177"/>
      <c r="B68" s="181"/>
      <c r="C68" s="179"/>
      <c r="D68" s="1816" t="s">
        <v>167</v>
      </c>
      <c r="E68" s="31" t="s">
        <v>280</v>
      </c>
      <c r="F68" s="1457"/>
      <c r="G68" s="119"/>
      <c r="H68" s="64"/>
      <c r="I68" s="119"/>
      <c r="J68" s="1477"/>
      <c r="K68" s="64"/>
      <c r="L68" s="807"/>
      <c r="M68" s="333"/>
      <c r="N68" s="64"/>
      <c r="O68" s="807"/>
      <c r="P68" s="485" t="s">
        <v>244</v>
      </c>
      <c r="Q68" s="88"/>
      <c r="R68" s="88">
        <v>6</v>
      </c>
      <c r="S68" s="1492"/>
      <c r="T68" s="87"/>
    </row>
    <row r="69" spans="1:23" ht="32.25" customHeight="1" x14ac:dyDescent="0.2">
      <c r="A69" s="177"/>
      <c r="B69" s="181"/>
      <c r="C69" s="179"/>
      <c r="D69" s="1803"/>
      <c r="E69" s="1056"/>
      <c r="F69" s="1457"/>
      <c r="G69" s="119"/>
      <c r="H69" s="64"/>
      <c r="I69" s="119"/>
      <c r="J69" s="1477"/>
      <c r="K69" s="64"/>
      <c r="L69" s="807"/>
      <c r="M69" s="333"/>
      <c r="N69" s="64"/>
      <c r="O69" s="807"/>
      <c r="P69" s="470" t="s">
        <v>255</v>
      </c>
      <c r="Q69" s="29">
        <v>100</v>
      </c>
      <c r="R69" s="29"/>
      <c r="S69" s="994">
        <v>1</v>
      </c>
      <c r="T69" s="1007"/>
    </row>
    <row r="70" spans="1:23" ht="29.25" customHeight="1" thickBot="1" x14ac:dyDescent="0.25">
      <c r="A70" s="177"/>
      <c r="B70" s="181"/>
      <c r="C70" s="179"/>
      <c r="D70" s="1803"/>
      <c r="E70" s="1056"/>
      <c r="F70" s="1457"/>
      <c r="G70" s="119"/>
      <c r="H70" s="64"/>
      <c r="I70" s="119"/>
      <c r="J70" s="1477"/>
      <c r="K70" s="64"/>
      <c r="L70" s="807"/>
      <c r="M70" s="333"/>
      <c r="N70" s="64"/>
      <c r="O70" s="807"/>
      <c r="P70" s="470" t="s">
        <v>276</v>
      </c>
      <c r="Q70" s="139">
        <v>15</v>
      </c>
      <c r="R70" s="589">
        <v>15</v>
      </c>
      <c r="S70" s="1465"/>
      <c r="T70" s="1467"/>
    </row>
    <row r="71" spans="1:23" ht="42" customHeight="1" x14ac:dyDescent="0.2">
      <c r="A71" s="177"/>
      <c r="B71" s="181"/>
      <c r="C71" s="179"/>
      <c r="D71" s="644" t="s">
        <v>153</v>
      </c>
      <c r="E71" s="1057"/>
      <c r="F71" s="1457"/>
      <c r="G71" s="401"/>
      <c r="H71" s="327"/>
      <c r="I71" s="401"/>
      <c r="J71" s="1479"/>
      <c r="K71" s="327"/>
      <c r="L71" s="328"/>
      <c r="M71" s="1199"/>
      <c r="N71" s="327"/>
      <c r="O71" s="328"/>
      <c r="P71" s="497"/>
      <c r="Q71" s="88"/>
      <c r="R71" s="88"/>
      <c r="S71" s="1492"/>
      <c r="T71" s="87"/>
    </row>
    <row r="72" spans="1:23" ht="15.75" customHeight="1" x14ac:dyDescent="0.2">
      <c r="A72" s="177"/>
      <c r="B72" s="181"/>
      <c r="C72" s="179"/>
      <c r="D72" s="1448" t="s">
        <v>238</v>
      </c>
      <c r="E72" s="1056"/>
      <c r="F72" s="1457"/>
      <c r="G72" s="119"/>
      <c r="H72" s="64"/>
      <c r="I72" s="119"/>
      <c r="J72" s="1477"/>
      <c r="K72" s="64"/>
      <c r="L72" s="807"/>
      <c r="M72" s="333"/>
      <c r="N72" s="64"/>
      <c r="O72" s="807"/>
      <c r="P72" s="1429" t="s">
        <v>102</v>
      </c>
      <c r="Q72" s="32">
        <v>120</v>
      </c>
      <c r="R72" s="22">
        <v>150</v>
      </c>
      <c r="S72" s="994">
        <v>180</v>
      </c>
      <c r="T72" s="1007"/>
    </row>
    <row r="73" spans="1:23" ht="17.25" customHeight="1" thickBot="1" x14ac:dyDescent="0.25">
      <c r="A73" s="177"/>
      <c r="B73" s="181"/>
      <c r="C73" s="179"/>
      <c r="D73" s="1423" t="s">
        <v>107</v>
      </c>
      <c r="E73" s="31" t="s">
        <v>280</v>
      </c>
      <c r="F73" s="1457"/>
      <c r="G73" s="119"/>
      <c r="H73" s="64"/>
      <c r="I73" s="119"/>
      <c r="J73" s="1477"/>
      <c r="K73" s="64"/>
      <c r="L73" s="807"/>
      <c r="M73" s="333"/>
      <c r="N73" s="64"/>
      <c r="O73" s="807"/>
      <c r="P73" s="1432" t="s">
        <v>100</v>
      </c>
      <c r="Q73" s="29">
        <v>2</v>
      </c>
      <c r="R73" s="17"/>
      <c r="S73" s="985"/>
      <c r="T73" s="634"/>
    </row>
    <row r="74" spans="1:23" ht="20.25" customHeight="1" x14ac:dyDescent="0.2">
      <c r="A74" s="177"/>
      <c r="B74" s="181"/>
      <c r="C74" s="179"/>
      <c r="D74" s="1802" t="s">
        <v>330</v>
      </c>
      <c r="E74" s="1053" t="s">
        <v>152</v>
      </c>
      <c r="F74" s="1457"/>
      <c r="G74" s="119"/>
      <c r="H74" s="64"/>
      <c r="I74" s="119"/>
      <c r="J74" s="1477"/>
      <c r="K74" s="64"/>
      <c r="L74" s="807"/>
      <c r="M74" s="333"/>
      <c r="N74" s="64"/>
      <c r="O74" s="807"/>
      <c r="P74" s="497" t="s">
        <v>102</v>
      </c>
      <c r="Q74" s="88">
        <v>210</v>
      </c>
      <c r="R74" s="1151">
        <v>270</v>
      </c>
      <c r="S74" s="1492">
        <v>360</v>
      </c>
      <c r="T74" s="87"/>
    </row>
    <row r="75" spans="1:23" ht="20.25" customHeight="1" thickBot="1" x14ac:dyDescent="0.25">
      <c r="A75" s="177"/>
      <c r="B75" s="181"/>
      <c r="C75" s="179"/>
      <c r="D75" s="1814"/>
      <c r="E75" s="1153"/>
      <c r="F75" s="1457"/>
      <c r="G75" s="138"/>
      <c r="H75" s="130"/>
      <c r="I75" s="138"/>
      <c r="J75" s="1476"/>
      <c r="K75" s="130"/>
      <c r="L75" s="15"/>
      <c r="M75" s="134"/>
      <c r="N75" s="130"/>
      <c r="O75" s="15"/>
      <c r="P75" s="1478" t="s">
        <v>201</v>
      </c>
      <c r="Q75" s="29">
        <v>7</v>
      </c>
      <c r="R75" s="116">
        <v>9</v>
      </c>
      <c r="S75" s="1464">
        <v>12</v>
      </c>
      <c r="T75" s="1466"/>
    </row>
    <row r="76" spans="1:23" ht="18.75" customHeight="1" x14ac:dyDescent="0.2">
      <c r="A76" s="177"/>
      <c r="B76" s="181"/>
      <c r="C76" s="179"/>
      <c r="D76" s="1805" t="s">
        <v>332</v>
      </c>
      <c r="E76" s="1158" t="s">
        <v>262</v>
      </c>
      <c r="F76" s="1457"/>
      <c r="G76" s="119"/>
      <c r="H76" s="64"/>
      <c r="I76" s="119"/>
      <c r="J76" s="1477"/>
      <c r="K76" s="64"/>
      <c r="L76" s="807"/>
      <c r="M76" s="333"/>
      <c r="N76" s="64"/>
      <c r="O76" s="807"/>
      <c r="P76" s="501" t="s">
        <v>170</v>
      </c>
      <c r="Q76" s="1156">
        <v>3.97</v>
      </c>
      <c r="R76" s="1156">
        <v>5.59</v>
      </c>
      <c r="S76" s="1497">
        <v>7.17</v>
      </c>
      <c r="T76" s="1157"/>
    </row>
    <row r="77" spans="1:23" ht="31.5" customHeight="1" thickBot="1" x14ac:dyDescent="0.25">
      <c r="A77" s="177"/>
      <c r="B77" s="181"/>
      <c r="C77" s="179"/>
      <c r="D77" s="1806"/>
      <c r="E77" s="1159" t="s">
        <v>280</v>
      </c>
      <c r="F77" s="1457"/>
      <c r="G77" s="119"/>
      <c r="H77" s="64"/>
      <c r="I77" s="119"/>
      <c r="J77" s="1477"/>
      <c r="K77" s="64"/>
      <c r="L77" s="807"/>
      <c r="M77" s="333"/>
      <c r="N77" s="64"/>
      <c r="O77" s="807"/>
      <c r="P77" s="489" t="s">
        <v>169</v>
      </c>
      <c r="Q77" s="589">
        <v>53</v>
      </c>
      <c r="R77" s="139">
        <v>51</v>
      </c>
      <c r="S77" s="589">
        <v>25</v>
      </c>
      <c r="T77" s="25"/>
    </row>
    <row r="78" spans="1:23" ht="53.25" customHeight="1" x14ac:dyDescent="0.2">
      <c r="A78" s="198"/>
      <c r="B78" s="199"/>
      <c r="C78" s="200"/>
      <c r="D78" s="1427" t="s">
        <v>73</v>
      </c>
      <c r="E78" s="92"/>
      <c r="F78" s="987"/>
      <c r="G78" s="73"/>
      <c r="H78" s="1004"/>
      <c r="I78" s="73"/>
      <c r="J78" s="1477"/>
      <c r="K78" s="64"/>
      <c r="L78" s="807"/>
      <c r="M78" s="333"/>
      <c r="N78" s="64"/>
      <c r="O78" s="807"/>
      <c r="P78" s="465" t="s">
        <v>123</v>
      </c>
      <c r="Q78" s="125">
        <v>473</v>
      </c>
      <c r="R78" s="125">
        <v>473</v>
      </c>
      <c r="S78" s="1498">
        <v>473</v>
      </c>
      <c r="T78" s="126"/>
      <c r="V78" s="1801"/>
      <c r="W78" s="1801"/>
    </row>
    <row r="79" spans="1:23" ht="27.75" customHeight="1" thickBot="1" x14ac:dyDescent="0.25">
      <c r="A79" s="198"/>
      <c r="B79" s="199"/>
      <c r="C79" s="200"/>
      <c r="D79" s="1425"/>
      <c r="E79" s="92"/>
      <c r="F79" s="1457"/>
      <c r="G79" s="73"/>
      <c r="H79" s="1004"/>
      <c r="I79" s="73"/>
      <c r="J79" s="1191"/>
      <c r="K79" s="1004"/>
      <c r="L79" s="41"/>
      <c r="M79" s="1183"/>
      <c r="N79" s="1004"/>
      <c r="O79" s="41"/>
      <c r="P79" s="499" t="s">
        <v>253</v>
      </c>
      <c r="Q79" s="34">
        <v>10</v>
      </c>
      <c r="R79" s="34">
        <v>10</v>
      </c>
      <c r="S79" s="1499">
        <v>10</v>
      </c>
      <c r="T79" s="13"/>
    </row>
    <row r="80" spans="1:23" ht="18.75" customHeight="1" x14ac:dyDescent="0.2">
      <c r="A80" s="198"/>
      <c r="B80" s="199"/>
      <c r="C80" s="200"/>
      <c r="D80" s="832" t="s">
        <v>54</v>
      </c>
      <c r="E80" s="115"/>
      <c r="F80" s="987"/>
      <c r="G80" s="73"/>
      <c r="H80" s="1004"/>
      <c r="I80" s="73"/>
      <c r="J80" s="1191"/>
      <c r="K80" s="1004"/>
      <c r="L80" s="41"/>
      <c r="M80" s="1183"/>
      <c r="N80" s="1004"/>
      <c r="O80" s="41"/>
      <c r="P80" s="1500" t="s">
        <v>108</v>
      </c>
      <c r="Q80" s="220">
        <v>17</v>
      </c>
      <c r="R80" s="481">
        <v>17</v>
      </c>
      <c r="S80" s="1491">
        <v>17</v>
      </c>
      <c r="T80" s="194"/>
    </row>
    <row r="81" spans="1:23" ht="18.75" customHeight="1" x14ac:dyDescent="0.2">
      <c r="A81" s="198"/>
      <c r="B81" s="199"/>
      <c r="C81" s="197"/>
      <c r="D81" s="1448" t="s">
        <v>92</v>
      </c>
      <c r="E81" s="95"/>
      <c r="F81" s="987"/>
      <c r="G81" s="73"/>
      <c r="H81" s="1004"/>
      <c r="I81" s="73"/>
      <c r="J81" s="1191"/>
      <c r="K81" s="1004"/>
      <c r="L81" s="41"/>
      <c r="M81" s="1183"/>
      <c r="N81" s="1004"/>
      <c r="O81" s="41"/>
      <c r="P81" s="464" t="s">
        <v>101</v>
      </c>
      <c r="Q81" s="27">
        <v>1215</v>
      </c>
      <c r="R81" s="26">
        <v>1215</v>
      </c>
      <c r="S81" s="145">
        <v>1215</v>
      </c>
      <c r="T81" s="23"/>
    </row>
    <row r="82" spans="1:23" ht="18.75" customHeight="1" x14ac:dyDescent="0.2">
      <c r="A82" s="198"/>
      <c r="B82" s="199"/>
      <c r="C82" s="197"/>
      <c r="D82" s="1773" t="s">
        <v>171</v>
      </c>
      <c r="E82" s="95"/>
      <c r="F82" s="1469"/>
      <c r="G82" s="354"/>
      <c r="H82" s="265"/>
      <c r="I82" s="354"/>
      <c r="J82" s="1501"/>
      <c r="K82" s="265"/>
      <c r="L82" s="1101"/>
      <c r="M82" s="1401"/>
      <c r="N82" s="265"/>
      <c r="O82" s="1101"/>
      <c r="P82" s="1502" t="s">
        <v>100</v>
      </c>
      <c r="Q82" s="1396">
        <v>1</v>
      </c>
      <c r="R82" s="597">
        <v>1</v>
      </c>
      <c r="S82" s="1396"/>
      <c r="T82" s="598"/>
    </row>
    <row r="83" spans="1:23" ht="18.75" customHeight="1" thickBot="1" x14ac:dyDescent="0.25">
      <c r="A83" s="635"/>
      <c r="B83" s="204"/>
      <c r="C83" s="205"/>
      <c r="D83" s="1798"/>
      <c r="E83" s="1807" t="s">
        <v>16</v>
      </c>
      <c r="F83" s="1808"/>
      <c r="G83" s="101">
        <f>SUM(G14:G82)</f>
        <v>90635.89999999998</v>
      </c>
      <c r="H83" s="1503">
        <f>SUM(H14:H82)</f>
        <v>90635.89999999998</v>
      </c>
      <c r="I83" s="1125"/>
      <c r="J83" s="1504">
        <f>SUM(J14:J82)</f>
        <v>88727.3</v>
      </c>
      <c r="K83" s="62">
        <f>SUM(K14:K82)</f>
        <v>88727.3</v>
      </c>
      <c r="L83" s="128"/>
      <c r="M83" s="101">
        <f>SUM(M14:M82)</f>
        <v>88577.1</v>
      </c>
      <c r="N83" s="1503">
        <f>SUM(N14:N82)</f>
        <v>88577.1</v>
      </c>
      <c r="O83" s="128"/>
      <c r="P83" s="1505" t="s">
        <v>101</v>
      </c>
      <c r="Q83" s="1506">
        <v>4</v>
      </c>
      <c r="R83" s="1391">
        <v>4</v>
      </c>
      <c r="S83" s="1506">
        <v>4</v>
      </c>
      <c r="T83" s="1392"/>
    </row>
    <row r="84" spans="1:23" ht="32.25" customHeight="1" x14ac:dyDescent="0.2">
      <c r="A84" s="234" t="s">
        <v>14</v>
      </c>
      <c r="B84" s="209" t="s">
        <v>14</v>
      </c>
      <c r="C84" s="210" t="s">
        <v>17</v>
      </c>
      <c r="D84" s="1420" t="s">
        <v>74</v>
      </c>
      <c r="E84" s="414"/>
      <c r="F84" s="1003"/>
      <c r="G84" s="341"/>
      <c r="H84" s="339"/>
      <c r="I84" s="340"/>
      <c r="J84" s="1507"/>
      <c r="K84" s="339"/>
      <c r="L84" s="348"/>
      <c r="M84" s="341"/>
      <c r="N84" s="339"/>
      <c r="O84" s="340"/>
      <c r="P84" s="465"/>
      <c r="Q84" s="125"/>
      <c r="R84" s="125"/>
      <c r="S84" s="1498"/>
      <c r="T84" s="126"/>
    </row>
    <row r="85" spans="1:23" ht="30.75" customHeight="1" x14ac:dyDescent="0.2">
      <c r="A85" s="198"/>
      <c r="B85" s="199"/>
      <c r="C85" s="200"/>
      <c r="D85" s="683" t="s">
        <v>249</v>
      </c>
      <c r="E85" s="416"/>
      <c r="F85" s="592" t="s">
        <v>18</v>
      </c>
      <c r="G85" s="275">
        <v>214.1</v>
      </c>
      <c r="H85" s="276">
        <v>214.1</v>
      </c>
      <c r="I85" s="277"/>
      <c r="J85" s="458">
        <v>214.1</v>
      </c>
      <c r="K85" s="276">
        <v>214.1</v>
      </c>
      <c r="L85" s="351"/>
      <c r="M85" s="275">
        <v>214.1</v>
      </c>
      <c r="N85" s="276">
        <v>214.1</v>
      </c>
      <c r="O85" s="277"/>
      <c r="P85" s="464" t="s">
        <v>101</v>
      </c>
      <c r="Q85" s="1508">
        <v>2690</v>
      </c>
      <c r="R85" s="1010">
        <v>2690</v>
      </c>
      <c r="S85" s="1509">
        <v>2700</v>
      </c>
      <c r="T85" s="478"/>
    </row>
    <row r="86" spans="1:23" s="170" customFormat="1" ht="18" customHeight="1" x14ac:dyDescent="0.2">
      <c r="A86" s="198"/>
      <c r="B86" s="199"/>
      <c r="C86" s="200"/>
      <c r="D86" s="1434" t="s">
        <v>53</v>
      </c>
      <c r="E86" s="950" t="s">
        <v>262</v>
      </c>
      <c r="F86" s="506" t="s">
        <v>15</v>
      </c>
      <c r="G86" s="425">
        <v>120</v>
      </c>
      <c r="H86" s="426">
        <v>120</v>
      </c>
      <c r="I86" s="429"/>
      <c r="J86" s="1510">
        <v>130</v>
      </c>
      <c r="K86" s="426">
        <v>130</v>
      </c>
      <c r="L86" s="353"/>
      <c r="M86" s="1511">
        <v>140</v>
      </c>
      <c r="N86" s="1512">
        <v>140</v>
      </c>
      <c r="O86" s="225"/>
      <c r="P86" s="499" t="s">
        <v>124</v>
      </c>
      <c r="Q86" s="1499">
        <v>60</v>
      </c>
      <c r="R86" s="93">
        <v>70</v>
      </c>
      <c r="S86" s="1499">
        <v>80</v>
      </c>
      <c r="T86" s="13"/>
      <c r="U86" s="649"/>
    </row>
    <row r="87" spans="1:23" ht="15.75" customHeight="1" x14ac:dyDescent="0.2">
      <c r="A87" s="185"/>
      <c r="B87" s="199"/>
      <c r="C87" s="200"/>
      <c r="D87" s="1809" t="s">
        <v>68</v>
      </c>
      <c r="E87" s="837"/>
      <c r="F87" s="1000" t="s">
        <v>89</v>
      </c>
      <c r="G87" s="275">
        <v>730.3</v>
      </c>
      <c r="H87" s="276">
        <v>730.3</v>
      </c>
      <c r="I87" s="277"/>
      <c r="J87" s="1513">
        <v>730.3</v>
      </c>
      <c r="K87" s="446">
        <v>730.3</v>
      </c>
      <c r="L87" s="445"/>
      <c r="M87" s="585">
        <v>730.3</v>
      </c>
      <c r="N87" s="446">
        <v>730.3</v>
      </c>
      <c r="O87" s="440"/>
      <c r="P87" s="1514" t="s">
        <v>124</v>
      </c>
      <c r="Q87" s="839">
        <v>100</v>
      </c>
      <c r="R87" s="839">
        <v>100</v>
      </c>
      <c r="S87" s="1515">
        <v>100</v>
      </c>
      <c r="T87" s="840"/>
      <c r="U87" s="57"/>
    </row>
    <row r="88" spans="1:23" ht="15.75" customHeight="1" x14ac:dyDescent="0.2">
      <c r="A88" s="185"/>
      <c r="B88" s="199"/>
      <c r="C88" s="200"/>
      <c r="D88" s="1810"/>
      <c r="E88" s="416"/>
      <c r="F88" s="581" t="s">
        <v>221</v>
      </c>
      <c r="G88" s="275">
        <v>0.2</v>
      </c>
      <c r="H88" s="276">
        <v>0.2</v>
      </c>
      <c r="I88" s="277"/>
      <c r="J88" s="458"/>
      <c r="K88" s="276"/>
      <c r="L88" s="350"/>
      <c r="M88" s="1516"/>
      <c r="N88" s="276"/>
      <c r="O88" s="277"/>
      <c r="P88" s="1812" t="s">
        <v>224</v>
      </c>
      <c r="Q88" s="34">
        <v>5600</v>
      </c>
      <c r="R88" s="34">
        <v>5600</v>
      </c>
      <c r="S88" s="1499">
        <v>5600</v>
      </c>
      <c r="T88" s="13"/>
      <c r="U88" s="57"/>
    </row>
    <row r="89" spans="1:23" ht="15.75" customHeight="1" thickBot="1" x14ac:dyDescent="0.25">
      <c r="A89" s="212"/>
      <c r="B89" s="213"/>
      <c r="C89" s="214"/>
      <c r="D89" s="1811"/>
      <c r="E89" s="415"/>
      <c r="F89" s="574" t="s">
        <v>16</v>
      </c>
      <c r="G89" s="35">
        <f>SUM(G85:G88)</f>
        <v>1064.6000000000001</v>
      </c>
      <c r="H89" s="62">
        <f>SUM(H85:H88)</f>
        <v>1064.6000000000001</v>
      </c>
      <c r="I89" s="226"/>
      <c r="J89" s="1517">
        <f>SUM(J85:J88)</f>
        <v>1074.4000000000001</v>
      </c>
      <c r="K89" s="62">
        <f>SUM(K85:K88)</f>
        <v>1074.4000000000001</v>
      </c>
      <c r="L89" s="132"/>
      <c r="M89" s="35">
        <f>SUM(M85:M88)</f>
        <v>1084.4000000000001</v>
      </c>
      <c r="N89" s="1503">
        <f>SUM(N85:N88)</f>
        <v>1084.4000000000001</v>
      </c>
      <c r="O89" s="128"/>
      <c r="P89" s="1813"/>
      <c r="Q89" s="91"/>
      <c r="R89" s="91"/>
      <c r="S89" s="1518"/>
      <c r="T89" s="43"/>
      <c r="U89" s="57"/>
    </row>
    <row r="90" spans="1:23" ht="31.5" customHeight="1" x14ac:dyDescent="0.2">
      <c r="A90" s="234" t="s">
        <v>14</v>
      </c>
      <c r="B90" s="209" t="s">
        <v>14</v>
      </c>
      <c r="C90" s="210" t="s">
        <v>19</v>
      </c>
      <c r="D90" s="1797" t="s">
        <v>61</v>
      </c>
      <c r="E90" s="416"/>
      <c r="F90" s="1468" t="s">
        <v>15</v>
      </c>
      <c r="G90" s="389">
        <v>3.9</v>
      </c>
      <c r="H90" s="318">
        <v>3.9</v>
      </c>
      <c r="I90" s="367"/>
      <c r="J90" s="1519">
        <v>3.9</v>
      </c>
      <c r="K90" s="318">
        <v>3.9</v>
      </c>
      <c r="L90" s="319"/>
      <c r="M90" s="389">
        <v>3.9</v>
      </c>
      <c r="N90" s="318">
        <v>3.9</v>
      </c>
      <c r="O90" s="79"/>
      <c r="P90" s="465" t="s">
        <v>109</v>
      </c>
      <c r="Q90" s="125">
        <v>10</v>
      </c>
      <c r="R90" s="125">
        <v>10</v>
      </c>
      <c r="S90" s="1491">
        <v>10</v>
      </c>
      <c r="T90" s="194"/>
      <c r="U90" s="57"/>
    </row>
    <row r="91" spans="1:23" ht="15" customHeight="1" thickBot="1" x14ac:dyDescent="0.25">
      <c r="A91" s="216"/>
      <c r="B91" s="204"/>
      <c r="C91" s="214"/>
      <c r="D91" s="1798"/>
      <c r="E91" s="415"/>
      <c r="F91" s="574" t="s">
        <v>16</v>
      </c>
      <c r="G91" s="35">
        <f t="shared" ref="G91:N91" si="0">G90</f>
        <v>3.9</v>
      </c>
      <c r="H91" s="62">
        <f t="shared" si="0"/>
        <v>3.9</v>
      </c>
      <c r="I91" s="226"/>
      <c r="J91" s="1517">
        <f t="shared" si="0"/>
        <v>3.9</v>
      </c>
      <c r="K91" s="62">
        <f t="shared" si="0"/>
        <v>3.9</v>
      </c>
      <c r="L91" s="132"/>
      <c r="M91" s="35">
        <f t="shared" si="0"/>
        <v>3.9</v>
      </c>
      <c r="N91" s="62">
        <f t="shared" si="0"/>
        <v>3.9</v>
      </c>
      <c r="O91" s="909"/>
      <c r="P91" s="499" t="s">
        <v>102</v>
      </c>
      <c r="Q91" s="36">
        <v>860</v>
      </c>
      <c r="R91" s="36">
        <v>860</v>
      </c>
      <c r="S91" s="1520">
        <v>860</v>
      </c>
      <c r="T91" s="37"/>
      <c r="U91" s="57"/>
    </row>
    <row r="92" spans="1:23" ht="18.75" customHeight="1" x14ac:dyDescent="0.2">
      <c r="A92" s="172" t="s">
        <v>14</v>
      </c>
      <c r="B92" s="209" t="s">
        <v>14</v>
      </c>
      <c r="C92" s="210" t="s">
        <v>21</v>
      </c>
      <c r="D92" s="1829" t="s">
        <v>113</v>
      </c>
      <c r="E92" s="414"/>
      <c r="F92" s="1012" t="s">
        <v>15</v>
      </c>
      <c r="G92" s="425">
        <v>23.4</v>
      </c>
      <c r="H92" s="426">
        <v>23.4</v>
      </c>
      <c r="I92" s="429"/>
      <c r="J92" s="1510">
        <v>23.4</v>
      </c>
      <c r="K92" s="426">
        <v>23.4</v>
      </c>
      <c r="L92" s="353"/>
      <c r="M92" s="422">
        <v>23.4</v>
      </c>
      <c r="N92" s="219">
        <v>23.4</v>
      </c>
      <c r="O92" s="1521"/>
      <c r="P92" s="1830" t="s">
        <v>125</v>
      </c>
      <c r="Q92" s="590">
        <v>39</v>
      </c>
      <c r="R92" s="590">
        <v>39</v>
      </c>
      <c r="S92" s="1522">
        <v>39</v>
      </c>
      <c r="T92" s="239"/>
      <c r="U92" s="57"/>
      <c r="V92" s="1832"/>
      <c r="W92" s="1832"/>
    </row>
    <row r="93" spans="1:23" ht="18.75" customHeight="1" thickBot="1" x14ac:dyDescent="0.25">
      <c r="A93" s="212"/>
      <c r="B93" s="213"/>
      <c r="C93" s="214"/>
      <c r="D93" s="1811"/>
      <c r="E93" s="415"/>
      <c r="F93" s="574" t="s">
        <v>16</v>
      </c>
      <c r="G93" s="35">
        <f t="shared" ref="G93:M93" si="1">SUM(G92)</f>
        <v>23.4</v>
      </c>
      <c r="H93" s="62">
        <f t="shared" ref="H93" si="2">SUM(H92)</f>
        <v>23.4</v>
      </c>
      <c r="I93" s="226"/>
      <c r="J93" s="1517">
        <f t="shared" si="1"/>
        <v>23.4</v>
      </c>
      <c r="K93" s="62">
        <f t="shared" ref="K93" si="3">SUM(K92)</f>
        <v>23.4</v>
      </c>
      <c r="L93" s="132"/>
      <c r="M93" s="35">
        <f t="shared" si="1"/>
        <v>23.4</v>
      </c>
      <c r="N93" s="1503">
        <f t="shared" ref="N93" si="4">SUM(N92)</f>
        <v>23.4</v>
      </c>
      <c r="O93" s="128"/>
      <c r="P93" s="1831"/>
      <c r="Q93" s="591"/>
      <c r="R93" s="591"/>
      <c r="S93" s="1523"/>
      <c r="T93" s="374"/>
    </row>
    <row r="94" spans="1:23" ht="53.25" customHeight="1" x14ac:dyDescent="0.2">
      <c r="A94" s="172" t="s">
        <v>14</v>
      </c>
      <c r="B94" s="209" t="s">
        <v>14</v>
      </c>
      <c r="C94" s="210" t="s">
        <v>22</v>
      </c>
      <c r="D94" s="1829" t="s">
        <v>110</v>
      </c>
      <c r="E94" s="414" t="s">
        <v>46</v>
      </c>
      <c r="F94" s="1012" t="s">
        <v>15</v>
      </c>
      <c r="G94" s="422">
        <v>105.6</v>
      </c>
      <c r="H94" s="399">
        <v>105.6</v>
      </c>
      <c r="I94" s="428"/>
      <c r="J94" s="1507">
        <v>155.80000000000001</v>
      </c>
      <c r="K94" s="339">
        <v>155.80000000000001</v>
      </c>
      <c r="L94" s="348"/>
      <c r="M94" s="341">
        <v>126</v>
      </c>
      <c r="N94" s="89">
        <v>126</v>
      </c>
      <c r="O94" s="1524"/>
      <c r="P94" s="465" t="s">
        <v>81</v>
      </c>
      <c r="Q94" s="125">
        <v>7800</v>
      </c>
      <c r="R94" s="125">
        <v>7800</v>
      </c>
      <c r="S94" s="1498">
        <v>7800</v>
      </c>
      <c r="T94" s="126"/>
      <c r="V94" s="1832"/>
      <c r="W94" s="1832"/>
    </row>
    <row r="95" spans="1:23" ht="15.75" customHeight="1" thickBot="1" x14ac:dyDescent="0.25">
      <c r="A95" s="212"/>
      <c r="B95" s="213"/>
      <c r="C95" s="214"/>
      <c r="D95" s="1811"/>
      <c r="E95" s="415"/>
      <c r="F95" s="574" t="s">
        <v>16</v>
      </c>
      <c r="G95" s="35">
        <f>SUM(G94:G94)</f>
        <v>105.6</v>
      </c>
      <c r="H95" s="62">
        <f>SUM(H94:H94)</f>
        <v>105.6</v>
      </c>
      <c r="I95" s="226"/>
      <c r="J95" s="1517">
        <f>SUM(J94:J94)</f>
        <v>155.80000000000001</v>
      </c>
      <c r="K95" s="62">
        <f>SUM(K94:K94)</f>
        <v>155.80000000000001</v>
      </c>
      <c r="L95" s="132"/>
      <c r="M95" s="35">
        <f>SUM(M94:M94)</f>
        <v>126</v>
      </c>
      <c r="N95" s="1503">
        <f>SUM(N94:N94)</f>
        <v>126</v>
      </c>
      <c r="O95" s="128"/>
      <c r="P95" s="1462"/>
      <c r="Q95" s="91"/>
      <c r="R95" s="264"/>
      <c r="S95" s="1518"/>
      <c r="T95" s="43"/>
    </row>
    <row r="96" spans="1:23" ht="18.75" customHeight="1" x14ac:dyDescent="0.2">
      <c r="A96" s="172" t="s">
        <v>14</v>
      </c>
      <c r="B96" s="209" t="s">
        <v>14</v>
      </c>
      <c r="C96" s="210" t="s">
        <v>85</v>
      </c>
      <c r="D96" s="1829" t="s">
        <v>119</v>
      </c>
      <c r="E96" s="414"/>
      <c r="F96" s="1012" t="s">
        <v>15</v>
      </c>
      <c r="G96" s="44">
        <v>5.7</v>
      </c>
      <c r="H96" s="89">
        <v>5.7</v>
      </c>
      <c r="I96" s="1524"/>
      <c r="J96" s="1525">
        <v>5.7</v>
      </c>
      <c r="K96" s="89">
        <v>5.7</v>
      </c>
      <c r="L96" s="348"/>
      <c r="M96" s="341">
        <v>5.7</v>
      </c>
      <c r="N96" s="89">
        <v>5.7</v>
      </c>
      <c r="O96" s="1524"/>
      <c r="P96" s="984" t="s">
        <v>100</v>
      </c>
      <c r="Q96" s="125">
        <v>92</v>
      </c>
      <c r="R96" s="125">
        <v>92</v>
      </c>
      <c r="S96" s="1498">
        <v>92</v>
      </c>
      <c r="T96" s="126"/>
    </row>
    <row r="97" spans="1:21" ht="16.5" customHeight="1" thickBot="1" x14ac:dyDescent="0.25">
      <c r="A97" s="212"/>
      <c r="B97" s="213"/>
      <c r="C97" s="214"/>
      <c r="D97" s="1811"/>
      <c r="E97" s="415"/>
      <c r="F97" s="574" t="s">
        <v>16</v>
      </c>
      <c r="G97" s="35">
        <f t="shared" ref="G97:M97" si="5">SUM(G96)</f>
        <v>5.7</v>
      </c>
      <c r="H97" s="62">
        <f t="shared" ref="H97" si="6">SUM(H96)</f>
        <v>5.7</v>
      </c>
      <c r="I97" s="226"/>
      <c r="J97" s="1517">
        <f t="shared" si="5"/>
        <v>5.7</v>
      </c>
      <c r="K97" s="62">
        <f t="shared" ref="K97" si="7">SUM(K96)</f>
        <v>5.7</v>
      </c>
      <c r="L97" s="132"/>
      <c r="M97" s="35">
        <f t="shared" si="5"/>
        <v>5.7</v>
      </c>
      <c r="N97" s="1503">
        <f t="shared" ref="N97" si="8">SUM(N96)</f>
        <v>5.7</v>
      </c>
      <c r="O97" s="128"/>
      <c r="P97" s="1462"/>
      <c r="Q97" s="91"/>
      <c r="R97" s="91"/>
      <c r="S97" s="1518"/>
      <c r="T97" s="43"/>
    </row>
    <row r="98" spans="1:21" ht="13.5" customHeight="1" thickBot="1" x14ac:dyDescent="0.25">
      <c r="A98" s="229" t="s">
        <v>14</v>
      </c>
      <c r="B98" s="230" t="s">
        <v>14</v>
      </c>
      <c r="C98" s="1843" t="s">
        <v>20</v>
      </c>
      <c r="D98" s="1844"/>
      <c r="E98" s="1844"/>
      <c r="F98" s="1844"/>
      <c r="G98" s="343">
        <f>G83+G89+G93+G95+G97+G91</f>
        <v>91839.099999999977</v>
      </c>
      <c r="H98" s="344">
        <f>H83+H89+H93+H95+H97+H91</f>
        <v>91839.099999999977</v>
      </c>
      <c r="I98" s="1526"/>
      <c r="J98" s="345">
        <f>J83+J89+J93+J95+J97+J91</f>
        <v>89990.499999999985</v>
      </c>
      <c r="K98" s="343">
        <f>K83+K89+K93+K95+K97+K91</f>
        <v>89990.499999999985</v>
      </c>
      <c r="L98" s="343"/>
      <c r="M98" s="343">
        <f>M83+M89+M93+M95+M97+M91</f>
        <v>89820.499999999985</v>
      </c>
      <c r="N98" s="344">
        <f>N83+N89+N93+N95+N97+N91</f>
        <v>89820.499999999985</v>
      </c>
      <c r="O98" s="1526"/>
      <c r="P98" s="232"/>
      <c r="Q98" s="232"/>
      <c r="R98" s="232"/>
      <c r="S98" s="232"/>
      <c r="T98" s="1527"/>
    </row>
    <row r="99" spans="1:21" ht="15.75" customHeight="1" thickBot="1" x14ac:dyDescent="0.25">
      <c r="A99" s="229" t="s">
        <v>14</v>
      </c>
      <c r="B99" s="1845" t="s">
        <v>6</v>
      </c>
      <c r="C99" s="1846"/>
      <c r="D99" s="1846"/>
      <c r="E99" s="1846"/>
      <c r="F99" s="1846"/>
      <c r="G99" s="346">
        <f>G98</f>
        <v>91839.099999999977</v>
      </c>
      <c r="H99" s="347">
        <f>H98</f>
        <v>91839.099999999977</v>
      </c>
      <c r="I99" s="439"/>
      <c r="J99" s="1528">
        <f t="shared" ref="J99:N99" si="9">J98</f>
        <v>89990.499999999985</v>
      </c>
      <c r="K99" s="347">
        <f t="shared" si="9"/>
        <v>89990.499999999985</v>
      </c>
      <c r="L99" s="1529"/>
      <c r="M99" s="346">
        <f t="shared" si="9"/>
        <v>89820.499999999985</v>
      </c>
      <c r="N99" s="347">
        <f t="shared" si="9"/>
        <v>89820.499999999985</v>
      </c>
      <c r="O99" s="439"/>
      <c r="P99" s="160"/>
      <c r="Q99" s="160"/>
      <c r="R99" s="160"/>
      <c r="S99" s="160"/>
      <c r="T99" s="1530"/>
    </row>
    <row r="100" spans="1:21" ht="15.75" customHeight="1" thickBot="1" x14ac:dyDescent="0.25">
      <c r="A100" s="234" t="s">
        <v>17</v>
      </c>
      <c r="B100" s="1847" t="s">
        <v>36</v>
      </c>
      <c r="C100" s="1848"/>
      <c r="D100" s="1848"/>
      <c r="E100" s="1848"/>
      <c r="F100" s="1848"/>
      <c r="G100" s="1848"/>
      <c r="H100" s="1848"/>
      <c r="I100" s="1848"/>
      <c r="J100" s="1848"/>
      <c r="K100" s="1848"/>
      <c r="L100" s="1848"/>
      <c r="M100" s="1848"/>
      <c r="N100" s="1848"/>
      <c r="O100" s="1848"/>
      <c r="P100" s="1848"/>
      <c r="Q100" s="1848"/>
      <c r="R100" s="1848"/>
      <c r="S100" s="1848"/>
      <c r="T100" s="1849"/>
    </row>
    <row r="101" spans="1:21" ht="15.75" customHeight="1" thickBot="1" x14ac:dyDescent="0.25">
      <c r="A101" s="235" t="s">
        <v>17</v>
      </c>
      <c r="B101" s="236" t="s">
        <v>14</v>
      </c>
      <c r="C101" s="1850" t="s">
        <v>32</v>
      </c>
      <c r="D101" s="1851"/>
      <c r="E101" s="1851"/>
      <c r="F101" s="1851"/>
      <c r="G101" s="1851"/>
      <c r="H101" s="1851"/>
      <c r="I101" s="1851"/>
      <c r="J101" s="1851"/>
      <c r="K101" s="1851"/>
      <c r="L101" s="1851"/>
      <c r="M101" s="1852"/>
      <c r="N101" s="1852"/>
      <c r="O101" s="1852"/>
      <c r="P101" s="1852"/>
      <c r="Q101" s="1852"/>
      <c r="R101" s="1852"/>
      <c r="S101" s="1852"/>
      <c r="T101" s="1853"/>
    </row>
    <row r="102" spans="1:21" s="9" customFormat="1" ht="27.75" customHeight="1" x14ac:dyDescent="0.2">
      <c r="A102" s="1817" t="s">
        <v>17</v>
      </c>
      <c r="B102" s="1820" t="s">
        <v>14</v>
      </c>
      <c r="C102" s="1823" t="s">
        <v>14</v>
      </c>
      <c r="D102" s="1797" t="s">
        <v>174</v>
      </c>
      <c r="E102" s="1826" t="s">
        <v>262</v>
      </c>
      <c r="F102" s="314" t="s">
        <v>15</v>
      </c>
      <c r="G102" s="96">
        <f>35.9+23</f>
        <v>58.9</v>
      </c>
      <c r="H102" s="155">
        <f>35.9+23</f>
        <v>58.9</v>
      </c>
      <c r="I102" s="413"/>
      <c r="J102" s="1531">
        <v>71.7</v>
      </c>
      <c r="K102" s="155">
        <v>71.7</v>
      </c>
      <c r="L102" s="332"/>
      <c r="M102" s="335">
        <v>71.7</v>
      </c>
      <c r="N102" s="155">
        <v>71.7</v>
      </c>
      <c r="O102" s="332"/>
      <c r="P102" s="1833" t="s">
        <v>260</v>
      </c>
      <c r="Q102" s="910">
        <v>6</v>
      </c>
      <c r="R102" s="910">
        <v>6</v>
      </c>
      <c r="S102" s="143">
        <v>6</v>
      </c>
      <c r="T102" s="151"/>
    </row>
    <row r="103" spans="1:21" s="9" customFormat="1" ht="27.75" customHeight="1" x14ac:dyDescent="0.2">
      <c r="A103" s="1818"/>
      <c r="B103" s="1821"/>
      <c r="C103" s="1824"/>
      <c r="D103" s="1774"/>
      <c r="E103" s="1827"/>
      <c r="F103" s="1457" t="s">
        <v>87</v>
      </c>
      <c r="G103" s="333">
        <v>218.6</v>
      </c>
      <c r="H103" s="64">
        <v>218.6</v>
      </c>
      <c r="I103" s="119"/>
      <c r="J103" s="1477"/>
      <c r="K103" s="64"/>
      <c r="L103" s="807"/>
      <c r="M103" s="333"/>
      <c r="N103" s="64"/>
      <c r="O103" s="807"/>
      <c r="P103" s="1834"/>
      <c r="Q103" s="994"/>
      <c r="R103" s="994"/>
      <c r="S103" s="32"/>
      <c r="T103" s="1007"/>
    </row>
    <row r="104" spans="1:21" s="9" customFormat="1" ht="30" customHeight="1" x14ac:dyDescent="0.2">
      <c r="A104" s="1818"/>
      <c r="B104" s="1821"/>
      <c r="C104" s="1824"/>
      <c r="D104" s="1774"/>
      <c r="E104" s="1827"/>
      <c r="F104" s="1457"/>
      <c r="G104" s="333"/>
      <c r="H104" s="64"/>
      <c r="I104" s="119"/>
      <c r="J104" s="1477"/>
      <c r="K104" s="64"/>
      <c r="L104" s="807"/>
      <c r="M104" s="333"/>
      <c r="N104" s="64"/>
      <c r="O104" s="807"/>
      <c r="P104" s="1532" t="s">
        <v>333</v>
      </c>
      <c r="Q104" s="985">
        <v>2</v>
      </c>
      <c r="R104" s="985">
        <v>2</v>
      </c>
      <c r="S104" s="29">
        <v>2</v>
      </c>
      <c r="T104" s="634"/>
    </row>
    <row r="105" spans="1:21" s="9" customFormat="1" ht="15.75" customHeight="1" thickBot="1" x14ac:dyDescent="0.25">
      <c r="A105" s="1819"/>
      <c r="B105" s="1822"/>
      <c r="C105" s="1825"/>
      <c r="D105" s="1798"/>
      <c r="E105" s="1828"/>
      <c r="F105" s="391" t="s">
        <v>16</v>
      </c>
      <c r="G105" s="886">
        <f>SUM(G102:G104)</f>
        <v>277.5</v>
      </c>
      <c r="H105" s="887">
        <f>SUM(H102:H104)</f>
        <v>277.5</v>
      </c>
      <c r="I105" s="1533"/>
      <c r="J105" s="1534">
        <f>SUM(J102:J104)</f>
        <v>71.7</v>
      </c>
      <c r="K105" s="887">
        <f>SUM(K102:K104)</f>
        <v>71.7</v>
      </c>
      <c r="L105" s="906"/>
      <c r="M105" s="886">
        <f>SUM(M102:M104)</f>
        <v>71.7</v>
      </c>
      <c r="N105" s="887">
        <f>SUM(N102:N104)</f>
        <v>71.7</v>
      </c>
      <c r="O105" s="906"/>
      <c r="P105" s="98" t="s">
        <v>111</v>
      </c>
      <c r="Q105" s="589">
        <v>390</v>
      </c>
      <c r="R105" s="589"/>
      <c r="S105" s="139"/>
      <c r="T105" s="25"/>
    </row>
    <row r="106" spans="1:21" ht="14.25" customHeight="1" x14ac:dyDescent="0.2">
      <c r="A106" s="234" t="s">
        <v>17</v>
      </c>
      <c r="B106" s="209" t="s">
        <v>14</v>
      </c>
      <c r="C106" s="210" t="s">
        <v>17</v>
      </c>
      <c r="D106" s="1835" t="s">
        <v>294</v>
      </c>
      <c r="E106" s="1085" t="s">
        <v>2</v>
      </c>
      <c r="F106" s="1018" t="s">
        <v>15</v>
      </c>
      <c r="G106" s="1535">
        <v>1727.5</v>
      </c>
      <c r="H106" s="1179">
        <v>1727.5</v>
      </c>
      <c r="I106" s="1536"/>
      <c r="J106" s="1178">
        <f>4822.1+310+20</f>
        <v>5152.1000000000004</v>
      </c>
      <c r="K106" s="1179">
        <f>4822.1+310+20</f>
        <v>5152.1000000000004</v>
      </c>
      <c r="L106" s="1537"/>
      <c r="M106" s="1538">
        <f>3314.5+370+9.9</f>
        <v>3694.4</v>
      </c>
      <c r="N106" s="75">
        <f>3314.5+370+9.9</f>
        <v>3694.4</v>
      </c>
      <c r="O106" s="122"/>
      <c r="P106" s="7"/>
      <c r="Q106" s="1539"/>
      <c r="R106" s="1087"/>
      <c r="S106" s="1539"/>
      <c r="T106" s="203"/>
      <c r="U106" s="240"/>
    </row>
    <row r="107" spans="1:21" ht="14.25" customHeight="1" x14ac:dyDescent="0.2">
      <c r="A107" s="198"/>
      <c r="B107" s="199"/>
      <c r="C107" s="200"/>
      <c r="D107" s="1836"/>
      <c r="E107" s="238"/>
      <c r="F107" s="1018" t="s">
        <v>87</v>
      </c>
      <c r="G107" s="1540">
        <f>4239.2-20</f>
        <v>4219.2</v>
      </c>
      <c r="H107" s="841">
        <f>4239.2-20</f>
        <v>4219.2</v>
      </c>
      <c r="I107" s="1541"/>
      <c r="J107" s="1180"/>
      <c r="K107" s="841"/>
      <c r="L107" s="1542"/>
      <c r="M107" s="1540"/>
      <c r="N107" s="841"/>
      <c r="O107" s="842"/>
      <c r="P107" s="996"/>
      <c r="Q107" s="17"/>
      <c r="R107" s="11"/>
      <c r="S107" s="17"/>
      <c r="T107" s="1005"/>
      <c r="U107" s="240"/>
    </row>
    <row r="108" spans="1:21" ht="14.25" customHeight="1" x14ac:dyDescent="0.2">
      <c r="A108" s="198"/>
      <c r="B108" s="199"/>
      <c r="C108" s="200"/>
      <c r="D108" s="1836"/>
      <c r="E108" s="238"/>
      <c r="F108" s="1018" t="s">
        <v>89</v>
      </c>
      <c r="G108" s="1540">
        <v>558.4</v>
      </c>
      <c r="H108" s="841">
        <v>558.4</v>
      </c>
      <c r="I108" s="1541"/>
      <c r="J108" s="1180"/>
      <c r="K108" s="841"/>
      <c r="L108" s="1542"/>
      <c r="M108" s="1540"/>
      <c r="N108" s="841"/>
      <c r="O108" s="842"/>
      <c r="P108" s="996"/>
      <c r="Q108" s="17"/>
      <c r="R108" s="11"/>
      <c r="S108" s="17"/>
      <c r="T108" s="1005"/>
      <c r="U108" s="240"/>
    </row>
    <row r="109" spans="1:21" ht="14.25" customHeight="1" x14ac:dyDescent="0.2">
      <c r="A109" s="198"/>
      <c r="B109" s="199"/>
      <c r="C109" s="200"/>
      <c r="D109" s="1836"/>
      <c r="E109" s="238"/>
      <c r="F109" s="1018" t="s">
        <v>221</v>
      </c>
      <c r="G109" s="275">
        <v>43.8</v>
      </c>
      <c r="H109" s="276">
        <v>43.8</v>
      </c>
      <c r="I109" s="351"/>
      <c r="J109" s="1180"/>
      <c r="K109" s="841"/>
      <c r="L109" s="1542"/>
      <c r="M109" s="1540"/>
      <c r="N109" s="841"/>
      <c r="O109" s="842"/>
      <c r="P109" s="996"/>
      <c r="Q109" s="17"/>
      <c r="R109" s="11"/>
      <c r="S109" s="17"/>
      <c r="T109" s="1005"/>
      <c r="U109" s="240"/>
    </row>
    <row r="110" spans="1:21" ht="14.25" customHeight="1" x14ac:dyDescent="0.2">
      <c r="A110" s="198"/>
      <c r="B110" s="199"/>
      <c r="C110" s="200"/>
      <c r="D110" s="1836"/>
      <c r="E110" s="238"/>
      <c r="F110" s="1018" t="s">
        <v>18</v>
      </c>
      <c r="G110" s="275">
        <v>169.3</v>
      </c>
      <c r="H110" s="276">
        <v>169.3</v>
      </c>
      <c r="I110" s="351"/>
      <c r="J110" s="1180"/>
      <c r="K110" s="841"/>
      <c r="L110" s="1542"/>
      <c r="M110" s="1540"/>
      <c r="N110" s="841"/>
      <c r="O110" s="842"/>
      <c r="P110" s="996"/>
      <c r="Q110" s="17"/>
      <c r="R110" s="11"/>
      <c r="S110" s="17"/>
      <c r="T110" s="1005"/>
      <c r="U110" s="240"/>
    </row>
    <row r="111" spans="1:21" ht="14.25" customHeight="1" x14ac:dyDescent="0.2">
      <c r="A111" s="198"/>
      <c r="B111" s="199"/>
      <c r="C111" s="200"/>
      <c r="D111" s="1836"/>
      <c r="E111" s="238"/>
      <c r="F111" s="1018" t="s">
        <v>222</v>
      </c>
      <c r="G111" s="275">
        <v>3.6</v>
      </c>
      <c r="H111" s="276">
        <v>3.6</v>
      </c>
      <c r="I111" s="351"/>
      <c r="J111" s="1180"/>
      <c r="K111" s="841"/>
      <c r="L111" s="1542"/>
      <c r="M111" s="1540"/>
      <c r="N111" s="841"/>
      <c r="O111" s="842"/>
      <c r="P111" s="996"/>
      <c r="Q111" s="17"/>
      <c r="R111" s="11"/>
      <c r="S111" s="17"/>
      <c r="T111" s="1005"/>
      <c r="U111" s="240"/>
    </row>
    <row r="112" spans="1:21" ht="14.25" customHeight="1" x14ac:dyDescent="0.2">
      <c r="A112" s="198"/>
      <c r="B112" s="199"/>
      <c r="C112" s="200"/>
      <c r="D112" s="1836"/>
      <c r="E112" s="238"/>
      <c r="F112" s="1172" t="s">
        <v>155</v>
      </c>
      <c r="G112" s="275">
        <f>SUMIF(F117:F152,"sb(p)",G117:G152)</f>
        <v>0</v>
      </c>
      <c r="H112" s="276">
        <f>SUMIF(G117:G152,"sb(p)",H117:H152)</f>
        <v>0</v>
      </c>
      <c r="I112" s="351"/>
      <c r="J112" s="1180">
        <v>2900</v>
      </c>
      <c r="K112" s="841">
        <v>2900</v>
      </c>
      <c r="L112" s="1542"/>
      <c r="M112" s="1540"/>
      <c r="N112" s="841"/>
      <c r="O112" s="842"/>
      <c r="P112" s="996"/>
      <c r="Q112" s="17"/>
      <c r="R112" s="11"/>
      <c r="S112" s="17"/>
      <c r="T112" s="1005"/>
      <c r="U112" s="240"/>
    </row>
    <row r="113" spans="1:26" ht="14.25" customHeight="1" x14ac:dyDescent="0.2">
      <c r="A113" s="198"/>
      <c r="B113" s="199"/>
      <c r="C113" s="200"/>
      <c r="D113" s="1836"/>
      <c r="E113" s="238"/>
      <c r="F113" s="1018" t="s">
        <v>3</v>
      </c>
      <c r="G113" s="275">
        <v>191.6</v>
      </c>
      <c r="H113" s="276">
        <v>191.6</v>
      </c>
      <c r="I113" s="351"/>
      <c r="J113" s="1180"/>
      <c r="K113" s="841"/>
      <c r="L113" s="1542"/>
      <c r="M113" s="1540"/>
      <c r="N113" s="841"/>
      <c r="O113" s="842"/>
      <c r="P113" s="996"/>
      <c r="Q113" s="17"/>
      <c r="R113" s="11"/>
      <c r="S113" s="17"/>
      <c r="T113" s="1005"/>
      <c r="U113" s="240"/>
    </row>
    <row r="114" spans="1:26" ht="14.25" customHeight="1" x14ac:dyDescent="0.2">
      <c r="A114" s="198"/>
      <c r="B114" s="199"/>
      <c r="C114" s="200"/>
      <c r="D114" s="1836"/>
      <c r="E114" s="238"/>
      <c r="F114" s="1173" t="s">
        <v>304</v>
      </c>
      <c r="G114" s="275">
        <v>692.9</v>
      </c>
      <c r="H114" s="276">
        <v>692.9</v>
      </c>
      <c r="I114" s="351"/>
      <c r="J114" s="1180">
        <v>551</v>
      </c>
      <c r="K114" s="841">
        <v>551</v>
      </c>
      <c r="L114" s="1542"/>
      <c r="M114" s="1540"/>
      <c r="N114" s="841"/>
      <c r="O114" s="842"/>
      <c r="P114" s="996"/>
      <c r="Q114" s="17"/>
      <c r="R114" s="11"/>
      <c r="S114" s="17"/>
      <c r="T114" s="1005"/>
      <c r="U114" s="240"/>
    </row>
    <row r="115" spans="1:26" ht="14.25" customHeight="1" x14ac:dyDescent="0.2">
      <c r="A115" s="198"/>
      <c r="B115" s="199"/>
      <c r="C115" s="200"/>
      <c r="D115" s="1836"/>
      <c r="E115" s="238"/>
      <c r="F115" s="1173" t="s">
        <v>4</v>
      </c>
      <c r="G115" s="275">
        <v>1026.7</v>
      </c>
      <c r="H115" s="276">
        <v>1026.7</v>
      </c>
      <c r="I115" s="351"/>
      <c r="J115" s="1180">
        <v>381</v>
      </c>
      <c r="K115" s="841">
        <v>381</v>
      </c>
      <c r="L115" s="1542"/>
      <c r="M115" s="1540"/>
      <c r="N115" s="841"/>
      <c r="O115" s="842"/>
      <c r="P115" s="996"/>
      <c r="Q115" s="17"/>
      <c r="R115" s="11"/>
      <c r="S115" s="17"/>
      <c r="T115" s="1005"/>
      <c r="U115" s="240"/>
    </row>
    <row r="116" spans="1:26" ht="10.5" customHeight="1" x14ac:dyDescent="0.2">
      <c r="A116" s="198"/>
      <c r="B116" s="199"/>
      <c r="C116" s="200"/>
      <c r="D116" s="1836"/>
      <c r="E116" s="238"/>
      <c r="F116" s="1173" t="s">
        <v>292</v>
      </c>
      <c r="G116" s="1516">
        <v>89.9</v>
      </c>
      <c r="H116" s="266">
        <v>89.9</v>
      </c>
      <c r="I116" s="350"/>
      <c r="J116" s="1543">
        <f>SUMIF(F117:F152,"kt",J117:J152)</f>
        <v>0</v>
      </c>
      <c r="K116" s="1189">
        <f>SUMIF(G117:G152,"kt",K117:K152)</f>
        <v>0</v>
      </c>
      <c r="L116" s="1544"/>
      <c r="M116" s="1545"/>
      <c r="N116" s="1546"/>
      <c r="O116" s="1547"/>
      <c r="P116" s="996"/>
      <c r="Q116" s="17"/>
      <c r="R116" s="11"/>
      <c r="S116" s="17"/>
      <c r="T116" s="1005"/>
      <c r="U116" s="240"/>
    </row>
    <row r="117" spans="1:26" ht="22.5" customHeight="1" x14ac:dyDescent="0.2">
      <c r="A117" s="198"/>
      <c r="B117" s="199"/>
      <c r="C117" s="200"/>
      <c r="D117" s="1837" t="s">
        <v>126</v>
      </c>
      <c r="E117" s="238"/>
      <c r="F117" s="1190"/>
      <c r="G117" s="1183"/>
      <c r="H117" s="1004"/>
      <c r="I117" s="73"/>
      <c r="J117" s="1191"/>
      <c r="K117" s="1004"/>
      <c r="L117" s="1548"/>
      <c r="M117" s="1183"/>
      <c r="N117" s="1004"/>
      <c r="O117" s="41"/>
      <c r="P117" s="996"/>
      <c r="Q117" s="17"/>
      <c r="R117" s="11"/>
      <c r="S117" s="17"/>
      <c r="T117" s="1005"/>
      <c r="U117" s="240"/>
    </row>
    <row r="118" spans="1:26" ht="22.5" customHeight="1" x14ac:dyDescent="0.2">
      <c r="A118" s="198"/>
      <c r="B118" s="199"/>
      <c r="C118" s="200"/>
      <c r="D118" s="1838"/>
      <c r="E118" s="238"/>
      <c r="F118" s="1190"/>
      <c r="G118" s="1183"/>
      <c r="H118" s="1004"/>
      <c r="I118" s="73"/>
      <c r="J118" s="1549"/>
      <c r="K118" s="1550"/>
      <c r="L118" s="1551"/>
      <c r="M118" s="1552"/>
      <c r="N118" s="1086"/>
      <c r="O118" s="1553"/>
      <c r="P118" s="996"/>
      <c r="Q118" s="17"/>
      <c r="R118" s="11"/>
      <c r="S118" s="17"/>
      <c r="T118" s="1005"/>
      <c r="U118" s="240"/>
    </row>
    <row r="119" spans="1:26" ht="16.5" customHeight="1" x14ac:dyDescent="0.2">
      <c r="A119" s="198"/>
      <c r="B119" s="199"/>
      <c r="C119" s="200"/>
      <c r="D119" s="1773" t="s">
        <v>178</v>
      </c>
      <c r="E119" s="1441" t="s">
        <v>262</v>
      </c>
      <c r="F119" s="1552"/>
      <c r="G119" s="1552"/>
      <c r="H119" s="1550"/>
      <c r="I119" s="111"/>
      <c r="J119" s="1549"/>
      <c r="K119" s="1550"/>
      <c r="L119" s="1551"/>
      <c r="M119" s="1183"/>
      <c r="N119" s="1004"/>
      <c r="O119" s="41"/>
      <c r="P119" s="1839" t="s">
        <v>90</v>
      </c>
      <c r="Q119" s="1554">
        <v>2</v>
      </c>
      <c r="R119" s="1083"/>
      <c r="S119" s="1554"/>
      <c r="T119" s="534"/>
      <c r="U119" s="278"/>
      <c r="V119" s="1841"/>
      <c r="W119" s="1841"/>
    </row>
    <row r="120" spans="1:26" ht="16.5" customHeight="1" x14ac:dyDescent="0.2">
      <c r="A120" s="198"/>
      <c r="B120" s="199"/>
      <c r="C120" s="200"/>
      <c r="D120" s="1774"/>
      <c r="E120" s="1442"/>
      <c r="F120" s="1552"/>
      <c r="G120" s="1552"/>
      <c r="H120" s="1550"/>
      <c r="I120" s="111"/>
      <c r="J120" s="1549"/>
      <c r="K120" s="1550"/>
      <c r="L120" s="1551"/>
      <c r="M120" s="1183"/>
      <c r="N120" s="1004"/>
      <c r="O120" s="41"/>
      <c r="P120" s="1840"/>
      <c r="Q120" s="1555"/>
      <c r="R120" s="1084"/>
      <c r="S120" s="1555"/>
      <c r="T120" s="530"/>
      <c r="U120" s="278"/>
    </row>
    <row r="121" spans="1:26" ht="15" customHeight="1" x14ac:dyDescent="0.2">
      <c r="A121" s="198"/>
      <c r="B121" s="199"/>
      <c r="C121" s="200"/>
      <c r="D121" s="1774"/>
      <c r="E121" s="1442"/>
      <c r="F121" s="996"/>
      <c r="G121" s="1183"/>
      <c r="H121" s="1004"/>
      <c r="I121" s="73"/>
      <c r="J121" s="1191"/>
      <c r="K121" s="1004"/>
      <c r="L121" s="1548"/>
      <c r="M121" s="1183"/>
      <c r="N121" s="1004"/>
      <c r="O121" s="41"/>
      <c r="P121" s="1839" t="s">
        <v>127</v>
      </c>
      <c r="Q121" s="1556">
        <v>2</v>
      </c>
      <c r="R121" s="1557"/>
      <c r="S121" s="1558"/>
      <c r="T121" s="530"/>
      <c r="U121" s="278"/>
    </row>
    <row r="122" spans="1:26" ht="15" customHeight="1" x14ac:dyDescent="0.2">
      <c r="A122" s="198"/>
      <c r="B122" s="199"/>
      <c r="C122" s="200"/>
      <c r="D122" s="1774"/>
      <c r="E122" s="1442"/>
      <c r="F122" s="1175"/>
      <c r="G122" s="1184"/>
      <c r="H122" s="1559"/>
      <c r="I122" s="1560"/>
      <c r="J122" s="1191"/>
      <c r="K122" s="1004"/>
      <c r="L122" s="41"/>
      <c r="M122" s="1183"/>
      <c r="N122" s="1004"/>
      <c r="O122" s="41"/>
      <c r="P122" s="1842"/>
      <c r="Q122" s="985"/>
      <c r="R122" s="1561"/>
      <c r="S122" s="17"/>
      <c r="T122" s="1005"/>
      <c r="U122" s="278"/>
    </row>
    <row r="123" spans="1:26" ht="15" customHeight="1" x14ac:dyDescent="0.2">
      <c r="A123" s="198"/>
      <c r="B123" s="199"/>
      <c r="C123" s="200"/>
      <c r="D123" s="1774"/>
      <c r="E123" s="1442"/>
      <c r="F123" s="1175"/>
      <c r="G123" s="1184"/>
      <c r="H123" s="1559"/>
      <c r="I123" s="1560"/>
      <c r="J123" s="1191"/>
      <c r="K123" s="1004"/>
      <c r="L123" s="41"/>
      <c r="M123" s="1183"/>
      <c r="N123" s="1004"/>
      <c r="O123" s="41"/>
      <c r="P123" s="1562"/>
      <c r="Q123" s="29"/>
      <c r="R123" s="11"/>
      <c r="S123" s="17"/>
      <c r="T123" s="1005"/>
      <c r="U123" s="278"/>
    </row>
    <row r="124" spans="1:26" ht="15.75" customHeight="1" x14ac:dyDescent="0.2">
      <c r="A124" s="198"/>
      <c r="B124" s="199"/>
      <c r="C124" s="200"/>
      <c r="D124" s="1773" t="s">
        <v>226</v>
      </c>
      <c r="E124" s="1058" t="s">
        <v>262</v>
      </c>
      <c r="F124" s="1176"/>
      <c r="G124" s="1187"/>
      <c r="H124" s="1127"/>
      <c r="I124" s="1128"/>
      <c r="J124" s="1185"/>
      <c r="K124" s="1127"/>
      <c r="L124" s="1186"/>
      <c r="M124" s="1187"/>
      <c r="N124" s="1127"/>
      <c r="O124" s="1186"/>
      <c r="P124" s="1563" t="s">
        <v>57</v>
      </c>
      <c r="Q124" s="1564">
        <v>35</v>
      </c>
      <c r="R124" s="1565">
        <v>100</v>
      </c>
      <c r="S124" s="1566"/>
      <c r="T124" s="386"/>
      <c r="U124" s="278"/>
      <c r="V124" s="1841"/>
      <c r="W124" s="1841"/>
      <c r="X124" s="1841"/>
      <c r="Y124" s="1841"/>
      <c r="Z124" s="1841"/>
    </row>
    <row r="125" spans="1:26" ht="15.75" customHeight="1" x14ac:dyDescent="0.2">
      <c r="A125" s="198"/>
      <c r="B125" s="199"/>
      <c r="C125" s="200"/>
      <c r="D125" s="1774"/>
      <c r="E125" s="1059"/>
      <c r="F125" s="1176"/>
      <c r="G125" s="1187"/>
      <c r="H125" s="1127"/>
      <c r="I125" s="1128"/>
      <c r="J125" s="1185"/>
      <c r="K125" s="1126"/>
      <c r="L125" s="1186"/>
      <c r="M125" s="1187"/>
      <c r="N125" s="1127"/>
      <c r="O125" s="1186"/>
      <c r="P125" s="1567"/>
      <c r="Q125" s="1568"/>
      <c r="R125" s="1569"/>
      <c r="S125" s="1570"/>
      <c r="T125" s="386"/>
      <c r="U125" s="278"/>
      <c r="V125" s="1440"/>
      <c r="W125" s="1440"/>
      <c r="X125" s="1440"/>
      <c r="Y125" s="1440"/>
      <c r="Z125" s="1440"/>
    </row>
    <row r="126" spans="1:26" ht="19.5" customHeight="1" x14ac:dyDescent="0.2">
      <c r="A126" s="198"/>
      <c r="B126" s="199"/>
      <c r="C126" s="197"/>
      <c r="D126" s="1773" t="s">
        <v>305</v>
      </c>
      <c r="E126" s="1445"/>
      <c r="F126" s="996"/>
      <c r="G126" s="1187"/>
      <c r="H126" s="1127"/>
      <c r="I126" s="1128"/>
      <c r="J126" s="1185"/>
      <c r="K126" s="1127"/>
      <c r="L126" s="1186"/>
      <c r="M126" s="1187"/>
      <c r="N126" s="1127"/>
      <c r="O126" s="1186"/>
      <c r="P126" s="98" t="s">
        <v>151</v>
      </c>
      <c r="Q126" s="1464">
        <v>2</v>
      </c>
      <c r="R126" s="1463">
        <v>1</v>
      </c>
      <c r="S126" s="373">
        <v>1</v>
      </c>
      <c r="T126" s="634"/>
      <c r="U126" s="371"/>
      <c r="V126" s="1858"/>
      <c r="W126" s="1858"/>
      <c r="X126" s="1858"/>
      <c r="Y126" s="1858"/>
    </row>
    <row r="127" spans="1:26" ht="21.75" customHeight="1" x14ac:dyDescent="0.2">
      <c r="A127" s="198"/>
      <c r="B127" s="199"/>
      <c r="C127" s="197"/>
      <c r="D127" s="1774"/>
      <c r="E127" s="701"/>
      <c r="F127" s="996"/>
      <c r="G127" s="1183"/>
      <c r="H127" s="1004"/>
      <c r="I127" s="73"/>
      <c r="J127" s="1571"/>
      <c r="K127" s="1130"/>
      <c r="L127" s="1188"/>
      <c r="M127" s="1201"/>
      <c r="N127" s="1130"/>
      <c r="O127" s="1188"/>
      <c r="P127" s="1859" t="s">
        <v>141</v>
      </c>
      <c r="Q127" s="1464">
        <v>1</v>
      </c>
      <c r="R127" s="1463"/>
      <c r="S127" s="373">
        <v>1</v>
      </c>
      <c r="T127" s="634"/>
      <c r="U127" s="240"/>
    </row>
    <row r="128" spans="1:26" ht="15" customHeight="1" x14ac:dyDescent="0.2">
      <c r="A128" s="198"/>
      <c r="B128" s="199"/>
      <c r="C128" s="197"/>
      <c r="D128" s="1774"/>
      <c r="E128" s="701"/>
      <c r="F128" s="996"/>
      <c r="G128" s="1183"/>
      <c r="H128" s="1004"/>
      <c r="I128" s="73"/>
      <c r="J128" s="1571"/>
      <c r="K128" s="1130"/>
      <c r="L128" s="1188"/>
      <c r="M128" s="1201"/>
      <c r="N128" s="1130"/>
      <c r="O128" s="1188"/>
      <c r="P128" s="1834"/>
      <c r="Q128" s="985"/>
      <c r="R128" s="858"/>
      <c r="S128" s="29"/>
      <c r="T128" s="634"/>
      <c r="U128" s="240"/>
    </row>
    <row r="129" spans="1:23" ht="21" customHeight="1" x14ac:dyDescent="0.2">
      <c r="A129" s="198"/>
      <c r="B129" s="199"/>
      <c r="C129" s="184"/>
      <c r="D129" s="1816" t="s">
        <v>129</v>
      </c>
      <c r="E129" s="187"/>
      <c r="F129" s="996"/>
      <c r="G129" s="1183"/>
      <c r="H129" s="1004"/>
      <c r="I129" s="73"/>
      <c r="J129" s="1191"/>
      <c r="K129" s="1004"/>
      <c r="L129" s="41"/>
      <c r="M129" s="1183"/>
      <c r="N129" s="1004"/>
      <c r="O129" s="41"/>
      <c r="P129" s="1861" t="s">
        <v>112</v>
      </c>
      <c r="Q129" s="1572">
        <v>100</v>
      </c>
      <c r="R129" s="812"/>
      <c r="S129" s="1573"/>
      <c r="T129" s="1574"/>
      <c r="U129" s="170"/>
    </row>
    <row r="130" spans="1:23" ht="21" customHeight="1" x14ac:dyDescent="0.2">
      <c r="A130" s="198"/>
      <c r="B130" s="199"/>
      <c r="C130" s="573"/>
      <c r="D130" s="1860"/>
      <c r="E130" s="187"/>
      <c r="F130" s="996"/>
      <c r="G130" s="1183"/>
      <c r="H130" s="1004"/>
      <c r="I130" s="73"/>
      <c r="J130" s="1191"/>
      <c r="K130" s="1004"/>
      <c r="L130" s="41"/>
      <c r="M130" s="1183"/>
      <c r="N130" s="1004"/>
      <c r="O130" s="41"/>
      <c r="P130" s="1862"/>
      <c r="Q130" s="1575"/>
      <c r="R130" s="816"/>
      <c r="S130" s="1576"/>
      <c r="T130" s="1574"/>
      <c r="U130" s="170"/>
    </row>
    <row r="131" spans="1:23" ht="42.75" customHeight="1" x14ac:dyDescent="0.2">
      <c r="A131" s="198"/>
      <c r="B131" s="199"/>
      <c r="C131" s="200"/>
      <c r="D131" s="1444" t="s">
        <v>301</v>
      </c>
      <c r="E131" s="1060"/>
      <c r="F131" s="996"/>
      <c r="G131" s="1183"/>
      <c r="H131" s="1004"/>
      <c r="I131" s="73"/>
      <c r="J131" s="1191"/>
      <c r="K131" s="1004"/>
      <c r="L131" s="41"/>
      <c r="M131" s="1183"/>
      <c r="N131" s="1004"/>
      <c r="O131" s="41"/>
      <c r="P131" s="1577" t="s">
        <v>302</v>
      </c>
      <c r="Q131" s="1578">
        <v>100</v>
      </c>
      <c r="R131" s="1396"/>
      <c r="S131" s="1578"/>
      <c r="T131" s="1579"/>
      <c r="V131" s="111"/>
    </row>
    <row r="132" spans="1:23" s="111" customFormat="1" ht="29.25" customHeight="1" x14ac:dyDescent="0.2">
      <c r="A132" s="198"/>
      <c r="B132" s="199"/>
      <c r="C132" s="249"/>
      <c r="D132" s="1773" t="s">
        <v>334</v>
      </c>
      <c r="E132" s="1441" t="s">
        <v>262</v>
      </c>
      <c r="F132" s="996"/>
      <c r="G132" s="1105"/>
      <c r="H132" s="1459"/>
      <c r="I132" s="998"/>
      <c r="J132" s="1191"/>
      <c r="K132" s="1004"/>
      <c r="L132" s="41"/>
      <c r="M132" s="1183"/>
      <c r="N132" s="1004"/>
      <c r="O132" s="41"/>
      <c r="P132" s="1152" t="s">
        <v>56</v>
      </c>
      <c r="Q132" s="1464">
        <v>1</v>
      </c>
      <c r="R132" s="1463"/>
      <c r="S132" s="373"/>
      <c r="T132" s="634"/>
      <c r="U132" s="989"/>
    </row>
    <row r="133" spans="1:23" s="111" customFormat="1" ht="28.5" customHeight="1" x14ac:dyDescent="0.2">
      <c r="A133" s="198"/>
      <c r="B133" s="199"/>
      <c r="C133" s="249"/>
      <c r="D133" s="1775"/>
      <c r="E133" s="1060"/>
      <c r="F133" s="996"/>
      <c r="G133" s="1105"/>
      <c r="H133" s="1459"/>
      <c r="I133" s="998"/>
      <c r="J133" s="1191"/>
      <c r="K133" s="1004"/>
      <c r="L133" s="41"/>
      <c r="M133" s="1183"/>
      <c r="N133" s="1004"/>
      <c r="O133" s="41"/>
      <c r="P133" s="1152" t="s">
        <v>313</v>
      </c>
      <c r="Q133" s="1464"/>
      <c r="R133" s="1463">
        <v>1</v>
      </c>
      <c r="S133" s="373">
        <v>1</v>
      </c>
      <c r="T133" s="634"/>
      <c r="U133" s="989"/>
    </row>
    <row r="134" spans="1:23" ht="14.25" customHeight="1" x14ac:dyDescent="0.2">
      <c r="A134" s="198"/>
      <c r="B134" s="199"/>
      <c r="C134" s="200"/>
      <c r="D134" s="1773" t="s">
        <v>296</v>
      </c>
      <c r="E134" s="1854" t="s">
        <v>262</v>
      </c>
      <c r="F134" s="1175"/>
      <c r="G134" s="1187"/>
      <c r="H134" s="1127"/>
      <c r="I134" s="1128"/>
      <c r="J134" s="1185"/>
      <c r="K134" s="1127"/>
      <c r="L134" s="1186"/>
      <c r="M134" s="1187"/>
      <c r="N134" s="1127"/>
      <c r="O134" s="1186"/>
      <c r="P134" s="1839" t="s">
        <v>52</v>
      </c>
      <c r="Q134" s="1856">
        <v>1</v>
      </c>
      <c r="R134" s="1038"/>
      <c r="S134" s="1554"/>
      <c r="T134" s="530"/>
      <c r="U134" s="156"/>
      <c r="V134" s="1841"/>
      <c r="W134" s="1841"/>
    </row>
    <row r="135" spans="1:23" ht="12.75" customHeight="1" x14ac:dyDescent="0.2">
      <c r="A135" s="198"/>
      <c r="B135" s="199"/>
      <c r="C135" s="200"/>
      <c r="D135" s="1774"/>
      <c r="E135" s="1855"/>
      <c r="F135" s="1175"/>
      <c r="G135" s="1187"/>
      <c r="H135" s="1127"/>
      <c r="I135" s="1128"/>
      <c r="J135" s="1185"/>
      <c r="K135" s="1127"/>
      <c r="L135" s="1186"/>
      <c r="M135" s="1187"/>
      <c r="N135" s="1127"/>
      <c r="O135" s="1186"/>
      <c r="P135" s="1842"/>
      <c r="Q135" s="1857"/>
      <c r="R135" s="1065"/>
      <c r="S135" s="1558"/>
      <c r="T135" s="530"/>
      <c r="U135" s="156"/>
      <c r="V135" s="170"/>
    </row>
    <row r="136" spans="1:23" ht="14.25" customHeight="1" thickBot="1" x14ac:dyDescent="0.25">
      <c r="A136" s="198"/>
      <c r="B136" s="199"/>
      <c r="C136" s="573"/>
      <c r="D136" s="1798"/>
      <c r="E136" s="217"/>
      <c r="F136" s="1198"/>
      <c r="G136" s="1199"/>
      <c r="H136" s="327"/>
      <c r="I136" s="401"/>
      <c r="J136" s="1479"/>
      <c r="K136" s="327"/>
      <c r="L136" s="328"/>
      <c r="M136" s="1199"/>
      <c r="N136" s="327"/>
      <c r="O136" s="328"/>
      <c r="P136" s="1842"/>
      <c r="Q136" s="889"/>
      <c r="R136" s="889"/>
      <c r="S136" s="1580"/>
      <c r="T136" s="890"/>
    </row>
    <row r="137" spans="1:23" ht="16.5" customHeight="1" x14ac:dyDescent="0.2">
      <c r="A137" s="198"/>
      <c r="B137" s="199"/>
      <c r="C137" s="184"/>
      <c r="D137" s="1838" t="s">
        <v>130</v>
      </c>
      <c r="E137" s="1438" t="s">
        <v>2</v>
      </c>
      <c r="F137" s="392"/>
      <c r="G137" s="333"/>
      <c r="H137" s="64"/>
      <c r="I137" s="119"/>
      <c r="J137" s="1477"/>
      <c r="K137" s="64"/>
      <c r="L137" s="807"/>
      <c r="M137" s="333"/>
      <c r="N137" s="64"/>
      <c r="O137" s="807"/>
      <c r="P137" s="56"/>
      <c r="Q137" s="1581"/>
      <c r="R137" s="1088"/>
      <c r="S137" s="1581"/>
      <c r="T137" s="1009"/>
      <c r="U137" s="240"/>
    </row>
    <row r="138" spans="1:23" ht="16.5" customHeight="1" x14ac:dyDescent="0.2">
      <c r="A138" s="198"/>
      <c r="B138" s="199"/>
      <c r="C138" s="184"/>
      <c r="D138" s="1838"/>
      <c r="E138" s="1438"/>
      <c r="F138" s="392"/>
      <c r="G138" s="333"/>
      <c r="H138" s="64"/>
      <c r="I138" s="119"/>
      <c r="J138" s="1477"/>
      <c r="K138" s="64"/>
      <c r="L138" s="807"/>
      <c r="M138" s="333"/>
      <c r="N138" s="64"/>
      <c r="O138" s="807"/>
      <c r="P138" s="56"/>
      <c r="Q138" s="1581"/>
      <c r="R138" s="1088"/>
      <c r="S138" s="1581"/>
      <c r="T138" s="1009"/>
      <c r="U138" s="240"/>
    </row>
    <row r="139" spans="1:23" ht="15" customHeight="1" x14ac:dyDescent="0.2">
      <c r="A139" s="198"/>
      <c r="B139" s="199"/>
      <c r="C139" s="184"/>
      <c r="D139" s="1773" t="s">
        <v>211</v>
      </c>
      <c r="E139" s="366" t="s">
        <v>262</v>
      </c>
      <c r="F139" s="392"/>
      <c r="G139" s="443"/>
      <c r="H139" s="408"/>
      <c r="I139" s="1582"/>
      <c r="J139" s="459"/>
      <c r="K139" s="408"/>
      <c r="L139" s="393"/>
      <c r="M139" s="443"/>
      <c r="N139" s="408"/>
      <c r="O139" s="393"/>
      <c r="P139" s="1865" t="s">
        <v>52</v>
      </c>
      <c r="Q139" s="1583">
        <v>1</v>
      </c>
      <c r="R139" s="1464"/>
      <c r="S139" s="1583"/>
      <c r="T139" s="531"/>
    </row>
    <row r="140" spans="1:23" ht="15" customHeight="1" x14ac:dyDescent="0.2">
      <c r="A140" s="198"/>
      <c r="B140" s="199"/>
      <c r="C140" s="184"/>
      <c r="D140" s="1774"/>
      <c r="E140" s="1061"/>
      <c r="F140" s="392"/>
      <c r="G140" s="443"/>
      <c r="H140" s="408"/>
      <c r="I140" s="1582"/>
      <c r="J140" s="459"/>
      <c r="K140" s="408"/>
      <c r="L140" s="393"/>
      <c r="M140" s="443"/>
      <c r="N140" s="408"/>
      <c r="O140" s="393"/>
      <c r="P140" s="1866"/>
      <c r="Q140" s="1584"/>
      <c r="R140" s="994"/>
      <c r="S140" s="1584"/>
      <c r="T140" s="531"/>
    </row>
    <row r="141" spans="1:23" ht="15" customHeight="1" x14ac:dyDescent="0.2">
      <c r="A141" s="198"/>
      <c r="B141" s="199"/>
      <c r="C141" s="184"/>
      <c r="D141" s="1774"/>
      <c r="E141" s="1061"/>
      <c r="F141" s="392"/>
      <c r="G141" s="443"/>
      <c r="H141" s="408"/>
      <c r="I141" s="1582"/>
      <c r="J141" s="459"/>
      <c r="K141" s="408"/>
      <c r="L141" s="393"/>
      <c r="M141" s="443"/>
      <c r="N141" s="408"/>
      <c r="O141" s="393"/>
      <c r="P141" s="1585" t="s">
        <v>99</v>
      </c>
      <c r="Q141" s="1583">
        <v>65</v>
      </c>
      <c r="R141" s="1464">
        <v>100</v>
      </c>
      <c r="S141" s="1583"/>
      <c r="T141" s="531"/>
    </row>
    <row r="142" spans="1:23" ht="15" customHeight="1" x14ac:dyDescent="0.2">
      <c r="A142" s="198"/>
      <c r="B142" s="199"/>
      <c r="C142" s="184"/>
      <c r="D142" s="1774"/>
      <c r="E142" s="1061"/>
      <c r="F142" s="392"/>
      <c r="G142" s="443"/>
      <c r="H142" s="408"/>
      <c r="I142" s="1582"/>
      <c r="J142" s="459"/>
      <c r="K142" s="408"/>
      <c r="L142" s="393"/>
      <c r="M142" s="443"/>
      <c r="N142" s="408"/>
      <c r="O142" s="393"/>
      <c r="P142" s="1586"/>
      <c r="Q142" s="1587"/>
      <c r="R142" s="985"/>
      <c r="S142" s="1587"/>
      <c r="T142" s="531"/>
    </row>
    <row r="143" spans="1:23" ht="15" customHeight="1" x14ac:dyDescent="0.2">
      <c r="A143" s="198"/>
      <c r="B143" s="199"/>
      <c r="C143" s="184"/>
      <c r="D143" s="1425"/>
      <c r="E143" s="1061"/>
      <c r="F143" s="392"/>
      <c r="G143" s="443"/>
      <c r="H143" s="408"/>
      <c r="I143" s="1582"/>
      <c r="J143" s="459"/>
      <c r="K143" s="408"/>
      <c r="L143" s="393"/>
      <c r="M143" s="443"/>
      <c r="N143" s="408"/>
      <c r="O143" s="393"/>
      <c r="P143" s="1588"/>
      <c r="Q143" s="1584"/>
      <c r="R143" s="994"/>
      <c r="S143" s="1584"/>
      <c r="T143" s="531"/>
    </row>
    <row r="144" spans="1:23" ht="29.25" customHeight="1" x14ac:dyDescent="0.2">
      <c r="A144" s="198"/>
      <c r="B144" s="199"/>
      <c r="C144" s="200"/>
      <c r="D144" s="1867" t="s">
        <v>298</v>
      </c>
      <c r="E144" s="1863" t="s">
        <v>262</v>
      </c>
      <c r="F144" s="392"/>
      <c r="G144" s="443"/>
      <c r="H144" s="408"/>
      <c r="I144" s="1582"/>
      <c r="J144" s="459"/>
      <c r="K144" s="1092"/>
      <c r="L144" s="393"/>
      <c r="M144" s="443"/>
      <c r="N144" s="408"/>
      <c r="O144" s="393"/>
      <c r="P144" s="1589" t="s">
        <v>52</v>
      </c>
      <c r="Q144" s="1499">
        <v>1</v>
      </c>
      <c r="R144" s="540"/>
      <c r="S144" s="34"/>
      <c r="T144" s="1005"/>
      <c r="U144" s="278"/>
    </row>
    <row r="145" spans="1:25" ht="29.25" customHeight="1" x14ac:dyDescent="0.2">
      <c r="A145" s="198"/>
      <c r="B145" s="199"/>
      <c r="C145" s="200"/>
      <c r="D145" s="1868"/>
      <c r="E145" s="1827"/>
      <c r="F145" s="392"/>
      <c r="G145" s="443"/>
      <c r="H145" s="408"/>
      <c r="I145" s="1582"/>
      <c r="J145" s="459"/>
      <c r="K145" s="408"/>
      <c r="L145" s="393"/>
      <c r="M145" s="443"/>
      <c r="N145" s="408"/>
      <c r="O145" s="393"/>
      <c r="P145" s="21" t="s">
        <v>83</v>
      </c>
      <c r="Q145" s="1499"/>
      <c r="R145" s="540"/>
      <c r="S145" s="34"/>
      <c r="T145" s="1005"/>
      <c r="U145" s="278"/>
    </row>
    <row r="146" spans="1:25" ht="31.5" customHeight="1" x14ac:dyDescent="0.2">
      <c r="A146" s="198"/>
      <c r="B146" s="199"/>
      <c r="C146" s="46"/>
      <c r="D146" s="1454" t="s">
        <v>318</v>
      </c>
      <c r="E146" s="1062"/>
      <c r="F146" s="1196"/>
      <c r="G146" s="134"/>
      <c r="H146" s="130"/>
      <c r="I146" s="138"/>
      <c r="J146" s="1476"/>
      <c r="K146" s="130"/>
      <c r="L146" s="15"/>
      <c r="M146" s="134"/>
      <c r="N146" s="130"/>
      <c r="O146" s="15"/>
      <c r="P146" s="1590" t="s">
        <v>319</v>
      </c>
      <c r="Q146" s="1591">
        <v>100</v>
      </c>
      <c r="R146" s="1463"/>
      <c r="S146" s="717"/>
      <c r="T146" s="418"/>
      <c r="U146" s="240"/>
      <c r="W146" s="1841"/>
      <c r="X146" s="1841"/>
    </row>
    <row r="147" spans="1:25" ht="29.25" customHeight="1" x14ac:dyDescent="0.2">
      <c r="A147" s="198"/>
      <c r="B147" s="199"/>
      <c r="C147" s="200"/>
      <c r="D147" s="1149" t="s">
        <v>212</v>
      </c>
      <c r="E147" s="1863" t="s">
        <v>262</v>
      </c>
      <c r="F147" s="392"/>
      <c r="G147" s="443"/>
      <c r="H147" s="408"/>
      <c r="I147" s="1582"/>
      <c r="J147" s="459"/>
      <c r="K147" s="408"/>
      <c r="L147" s="1093"/>
      <c r="M147" s="443"/>
      <c r="N147" s="408"/>
      <c r="O147" s="393"/>
      <c r="P147" s="1592" t="s">
        <v>52</v>
      </c>
      <c r="Q147" s="1593"/>
      <c r="R147" s="1594"/>
      <c r="S147" s="1595">
        <v>1</v>
      </c>
      <c r="T147" s="386"/>
      <c r="V147" s="1858"/>
      <c r="W147" s="1858"/>
    </row>
    <row r="148" spans="1:25" ht="30.75" customHeight="1" x14ac:dyDescent="0.2">
      <c r="A148" s="198"/>
      <c r="B148" s="199"/>
      <c r="C148" s="200"/>
      <c r="D148" s="1774" t="s">
        <v>320</v>
      </c>
      <c r="E148" s="1827"/>
      <c r="F148" s="392"/>
      <c r="G148" s="443"/>
      <c r="H148" s="408"/>
      <c r="I148" s="1582"/>
      <c r="J148" s="459"/>
      <c r="K148" s="408"/>
      <c r="L148" s="393"/>
      <c r="M148" s="443"/>
      <c r="N148" s="408"/>
      <c r="O148" s="393"/>
      <c r="P148" s="1596" t="s">
        <v>58</v>
      </c>
      <c r="Q148" s="1564"/>
      <c r="R148" s="1597"/>
      <c r="S148" s="1566">
        <v>10</v>
      </c>
      <c r="T148" s="386"/>
      <c r="V148" s="1864"/>
      <c r="W148" s="1864"/>
      <c r="X148" s="1864"/>
    </row>
    <row r="149" spans="1:25" ht="21.75" customHeight="1" x14ac:dyDescent="0.2">
      <c r="A149" s="198"/>
      <c r="B149" s="199"/>
      <c r="C149" s="241"/>
      <c r="D149" s="1775"/>
      <c r="E149" s="111"/>
      <c r="F149" s="1200"/>
      <c r="G149" s="1201"/>
      <c r="H149" s="1130"/>
      <c r="I149" s="1131"/>
      <c r="J149" s="1571"/>
      <c r="K149" s="1130"/>
      <c r="L149" s="1188"/>
      <c r="M149" s="1201"/>
      <c r="N149" s="1130"/>
      <c r="O149" s="1188"/>
      <c r="P149" s="1562"/>
      <c r="Q149" s="985"/>
      <c r="R149" s="1561"/>
      <c r="S149" s="17"/>
      <c r="T149" s="1005"/>
      <c r="U149" s="240"/>
      <c r="V149" s="111"/>
      <c r="W149" s="111"/>
    </row>
    <row r="150" spans="1:25" ht="42" customHeight="1" x14ac:dyDescent="0.2">
      <c r="A150" s="198"/>
      <c r="B150" s="199"/>
      <c r="C150" s="200"/>
      <c r="D150" s="1425" t="s">
        <v>335</v>
      </c>
      <c r="E150" s="1445" t="s">
        <v>262</v>
      </c>
      <c r="F150" s="1200"/>
      <c r="G150" s="1201"/>
      <c r="H150" s="1130"/>
      <c r="I150" s="1131"/>
      <c r="J150" s="1476"/>
      <c r="K150" s="130"/>
      <c r="L150" s="15"/>
      <c r="M150" s="134"/>
      <c r="N150" s="130"/>
      <c r="O150" s="15"/>
      <c r="P150" s="1596" t="s">
        <v>259</v>
      </c>
      <c r="Q150" s="1464"/>
      <c r="R150" s="540">
        <v>1</v>
      </c>
      <c r="S150" s="34">
        <v>1</v>
      </c>
      <c r="T150" s="1005"/>
      <c r="U150" s="240"/>
      <c r="V150" s="111"/>
      <c r="W150" s="111"/>
    </row>
    <row r="151" spans="1:25" ht="15.75" customHeight="1" x14ac:dyDescent="0.2">
      <c r="A151" s="198"/>
      <c r="B151" s="199"/>
      <c r="C151" s="200"/>
      <c r="D151" s="1837" t="s">
        <v>131</v>
      </c>
      <c r="E151" s="1441" t="s">
        <v>2</v>
      </c>
      <c r="F151" s="1098"/>
      <c r="G151" s="443"/>
      <c r="H151" s="408"/>
      <c r="I151" s="1582"/>
      <c r="J151" s="459"/>
      <c r="K151" s="1092"/>
      <c r="L151" s="393"/>
      <c r="M151" s="443"/>
      <c r="N151" s="408"/>
      <c r="O151" s="393"/>
      <c r="P151" s="1598"/>
      <c r="Q151" s="1088"/>
      <c r="R151" s="536"/>
      <c r="S151" s="1581"/>
      <c r="T151" s="1009"/>
      <c r="V151" s="111"/>
      <c r="W151" s="111"/>
    </row>
    <row r="152" spans="1:25" ht="15.75" customHeight="1" x14ac:dyDescent="0.2">
      <c r="A152" s="198"/>
      <c r="B152" s="199"/>
      <c r="C152" s="200"/>
      <c r="D152" s="1838"/>
      <c r="E152" s="1442"/>
      <c r="F152" s="1098"/>
      <c r="G152" s="443"/>
      <c r="H152" s="408"/>
      <c r="I152" s="1582"/>
      <c r="J152" s="459"/>
      <c r="K152" s="1092"/>
      <c r="L152" s="393"/>
      <c r="M152" s="443"/>
      <c r="N152" s="408"/>
      <c r="O152" s="393"/>
      <c r="P152" s="1598"/>
      <c r="Q152" s="1088"/>
      <c r="R152" s="536"/>
      <c r="S152" s="1581"/>
      <c r="T152" s="1009"/>
      <c r="V152" s="111"/>
      <c r="W152" s="111"/>
    </row>
    <row r="153" spans="1:25" ht="27.75" customHeight="1" x14ac:dyDescent="0.2">
      <c r="A153" s="198"/>
      <c r="B153" s="199"/>
      <c r="C153" s="200"/>
      <c r="D153" s="1809" t="s">
        <v>132</v>
      </c>
      <c r="E153" s="1441" t="s">
        <v>262</v>
      </c>
      <c r="F153" s="1097"/>
      <c r="G153" s="443"/>
      <c r="H153" s="408"/>
      <c r="I153" s="1582"/>
      <c r="J153" s="459"/>
      <c r="K153" s="1092"/>
      <c r="L153" s="393"/>
      <c r="M153" s="443"/>
      <c r="N153" s="408"/>
      <c r="O153" s="393"/>
      <c r="P153" s="1599" t="s">
        <v>82</v>
      </c>
      <c r="Q153" s="1600">
        <v>80</v>
      </c>
      <c r="R153" s="1601">
        <v>100</v>
      </c>
      <c r="S153" s="34"/>
      <c r="T153" s="1005"/>
      <c r="V153" s="111"/>
      <c r="W153" s="111"/>
    </row>
    <row r="154" spans="1:25" ht="15.75" customHeight="1" x14ac:dyDescent="0.2">
      <c r="A154" s="198"/>
      <c r="B154" s="199"/>
      <c r="C154" s="248"/>
      <c r="D154" s="1810"/>
      <c r="E154" s="1442"/>
      <c r="F154" s="1097"/>
      <c r="G154" s="443"/>
      <c r="H154" s="408"/>
      <c r="I154" s="1582"/>
      <c r="J154" s="459"/>
      <c r="K154" s="1092"/>
      <c r="L154" s="393"/>
      <c r="M154" s="443"/>
      <c r="N154" s="408"/>
      <c r="O154" s="393"/>
      <c r="P154" s="1599" t="s">
        <v>98</v>
      </c>
      <c r="Q154" s="1602">
        <v>80</v>
      </c>
      <c r="R154" s="809">
        <v>100</v>
      </c>
      <c r="S154" s="34"/>
      <c r="T154" s="1005"/>
      <c r="V154" s="111"/>
      <c r="W154" s="111"/>
    </row>
    <row r="155" spans="1:25" ht="15.75" customHeight="1" x14ac:dyDescent="0.2">
      <c r="A155" s="198"/>
      <c r="B155" s="199"/>
      <c r="C155" s="248"/>
      <c r="D155" s="1810"/>
      <c r="E155" s="1442"/>
      <c r="F155" s="1098"/>
      <c r="G155" s="443"/>
      <c r="H155" s="408"/>
      <c r="I155" s="1582"/>
      <c r="J155" s="459"/>
      <c r="K155" s="1092"/>
      <c r="L155" s="393"/>
      <c r="M155" s="443"/>
      <c r="N155" s="408"/>
      <c r="O155" s="393"/>
      <c r="P155" s="1603"/>
      <c r="Q155" s="29"/>
      <c r="R155" s="985"/>
      <c r="S155" s="17"/>
      <c r="T155" s="1005"/>
      <c r="V155" s="111"/>
      <c r="W155" s="111"/>
    </row>
    <row r="156" spans="1:25" ht="18" customHeight="1" x14ac:dyDescent="0.2">
      <c r="A156" s="198"/>
      <c r="B156" s="199"/>
      <c r="C156" s="200"/>
      <c r="D156" s="1809" t="s">
        <v>133</v>
      </c>
      <c r="E156" s="1441" t="s">
        <v>262</v>
      </c>
      <c r="F156" s="1091"/>
      <c r="G156" s="443"/>
      <c r="H156" s="408"/>
      <c r="I156" s="1582"/>
      <c r="J156" s="459"/>
      <c r="K156" s="408"/>
      <c r="L156" s="1093"/>
      <c r="M156" s="443"/>
      <c r="N156" s="408"/>
      <c r="O156" s="393"/>
      <c r="P156" s="1839" t="s">
        <v>83</v>
      </c>
      <c r="Q156" s="1604"/>
      <c r="R156" s="1038"/>
      <c r="S156" s="1554">
        <v>30</v>
      </c>
      <c r="T156" s="530"/>
      <c r="V156" s="1864"/>
      <c r="W156" s="1864"/>
      <c r="X156" s="1864"/>
      <c r="Y156" s="1864"/>
    </row>
    <row r="157" spans="1:25" ht="15.75" customHeight="1" x14ac:dyDescent="0.2">
      <c r="A157" s="198"/>
      <c r="B157" s="199"/>
      <c r="C157" s="248"/>
      <c r="D157" s="1810"/>
      <c r="E157" s="201"/>
      <c r="F157" s="1202"/>
      <c r="G157" s="1201"/>
      <c r="H157" s="1130"/>
      <c r="I157" s="1131"/>
      <c r="J157" s="1571"/>
      <c r="K157" s="1130"/>
      <c r="L157" s="1188"/>
      <c r="M157" s="1201"/>
      <c r="N157" s="1605"/>
      <c r="O157" s="1606"/>
      <c r="P157" s="1842"/>
      <c r="Q157" s="1558"/>
      <c r="R157" s="929"/>
      <c r="S157" s="1558"/>
      <c r="T157" s="530"/>
    </row>
    <row r="158" spans="1:25" ht="15.75" customHeight="1" thickBot="1" x14ac:dyDescent="0.25">
      <c r="A158" s="216"/>
      <c r="B158" s="213"/>
      <c r="C158" s="214"/>
      <c r="D158" s="1811"/>
      <c r="E158" s="1871" t="s">
        <v>16</v>
      </c>
      <c r="F158" s="1877"/>
      <c r="G158" s="35">
        <f>SUM(G106:G116)</f>
        <v>8722.9</v>
      </c>
      <c r="H158" s="62">
        <f>SUM(H106:H116)</f>
        <v>8722.9</v>
      </c>
      <c r="I158" s="132"/>
      <c r="J158" s="1504">
        <f>SUM(J106:J116)</f>
        <v>8984.1</v>
      </c>
      <c r="K158" s="62">
        <f>SUM(K106:K116)</f>
        <v>8984.1</v>
      </c>
      <c r="L158" s="226"/>
      <c r="M158" s="35">
        <f t="shared" ref="M158:N158" si="10">SUM(M106:M116)</f>
        <v>3694.4</v>
      </c>
      <c r="N158" s="1503">
        <f t="shared" si="10"/>
        <v>3694.4</v>
      </c>
      <c r="O158" s="128"/>
      <c r="P158" s="1876"/>
      <c r="Q158" s="1465"/>
      <c r="R158" s="1465"/>
      <c r="S158" s="91"/>
      <c r="T158" s="43"/>
      <c r="U158" s="240"/>
    </row>
    <row r="159" spans="1:25" ht="29.25" customHeight="1" x14ac:dyDescent="0.2">
      <c r="A159" s="234" t="s">
        <v>17</v>
      </c>
      <c r="B159" s="209" t="s">
        <v>14</v>
      </c>
      <c r="C159" s="210" t="s">
        <v>19</v>
      </c>
      <c r="D159" s="1420" t="s">
        <v>84</v>
      </c>
      <c r="E159" s="71"/>
      <c r="F159" s="1468" t="s">
        <v>15</v>
      </c>
      <c r="G159" s="341">
        <v>308.3</v>
      </c>
      <c r="H159" s="339">
        <v>308.3</v>
      </c>
      <c r="I159" s="348"/>
      <c r="J159" s="1607">
        <v>422.1</v>
      </c>
      <c r="K159" s="339">
        <v>422.1</v>
      </c>
      <c r="L159" s="340"/>
      <c r="M159" s="348">
        <v>375.6</v>
      </c>
      <c r="N159" s="339">
        <v>375.6</v>
      </c>
      <c r="O159" s="428"/>
      <c r="P159" s="1001"/>
      <c r="Q159" s="1087"/>
      <c r="R159" s="535"/>
      <c r="S159" s="1539"/>
      <c r="T159" s="203"/>
    </row>
    <row r="160" spans="1:25" ht="21" customHeight="1" x14ac:dyDescent="0.2">
      <c r="A160" s="198"/>
      <c r="B160" s="199"/>
      <c r="C160" s="197"/>
      <c r="D160" s="1809" t="s">
        <v>213</v>
      </c>
      <c r="E160" s="92"/>
      <c r="F160" s="987"/>
      <c r="G160" s="134"/>
      <c r="H160" s="130"/>
      <c r="I160" s="138"/>
      <c r="J160" s="1476"/>
      <c r="K160" s="130"/>
      <c r="L160" s="15"/>
      <c r="M160" s="138"/>
      <c r="N160" s="130"/>
      <c r="O160" s="138"/>
      <c r="P160" s="1589" t="s">
        <v>100</v>
      </c>
      <c r="Q160" s="373">
        <v>15</v>
      </c>
      <c r="R160" s="4">
        <v>14</v>
      </c>
      <c r="S160" s="373">
        <v>13</v>
      </c>
      <c r="T160" s="634"/>
      <c r="V160" s="1832"/>
      <c r="W160" s="1832"/>
    </row>
    <row r="161" spans="1:73" ht="21" customHeight="1" x14ac:dyDescent="0.2">
      <c r="A161" s="198"/>
      <c r="B161" s="199"/>
      <c r="C161" s="197"/>
      <c r="D161" s="1878"/>
      <c r="E161" s="92"/>
      <c r="F161" s="987"/>
      <c r="G161" s="1183"/>
      <c r="H161" s="1004"/>
      <c r="I161" s="73"/>
      <c r="J161" s="1191"/>
      <c r="K161" s="1004"/>
      <c r="L161" s="41"/>
      <c r="M161" s="73"/>
      <c r="N161" s="1004"/>
      <c r="O161" s="41"/>
      <c r="P161" s="1608"/>
      <c r="Q161" s="923"/>
      <c r="R161" s="545"/>
      <c r="S161" s="22"/>
      <c r="T161" s="1005"/>
    </row>
    <row r="162" spans="1:73" ht="30" customHeight="1" x14ac:dyDescent="0.2">
      <c r="A162" s="198"/>
      <c r="B162" s="199"/>
      <c r="C162" s="249"/>
      <c r="D162" s="1434" t="s">
        <v>214</v>
      </c>
      <c r="E162" s="95"/>
      <c r="F162" s="987"/>
      <c r="G162" s="1105"/>
      <c r="H162" s="1459"/>
      <c r="I162" s="998"/>
      <c r="J162" s="1496"/>
      <c r="K162" s="1459"/>
      <c r="L162" s="999"/>
      <c r="M162" s="998"/>
      <c r="N162" s="1459"/>
      <c r="O162" s="999"/>
      <c r="P162" s="1598" t="s">
        <v>100</v>
      </c>
      <c r="Q162" s="116">
        <v>21</v>
      </c>
      <c r="R162" s="1609">
        <v>21</v>
      </c>
      <c r="S162" s="116">
        <v>21</v>
      </c>
      <c r="T162" s="118"/>
    </row>
    <row r="163" spans="1:73" s="9" customFormat="1" ht="30" customHeight="1" thickBot="1" x14ac:dyDescent="0.25">
      <c r="A163" s="1436"/>
      <c r="B163" s="1002"/>
      <c r="C163" s="454"/>
      <c r="D163" s="1434" t="s">
        <v>235</v>
      </c>
      <c r="E163" s="372"/>
      <c r="F163" s="987"/>
      <c r="G163" s="1105"/>
      <c r="H163" s="1459"/>
      <c r="I163" s="998"/>
      <c r="J163" s="1496"/>
      <c r="K163" s="1459"/>
      <c r="L163" s="999"/>
      <c r="M163" s="998"/>
      <c r="N163" s="1459"/>
      <c r="O163" s="999"/>
      <c r="P163" s="1589" t="s">
        <v>100</v>
      </c>
      <c r="Q163" s="30">
        <v>7</v>
      </c>
      <c r="R163" s="1452">
        <v>3</v>
      </c>
      <c r="S163" s="30">
        <v>3</v>
      </c>
      <c r="T163" s="118"/>
    </row>
    <row r="164" spans="1:73" s="603" customFormat="1" ht="30" customHeight="1" thickBot="1" x14ac:dyDescent="0.25">
      <c r="A164" s="1436"/>
      <c r="B164" s="1002"/>
      <c r="C164" s="642"/>
      <c r="D164" s="683" t="s">
        <v>263</v>
      </c>
      <c r="E164" s="369"/>
      <c r="F164" s="987"/>
      <c r="G164" s="1105"/>
      <c r="H164" s="1459"/>
      <c r="I164" s="998"/>
      <c r="J164" s="1496"/>
      <c r="K164" s="1459"/>
      <c r="L164" s="999"/>
      <c r="M164" s="998"/>
      <c r="N164" s="1459"/>
      <c r="O164" s="999"/>
      <c r="P164" s="86" t="s">
        <v>250</v>
      </c>
      <c r="Q164" s="30"/>
      <c r="R164" s="1452">
        <v>1</v>
      </c>
      <c r="S164" s="30"/>
      <c r="T164" s="118"/>
      <c r="U164" s="9"/>
      <c r="V164" s="930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</row>
    <row r="165" spans="1:73" s="9" customFormat="1" ht="28.5" customHeight="1" x14ac:dyDescent="0.2">
      <c r="A165" s="1436"/>
      <c r="B165" s="1002"/>
      <c r="C165" s="51"/>
      <c r="D165" s="1809" t="s">
        <v>336</v>
      </c>
      <c r="E165" s="95"/>
      <c r="F165" s="987"/>
      <c r="G165" s="1105"/>
      <c r="H165" s="1459"/>
      <c r="I165" s="998"/>
      <c r="J165" s="1496"/>
      <c r="K165" s="1459"/>
      <c r="L165" s="999"/>
      <c r="M165" s="998"/>
      <c r="N165" s="911"/>
      <c r="O165" s="20"/>
      <c r="P165" s="1869" t="s">
        <v>254</v>
      </c>
      <c r="Q165" s="4"/>
      <c r="R165" s="4">
        <v>1</v>
      </c>
      <c r="S165" s="28">
        <v>1</v>
      </c>
      <c r="T165" s="118"/>
      <c r="V165" s="930"/>
    </row>
    <row r="166" spans="1:73" ht="15" customHeight="1" thickBot="1" x14ac:dyDescent="0.25">
      <c r="A166" s="198"/>
      <c r="B166" s="199"/>
      <c r="C166" s="248"/>
      <c r="D166" s="1811"/>
      <c r="E166" s="1871" t="s">
        <v>16</v>
      </c>
      <c r="F166" s="1872"/>
      <c r="G166" s="35">
        <f>SUM(G159:G165)</f>
        <v>308.3</v>
      </c>
      <c r="H166" s="62">
        <f>SUM(H159:H165)</f>
        <v>308.3</v>
      </c>
      <c r="I166" s="132"/>
      <c r="J166" s="1504">
        <f>SUM(J159:J165)</f>
        <v>422.1</v>
      </c>
      <c r="K166" s="62">
        <f>SUM(K159:K165)</f>
        <v>422.1</v>
      </c>
      <c r="L166" s="226"/>
      <c r="M166" s="132">
        <f>SUM(M159:M165)</f>
        <v>375.6</v>
      </c>
      <c r="N166" s="1503">
        <f>SUM(N159:N165)</f>
        <v>375.6</v>
      </c>
      <c r="O166" s="1125"/>
      <c r="P166" s="1870"/>
      <c r="Q166" s="1518"/>
      <c r="R166" s="538"/>
      <c r="S166" s="91"/>
      <c r="T166" s="43"/>
    </row>
    <row r="167" spans="1:73" ht="15.75" customHeight="1" thickBot="1" x14ac:dyDescent="0.25">
      <c r="A167" s="229" t="s">
        <v>17</v>
      </c>
      <c r="B167" s="230" t="s">
        <v>14</v>
      </c>
      <c r="C167" s="1843" t="s">
        <v>20</v>
      </c>
      <c r="D167" s="1844"/>
      <c r="E167" s="1844"/>
      <c r="F167" s="1844"/>
      <c r="G167" s="343">
        <f>+G166+G158+G105</f>
        <v>9308.6999999999989</v>
      </c>
      <c r="H167" s="343">
        <f>+H166+H158+H105</f>
        <v>9308.6999999999989</v>
      </c>
      <c r="I167" s="345"/>
      <c r="J167" s="1610">
        <f>+J166+J158+J105</f>
        <v>9477.9000000000015</v>
      </c>
      <c r="K167" s="344">
        <f>+K166+K158+K105</f>
        <v>9477.9000000000015</v>
      </c>
      <c r="L167" s="1526"/>
      <c r="M167" s="345">
        <f>+M166+M158+M105</f>
        <v>4141.7</v>
      </c>
      <c r="N167" s="344">
        <f>+N166+N158+N105</f>
        <v>4141.7</v>
      </c>
      <c r="O167" s="345"/>
      <c r="P167" s="231"/>
      <c r="Q167" s="232"/>
      <c r="R167" s="232"/>
      <c r="S167" s="232"/>
      <c r="T167" s="1527"/>
    </row>
    <row r="168" spans="1:73" ht="17.25" customHeight="1" thickBot="1" x14ac:dyDescent="0.25">
      <c r="A168" s="198" t="s">
        <v>17</v>
      </c>
      <c r="B168" s="230" t="s">
        <v>17</v>
      </c>
      <c r="C168" s="1873" t="s">
        <v>65</v>
      </c>
      <c r="D168" s="1851"/>
      <c r="E168" s="1851"/>
      <c r="F168" s="1851"/>
      <c r="G168" s="1851"/>
      <c r="H168" s="1851"/>
      <c r="I168" s="1851"/>
      <c r="J168" s="1851"/>
      <c r="K168" s="1851"/>
      <c r="L168" s="1851"/>
      <c r="M168" s="1851"/>
      <c r="N168" s="1851"/>
      <c r="O168" s="1851"/>
      <c r="P168" s="1851"/>
      <c r="Q168" s="1851"/>
      <c r="R168" s="1851"/>
      <c r="S168" s="1851"/>
      <c r="T168" s="1874"/>
    </row>
    <row r="169" spans="1:73" ht="18" customHeight="1" x14ac:dyDescent="0.2">
      <c r="A169" s="234" t="s">
        <v>17</v>
      </c>
      <c r="B169" s="209" t="s">
        <v>17</v>
      </c>
      <c r="C169" s="252" t="s">
        <v>14</v>
      </c>
      <c r="D169" s="1420" t="s">
        <v>75</v>
      </c>
      <c r="E169" s="368"/>
      <c r="F169" s="1133" t="s">
        <v>15</v>
      </c>
      <c r="G169" s="422">
        <v>50</v>
      </c>
      <c r="H169" s="399">
        <v>50</v>
      </c>
      <c r="I169" s="428"/>
      <c r="J169" s="1611">
        <v>49.4</v>
      </c>
      <c r="K169" s="75">
        <v>49.4</v>
      </c>
      <c r="L169" s="1611"/>
      <c r="M169" s="1538"/>
      <c r="N169" s="75"/>
      <c r="O169" s="122"/>
      <c r="P169" s="1001"/>
      <c r="Q169" s="1539"/>
      <c r="R169" s="1087"/>
      <c r="S169" s="520"/>
      <c r="T169" s="203"/>
    </row>
    <row r="170" spans="1:73" ht="28.5" customHeight="1" x14ac:dyDescent="0.2">
      <c r="A170" s="1397"/>
      <c r="B170" s="1398"/>
      <c r="C170" s="1404"/>
      <c r="D170" s="1448" t="s">
        <v>279</v>
      </c>
      <c r="E170" s="1405"/>
      <c r="F170" s="1612"/>
      <c r="G170" s="222"/>
      <c r="H170" s="223"/>
      <c r="I170" s="1613"/>
      <c r="J170" s="1614"/>
      <c r="K170" s="1406"/>
      <c r="L170" s="1614"/>
      <c r="M170" s="1615"/>
      <c r="N170" s="1406"/>
      <c r="O170" s="1407"/>
      <c r="P170" s="42" t="s">
        <v>111</v>
      </c>
      <c r="Q170" s="1010">
        <v>573</v>
      </c>
      <c r="R170" s="1141"/>
      <c r="S170" s="1426"/>
      <c r="T170" s="1009"/>
    </row>
    <row r="171" spans="1:73" ht="16.149999999999999" customHeight="1" x14ac:dyDescent="0.2">
      <c r="A171" s="198"/>
      <c r="B171" s="199"/>
      <c r="C171" s="197"/>
      <c r="D171" s="1775" t="s">
        <v>134</v>
      </c>
      <c r="E171" s="59"/>
      <c r="F171" s="1612"/>
      <c r="G171" s="222"/>
      <c r="H171" s="223"/>
      <c r="I171" s="1613"/>
      <c r="J171" s="354"/>
      <c r="K171" s="265"/>
      <c r="L171" s="354"/>
      <c r="M171" s="1401"/>
      <c r="N171" s="265"/>
      <c r="O171" s="1101"/>
      <c r="P171" s="997" t="s">
        <v>100</v>
      </c>
      <c r="Q171" s="117"/>
      <c r="R171" s="923">
        <v>11</v>
      </c>
      <c r="S171" s="1616"/>
      <c r="T171" s="118"/>
      <c r="V171" s="1801"/>
      <c r="W171" s="1801"/>
      <c r="X171" s="1801"/>
    </row>
    <row r="172" spans="1:73" ht="17.45" customHeight="1" x14ac:dyDescent="0.2">
      <c r="A172" s="198"/>
      <c r="B172" s="199"/>
      <c r="C172" s="197"/>
      <c r="D172" s="1875"/>
      <c r="E172" s="59"/>
      <c r="F172" s="578" t="s">
        <v>16</v>
      </c>
      <c r="G172" s="579">
        <f>SUM(G169:G171)</f>
        <v>50</v>
      </c>
      <c r="H172" s="580">
        <f>SUM(H169:H171)</f>
        <v>50</v>
      </c>
      <c r="I172" s="847"/>
      <c r="J172" s="1617">
        <f>SUM(J169:J171)</f>
        <v>49.4</v>
      </c>
      <c r="K172" s="580">
        <f>SUM(K169:K171)</f>
        <v>49.4</v>
      </c>
      <c r="L172" s="1617"/>
      <c r="M172" s="579">
        <f>SUM(M169:M171)</f>
        <v>0</v>
      </c>
      <c r="N172" s="580">
        <f>SUM(N169:N171)</f>
        <v>0</v>
      </c>
      <c r="O172" s="847"/>
      <c r="P172" s="86" t="s">
        <v>135</v>
      </c>
      <c r="Q172" s="30">
        <v>436</v>
      </c>
      <c r="R172" s="1142">
        <v>200</v>
      </c>
      <c r="S172" s="1470">
        <v>200</v>
      </c>
      <c r="T172" s="118"/>
    </row>
    <row r="173" spans="1:73" s="9" customFormat="1" ht="17.45" customHeight="1" x14ac:dyDescent="0.2">
      <c r="A173" s="1436"/>
      <c r="B173" s="1002"/>
      <c r="C173" s="2"/>
      <c r="D173" s="1809" t="s">
        <v>79</v>
      </c>
      <c r="E173" s="95"/>
      <c r="F173" s="1618" t="s">
        <v>15</v>
      </c>
      <c r="G173" s="1458">
        <v>53</v>
      </c>
      <c r="H173" s="1619">
        <v>53</v>
      </c>
      <c r="I173" s="1620"/>
      <c r="J173" s="1621"/>
      <c r="K173" s="844"/>
      <c r="L173" s="1621"/>
      <c r="M173" s="1622"/>
      <c r="N173" s="1623"/>
      <c r="O173" s="1624"/>
      <c r="P173" s="997" t="s">
        <v>100</v>
      </c>
      <c r="Q173" s="1625">
        <v>13</v>
      </c>
      <c r="R173" s="1143"/>
      <c r="S173" s="1626"/>
      <c r="T173" s="1627"/>
      <c r="U173" s="648"/>
      <c r="V173" s="1801"/>
      <c r="W173" s="1801"/>
      <c r="X173" s="1801"/>
    </row>
    <row r="174" spans="1:73" s="9" customFormat="1" ht="16.899999999999999" customHeight="1" thickBot="1" x14ac:dyDescent="0.25">
      <c r="A174" s="1436"/>
      <c r="B174" s="1002"/>
      <c r="C174" s="2"/>
      <c r="D174" s="1810"/>
      <c r="E174" s="95"/>
      <c r="F174" s="8" t="s">
        <v>16</v>
      </c>
      <c r="G174" s="320">
        <f>G173</f>
        <v>53</v>
      </c>
      <c r="H174" s="423">
        <f>H173</f>
        <v>53</v>
      </c>
      <c r="I174" s="430"/>
      <c r="J174" s="355">
        <f>J173</f>
        <v>0</v>
      </c>
      <c r="K174" s="423">
        <f>K173</f>
        <v>0</v>
      </c>
      <c r="L174" s="355"/>
      <c r="M174" s="320">
        <f>M173</f>
        <v>0</v>
      </c>
      <c r="N174" s="1628">
        <f>N173</f>
        <v>0</v>
      </c>
      <c r="O174" s="1629"/>
      <c r="P174" s="1630" t="s">
        <v>62</v>
      </c>
      <c r="Q174" s="1631">
        <v>19</v>
      </c>
      <c r="R174" s="1632">
        <v>15</v>
      </c>
      <c r="S174" s="1633">
        <v>15</v>
      </c>
      <c r="T174" s="1634"/>
      <c r="U174" s="57"/>
    </row>
    <row r="175" spans="1:73" s="9" customFormat="1" ht="21" customHeight="1" x14ac:dyDescent="0.2">
      <c r="A175" s="1435" t="s">
        <v>17</v>
      </c>
      <c r="B175" s="969" t="s">
        <v>17</v>
      </c>
      <c r="C175" s="970" t="s">
        <v>17</v>
      </c>
      <c r="D175" s="1835" t="s">
        <v>215</v>
      </c>
      <c r="E175" s="316"/>
      <c r="F175" s="102" t="s">
        <v>15</v>
      </c>
      <c r="G175" s="668">
        <v>163</v>
      </c>
      <c r="H175" s="1104">
        <v>163</v>
      </c>
      <c r="I175" s="1635"/>
      <c r="J175" s="1103">
        <v>281.2</v>
      </c>
      <c r="K175" s="1104">
        <v>281.2</v>
      </c>
      <c r="L175" s="1103"/>
      <c r="M175" s="668">
        <v>213.9</v>
      </c>
      <c r="N175" s="1104">
        <v>213.9</v>
      </c>
      <c r="O175" s="1635"/>
      <c r="Q175" s="1636"/>
      <c r="R175" s="1106"/>
      <c r="T175" s="1637"/>
      <c r="U175" s="57"/>
    </row>
    <row r="176" spans="1:73" s="9" customFormat="1" ht="21" customHeight="1" x14ac:dyDescent="0.2">
      <c r="A176" s="1436"/>
      <c r="B176" s="1002"/>
      <c r="C176" s="2"/>
      <c r="D176" s="1868"/>
      <c r="E176" s="1447"/>
      <c r="F176" s="830" t="s">
        <v>87</v>
      </c>
      <c r="G176" s="669">
        <v>151</v>
      </c>
      <c r="H176" s="1638">
        <v>151</v>
      </c>
      <c r="I176" s="1639"/>
      <c r="J176" s="33"/>
      <c r="K176" s="129"/>
      <c r="L176" s="33"/>
      <c r="M176" s="78"/>
      <c r="N176" s="130"/>
      <c r="O176" s="15"/>
      <c r="Q176" s="1636"/>
      <c r="R176" s="1106"/>
      <c r="T176" s="1637"/>
      <c r="U176" s="57"/>
    </row>
    <row r="177" spans="1:21" s="9" customFormat="1" ht="15.75" customHeight="1" x14ac:dyDescent="0.2">
      <c r="A177" s="1436"/>
      <c r="B177" s="1002"/>
      <c r="C177" s="2"/>
      <c r="D177" s="1809" t="s">
        <v>176</v>
      </c>
      <c r="E177" s="1889" t="s">
        <v>262</v>
      </c>
      <c r="F177" s="996"/>
      <c r="G177" s="1458"/>
      <c r="H177" s="1619"/>
      <c r="I177" s="1620"/>
      <c r="J177" s="998"/>
      <c r="K177" s="1459"/>
      <c r="L177" s="998"/>
      <c r="M177" s="1105"/>
      <c r="N177" s="1459"/>
      <c r="O177" s="999"/>
      <c r="P177" s="499" t="s">
        <v>106</v>
      </c>
      <c r="Q177" s="28">
        <v>1</v>
      </c>
      <c r="R177" s="1145">
        <v>12</v>
      </c>
      <c r="S177" s="560">
        <v>7</v>
      </c>
      <c r="T177" s="118"/>
      <c r="U177" s="57"/>
    </row>
    <row r="178" spans="1:21" s="9" customFormat="1" ht="15" customHeight="1" x14ac:dyDescent="0.2">
      <c r="A178" s="1436"/>
      <c r="B178" s="1002"/>
      <c r="C178" s="2"/>
      <c r="D178" s="1810"/>
      <c r="E178" s="1890"/>
      <c r="F178" s="996"/>
      <c r="G178" s="1105"/>
      <c r="H178" s="1459"/>
      <c r="I178" s="999"/>
      <c r="K178" s="1106"/>
      <c r="M178" s="1137"/>
      <c r="N178" s="1106"/>
      <c r="O178" s="1107"/>
      <c r="P178" s="499" t="s">
        <v>100</v>
      </c>
      <c r="Q178" s="28">
        <v>10</v>
      </c>
      <c r="R178" s="4">
        <v>14</v>
      </c>
      <c r="S178" s="560">
        <v>6</v>
      </c>
      <c r="T178" s="118"/>
      <c r="U178" s="57"/>
    </row>
    <row r="179" spans="1:21" s="9" customFormat="1" ht="15" customHeight="1" x14ac:dyDescent="0.2">
      <c r="A179" s="1436"/>
      <c r="B179" s="1002"/>
      <c r="C179" s="2"/>
      <c r="D179" s="1810"/>
      <c r="E179" s="1890"/>
      <c r="F179" s="996"/>
      <c r="G179" s="1458"/>
      <c r="H179" s="1619"/>
      <c r="I179" s="1620"/>
      <c r="J179" s="998"/>
      <c r="K179" s="1459"/>
      <c r="L179" s="998"/>
      <c r="M179" s="1105"/>
      <c r="N179" s="1459"/>
      <c r="O179" s="999"/>
      <c r="P179" s="464" t="s">
        <v>252</v>
      </c>
      <c r="Q179" s="30">
        <v>5</v>
      </c>
      <c r="R179" s="1146">
        <v>60</v>
      </c>
      <c r="S179" s="1470">
        <v>35</v>
      </c>
      <c r="T179" s="118"/>
      <c r="U179" s="57"/>
    </row>
    <row r="180" spans="1:21" s="9" customFormat="1" ht="15.75" customHeight="1" x14ac:dyDescent="0.2">
      <c r="A180" s="1436"/>
      <c r="B180" s="1002"/>
      <c r="C180" s="2"/>
      <c r="D180" s="1809" t="s">
        <v>216</v>
      </c>
      <c r="E180" s="1446" t="s">
        <v>262</v>
      </c>
      <c r="F180" s="996"/>
      <c r="G180" s="1458"/>
      <c r="H180" s="1619"/>
      <c r="I180" s="1620"/>
      <c r="J180" s="998"/>
      <c r="K180" s="1459"/>
      <c r="L180" s="998"/>
      <c r="M180" s="1105"/>
      <c r="N180" s="1459"/>
      <c r="O180" s="999"/>
      <c r="P180" s="1879" t="s">
        <v>100</v>
      </c>
      <c r="Q180" s="1881"/>
      <c r="R180" s="1883"/>
      <c r="S180" s="1885">
        <v>52</v>
      </c>
      <c r="T180" s="1887"/>
      <c r="U180" s="57"/>
    </row>
    <row r="181" spans="1:21" s="9" customFormat="1" ht="15.75" customHeight="1" thickBot="1" x14ac:dyDescent="0.25">
      <c r="A181" s="1437"/>
      <c r="B181" s="678"/>
      <c r="C181" s="637"/>
      <c r="D181" s="1811"/>
      <c r="E181" s="1063"/>
      <c r="F181" s="8" t="s">
        <v>16</v>
      </c>
      <c r="G181" s="16">
        <f>SUM(G175:G180)</f>
        <v>314</v>
      </c>
      <c r="H181" s="63">
        <f>SUM(H175:H180)</f>
        <v>314</v>
      </c>
      <c r="I181" s="427"/>
      <c r="J181" s="1109">
        <f t="shared" ref="J181:N181" si="11">SUM(J175:J180)</f>
        <v>281.2</v>
      </c>
      <c r="K181" s="63">
        <f t="shared" si="11"/>
        <v>281.2</v>
      </c>
      <c r="L181" s="1109"/>
      <c r="M181" s="16">
        <f t="shared" si="11"/>
        <v>213.9</v>
      </c>
      <c r="N181" s="63">
        <f t="shared" si="11"/>
        <v>213.9</v>
      </c>
      <c r="O181" s="427"/>
      <c r="P181" s="1880"/>
      <c r="Q181" s="1882"/>
      <c r="R181" s="1884"/>
      <c r="S181" s="1886"/>
      <c r="T181" s="1888"/>
      <c r="U181" s="648"/>
    </row>
    <row r="182" spans="1:21" ht="15.75" customHeight="1" thickBot="1" x14ac:dyDescent="0.25">
      <c r="A182" s="229" t="s">
        <v>17</v>
      </c>
      <c r="B182" s="213" t="s">
        <v>17</v>
      </c>
      <c r="C182" s="1900" t="s">
        <v>20</v>
      </c>
      <c r="D182" s="1901"/>
      <c r="E182" s="1901"/>
      <c r="F182" s="1901"/>
      <c r="G182" s="394">
        <f>G172+G174+G181</f>
        <v>417</v>
      </c>
      <c r="H182" s="424">
        <f>H172+H174+H181</f>
        <v>417</v>
      </c>
      <c r="I182" s="431"/>
      <c r="J182" s="1640">
        <f>J172+J174+J181</f>
        <v>330.59999999999997</v>
      </c>
      <c r="K182" s="424">
        <f>K172+K174+K181</f>
        <v>330.59999999999997</v>
      </c>
      <c r="L182" s="1640"/>
      <c r="M182" s="394">
        <f>M172+M174+M181</f>
        <v>213.9</v>
      </c>
      <c r="N182" s="424">
        <f>N172+N174+N181</f>
        <v>213.9</v>
      </c>
      <c r="O182" s="431"/>
      <c r="P182" s="273"/>
      <c r="Q182" s="273"/>
      <c r="R182" s="273"/>
      <c r="S182" s="273"/>
      <c r="T182" s="233"/>
    </row>
    <row r="183" spans="1:21" ht="15.75" customHeight="1" thickBot="1" x14ac:dyDescent="0.25">
      <c r="A183" s="229" t="s">
        <v>17</v>
      </c>
      <c r="B183" s="253" t="s">
        <v>19</v>
      </c>
      <c r="C183" s="1873" t="s">
        <v>33</v>
      </c>
      <c r="D183" s="1851"/>
      <c r="E183" s="1851"/>
      <c r="F183" s="1851"/>
      <c r="G183" s="1851"/>
      <c r="H183" s="1851"/>
      <c r="I183" s="1851"/>
      <c r="J183" s="1851"/>
      <c r="K183" s="1851"/>
      <c r="L183" s="1851"/>
      <c r="M183" s="1851"/>
      <c r="N183" s="1851"/>
      <c r="O183" s="1851"/>
      <c r="P183" s="1851"/>
      <c r="Q183" s="1851"/>
      <c r="R183" s="1851"/>
      <c r="S183" s="1851"/>
      <c r="T183" s="1874"/>
    </row>
    <row r="184" spans="1:21" ht="15.75" customHeight="1" x14ac:dyDescent="0.2">
      <c r="A184" s="234" t="s">
        <v>17</v>
      </c>
      <c r="B184" s="209" t="s">
        <v>19</v>
      </c>
      <c r="C184" s="210" t="s">
        <v>14</v>
      </c>
      <c r="D184" s="1902" t="s">
        <v>34</v>
      </c>
      <c r="E184" s="1641"/>
      <c r="F184" s="49" t="s">
        <v>15</v>
      </c>
      <c r="G184" s="322">
        <f>1980.8+115</f>
        <v>2095.8000000000002</v>
      </c>
      <c r="H184" s="323">
        <f>1980.8+115</f>
        <v>2095.8000000000002</v>
      </c>
      <c r="I184" s="356"/>
      <c r="J184" s="1642">
        <f>2471.8-310</f>
        <v>2161.8000000000002</v>
      </c>
      <c r="K184" s="323">
        <f>2471.8-310</f>
        <v>2161.8000000000002</v>
      </c>
      <c r="L184" s="324"/>
      <c r="M184" s="803">
        <f>2431.8-370</f>
        <v>2061.8000000000002</v>
      </c>
      <c r="N184" s="155">
        <f>2431.8-370</f>
        <v>2061.8000000000002</v>
      </c>
      <c r="O184" s="332"/>
      <c r="P184" s="983"/>
      <c r="Q184" s="705"/>
      <c r="R184" s="706"/>
      <c r="S184" s="1643"/>
      <c r="T184" s="707"/>
    </row>
    <row r="185" spans="1:21" ht="15.75" customHeight="1" x14ac:dyDescent="0.2">
      <c r="A185" s="198"/>
      <c r="B185" s="199"/>
      <c r="C185" s="200"/>
      <c r="D185" s="1903"/>
      <c r="E185" s="1057"/>
      <c r="F185" s="390" t="s">
        <v>87</v>
      </c>
      <c r="G185" s="96">
        <f>89.4+200</f>
        <v>289.39999999999998</v>
      </c>
      <c r="H185" s="84">
        <f>89.4+200</f>
        <v>289.39999999999998</v>
      </c>
      <c r="I185" s="413"/>
      <c r="J185" s="382">
        <f>SUMIF(F187:F205,F185,J187:J205)</f>
        <v>0</v>
      </c>
      <c r="K185" s="84">
        <f>SUMIF(G187:G205,G185,K187:K205)</f>
        <v>0</v>
      </c>
      <c r="L185" s="325"/>
      <c r="M185" s="357">
        <f>SUMIF(F187:F205,F185,M187:M205)</f>
        <v>0</v>
      </c>
      <c r="N185" s="330">
        <f>SUMIF(G187:G205,G185,N187:N205)</f>
        <v>0</v>
      </c>
      <c r="O185" s="331"/>
      <c r="P185" s="1457"/>
      <c r="Q185" s="712"/>
      <c r="R185" s="242"/>
      <c r="S185" s="1644"/>
      <c r="T185" s="713"/>
    </row>
    <row r="186" spans="1:21" ht="15.75" customHeight="1" x14ac:dyDescent="0.2">
      <c r="A186" s="198"/>
      <c r="B186" s="199"/>
      <c r="C186" s="200"/>
      <c r="D186" s="1903"/>
      <c r="E186" s="1057"/>
      <c r="F186" s="67" t="s">
        <v>18</v>
      </c>
      <c r="G186" s="96">
        <v>2.6</v>
      </c>
      <c r="H186" s="84">
        <v>2.6</v>
      </c>
      <c r="I186" s="413"/>
      <c r="J186" s="382">
        <v>2.6</v>
      </c>
      <c r="K186" s="84">
        <v>2.6</v>
      </c>
      <c r="L186" s="325"/>
      <c r="M186" s="413">
        <v>2.6</v>
      </c>
      <c r="N186" s="330">
        <v>2.6</v>
      </c>
      <c r="O186" s="331"/>
      <c r="P186" s="1460"/>
      <c r="Q186" s="712"/>
      <c r="R186" s="242"/>
      <c r="S186" s="1644"/>
      <c r="T186" s="713"/>
    </row>
    <row r="187" spans="1:21" ht="30.75" customHeight="1" x14ac:dyDescent="0.2">
      <c r="A187" s="198"/>
      <c r="B187" s="199"/>
      <c r="C187" s="241"/>
      <c r="D187" s="1904" t="s">
        <v>337</v>
      </c>
      <c r="E187" s="1057"/>
      <c r="F187" s="56"/>
      <c r="G187" s="134"/>
      <c r="H187" s="130"/>
      <c r="I187" s="138"/>
      <c r="J187" s="1476"/>
      <c r="K187" s="130"/>
      <c r="L187" s="15"/>
      <c r="M187" s="138"/>
      <c r="N187" s="130"/>
      <c r="O187" s="15"/>
      <c r="P187" s="1451" t="s">
        <v>136</v>
      </c>
      <c r="Q187" s="565">
        <v>20</v>
      </c>
      <c r="R187" s="566">
        <v>18</v>
      </c>
      <c r="S187" s="717">
        <v>18</v>
      </c>
      <c r="T187" s="567"/>
    </row>
    <row r="188" spans="1:21" ht="75" customHeight="1" x14ac:dyDescent="0.2">
      <c r="A188" s="198"/>
      <c r="B188" s="199"/>
      <c r="C188" s="241"/>
      <c r="D188" s="1905"/>
      <c r="E188" s="1057"/>
      <c r="F188" s="56"/>
      <c r="G188" s="134"/>
      <c r="H188" s="130"/>
      <c r="I188" s="138"/>
      <c r="J188" s="1476"/>
      <c r="K188" s="130"/>
      <c r="L188" s="15"/>
      <c r="M188" s="138"/>
      <c r="N188" s="130"/>
      <c r="O188" s="15"/>
      <c r="P188" s="1451"/>
      <c r="Q188" s="727"/>
      <c r="R188" s="728"/>
      <c r="S188" s="1645"/>
      <c r="T188" s="418"/>
    </row>
    <row r="189" spans="1:21" s="57" customFormat="1" ht="16.5" customHeight="1" x14ac:dyDescent="0.2">
      <c r="A189" s="198"/>
      <c r="B189" s="199"/>
      <c r="C189" s="241"/>
      <c r="D189" s="1904" t="s">
        <v>77</v>
      </c>
      <c r="E189" s="1057"/>
      <c r="F189" s="56"/>
      <c r="G189" s="134"/>
      <c r="H189" s="130"/>
      <c r="I189" s="138"/>
      <c r="J189" s="1476"/>
      <c r="K189" s="130"/>
      <c r="L189" s="15"/>
      <c r="M189" s="138"/>
      <c r="N189" s="130"/>
      <c r="O189" s="15"/>
      <c r="P189" s="1443" t="s">
        <v>100</v>
      </c>
      <c r="Q189" s="565">
        <v>93</v>
      </c>
      <c r="R189" s="717">
        <v>93</v>
      </c>
      <c r="S189" s="717">
        <v>93</v>
      </c>
      <c r="T189" s="418"/>
    </row>
    <row r="190" spans="1:21" s="57" customFormat="1" ht="16.5" customHeight="1" x14ac:dyDescent="0.2">
      <c r="A190" s="198"/>
      <c r="B190" s="199"/>
      <c r="C190" s="241"/>
      <c r="D190" s="1905"/>
      <c r="E190" s="1057"/>
      <c r="F190" s="56"/>
      <c r="G190" s="134"/>
      <c r="H190" s="130"/>
      <c r="I190" s="138"/>
      <c r="J190" s="1476"/>
      <c r="K190" s="130"/>
      <c r="L190" s="15"/>
      <c r="M190" s="138"/>
      <c r="N190" s="130"/>
      <c r="O190" s="15"/>
      <c r="P190" s="1439"/>
      <c r="Q190" s="718"/>
      <c r="R190" s="719"/>
      <c r="S190" s="1646"/>
      <c r="T190" s="418"/>
    </row>
    <row r="191" spans="1:21" ht="28.5" customHeight="1" x14ac:dyDescent="0.2">
      <c r="A191" s="198"/>
      <c r="B191" s="199"/>
      <c r="C191" s="241"/>
      <c r="D191" s="720" t="s">
        <v>38</v>
      </c>
      <c r="E191" s="1057"/>
      <c r="F191" s="56"/>
      <c r="G191" s="134"/>
      <c r="H191" s="130"/>
      <c r="I191" s="138"/>
      <c r="J191" s="1476"/>
      <c r="K191" s="130"/>
      <c r="L191" s="15"/>
      <c r="M191" s="138"/>
      <c r="N191" s="130"/>
      <c r="O191" s="15"/>
      <c r="P191" s="1439" t="s">
        <v>137</v>
      </c>
      <c r="Q191" s="718">
        <v>30</v>
      </c>
      <c r="R191" s="719">
        <v>30</v>
      </c>
      <c r="S191" s="1646">
        <v>30</v>
      </c>
      <c r="T191" s="418"/>
    </row>
    <row r="192" spans="1:21" ht="29.25" customHeight="1" x14ac:dyDescent="0.2">
      <c r="A192" s="198"/>
      <c r="B192" s="199"/>
      <c r="C192" s="241"/>
      <c r="D192" s="720" t="s">
        <v>40</v>
      </c>
      <c r="E192" s="1057"/>
      <c r="F192" s="56"/>
      <c r="G192" s="134"/>
      <c r="H192" s="130"/>
      <c r="I192" s="138"/>
      <c r="J192" s="1476"/>
      <c r="K192" s="130"/>
      <c r="L192" s="15"/>
      <c r="M192" s="138"/>
      <c r="N192" s="130"/>
      <c r="O192" s="15"/>
      <c r="P192" s="1439" t="s">
        <v>138</v>
      </c>
      <c r="Q192" s="718">
        <v>4</v>
      </c>
      <c r="R192" s="719">
        <v>4</v>
      </c>
      <c r="S192" s="1646">
        <v>4</v>
      </c>
      <c r="T192" s="418"/>
    </row>
    <row r="193" spans="1:23" ht="18" customHeight="1" x14ac:dyDescent="0.2">
      <c r="A193" s="198"/>
      <c r="B193" s="199"/>
      <c r="C193" s="241"/>
      <c r="D193" s="714" t="s">
        <v>37</v>
      </c>
      <c r="E193" s="1057"/>
      <c r="F193" s="56"/>
      <c r="G193" s="134"/>
      <c r="H193" s="130"/>
      <c r="I193" s="138"/>
      <c r="J193" s="1476"/>
      <c r="K193" s="130"/>
      <c r="L193" s="15"/>
      <c r="M193" s="138"/>
      <c r="N193" s="130"/>
      <c r="O193" s="15"/>
      <c r="P193" s="715" t="s">
        <v>41</v>
      </c>
      <c r="Q193" s="725">
        <v>37.700000000000003</v>
      </c>
      <c r="R193" s="670">
        <f>+Q193</f>
        <v>37.700000000000003</v>
      </c>
      <c r="S193" s="1647">
        <f>+Q193</f>
        <v>37.700000000000003</v>
      </c>
      <c r="T193" s="1648"/>
      <c r="U193" s="57"/>
    </row>
    <row r="194" spans="1:23" ht="14.25" customHeight="1" x14ac:dyDescent="0.2">
      <c r="A194" s="198"/>
      <c r="B194" s="199"/>
      <c r="C194" s="200"/>
      <c r="D194" s="1449" t="s">
        <v>39</v>
      </c>
      <c r="E194" s="1057"/>
      <c r="F194" s="56"/>
      <c r="G194" s="134"/>
      <c r="H194" s="130"/>
      <c r="I194" s="138"/>
      <c r="J194" s="1476"/>
      <c r="K194" s="130"/>
      <c r="L194" s="15"/>
      <c r="M194" s="138"/>
      <c r="N194" s="130"/>
      <c r="O194" s="15"/>
      <c r="P194" s="1906" t="s">
        <v>140</v>
      </c>
      <c r="Q194" s="727">
        <v>101</v>
      </c>
      <c r="R194" s="728">
        <v>101</v>
      </c>
      <c r="S194" s="1645">
        <v>101</v>
      </c>
      <c r="T194" s="418"/>
      <c r="U194" s="57"/>
    </row>
    <row r="195" spans="1:23" ht="14.25" customHeight="1" x14ac:dyDescent="0.2">
      <c r="A195" s="198"/>
      <c r="B195" s="199"/>
      <c r="C195" s="200"/>
      <c r="D195" s="729"/>
      <c r="E195" s="1057"/>
      <c r="F195" s="56"/>
      <c r="G195" s="134"/>
      <c r="H195" s="130"/>
      <c r="I195" s="138"/>
      <c r="J195" s="1476"/>
      <c r="K195" s="130"/>
      <c r="L195" s="15"/>
      <c r="M195" s="138"/>
      <c r="N195" s="130"/>
      <c r="O195" s="15"/>
      <c r="P195" s="1907"/>
      <c r="Q195" s="727"/>
      <c r="R195" s="728"/>
      <c r="S195" s="1645"/>
      <c r="T195" s="418"/>
      <c r="U195" s="57"/>
    </row>
    <row r="196" spans="1:23" ht="14.25" customHeight="1" x14ac:dyDescent="0.2">
      <c r="A196" s="198"/>
      <c r="B196" s="199"/>
      <c r="C196" s="200"/>
      <c r="D196" s="1450"/>
      <c r="E196" s="1057"/>
      <c r="F196" s="1119"/>
      <c r="G196" s="134"/>
      <c r="H196" s="130"/>
      <c r="I196" s="138"/>
      <c r="J196" s="1476"/>
      <c r="K196" s="130"/>
      <c r="L196" s="15"/>
      <c r="M196" s="138"/>
      <c r="N196" s="130"/>
      <c r="O196" s="15"/>
      <c r="P196" s="1908"/>
      <c r="Q196" s="727"/>
      <c r="R196" s="728"/>
      <c r="S196" s="1645"/>
      <c r="T196" s="418"/>
      <c r="U196" s="57"/>
    </row>
    <row r="197" spans="1:23" ht="27" customHeight="1" x14ac:dyDescent="0.2">
      <c r="A197" s="198"/>
      <c r="B197" s="199"/>
      <c r="C197" s="241"/>
      <c r="D197" s="731" t="s">
        <v>48</v>
      </c>
      <c r="E197" s="985"/>
      <c r="F197" s="1119"/>
      <c r="G197" s="134"/>
      <c r="H197" s="130"/>
      <c r="I197" s="138"/>
      <c r="J197" s="1476"/>
      <c r="K197" s="130"/>
      <c r="L197" s="15"/>
      <c r="M197" s="138"/>
      <c r="N197" s="130"/>
      <c r="O197" s="15"/>
      <c r="P197" s="733" t="s">
        <v>100</v>
      </c>
      <c r="Q197" s="561">
        <v>11</v>
      </c>
      <c r="R197" s="716">
        <v>12</v>
      </c>
      <c r="S197" s="1649">
        <v>12</v>
      </c>
      <c r="T197" s="418"/>
      <c r="U197" s="989"/>
    </row>
    <row r="198" spans="1:23" ht="31.5" customHeight="1" x14ac:dyDescent="0.2">
      <c r="A198" s="198"/>
      <c r="B198" s="199"/>
      <c r="C198" s="241"/>
      <c r="D198" s="1448" t="s">
        <v>308</v>
      </c>
      <c r="E198" s="985"/>
      <c r="F198" s="584"/>
      <c r="G198" s="134"/>
      <c r="H198" s="130"/>
      <c r="I198" s="138"/>
      <c r="J198" s="1476"/>
      <c r="K198" s="130"/>
      <c r="L198" s="15"/>
      <c r="M198" s="138"/>
      <c r="N198" s="130"/>
      <c r="O198" s="15"/>
      <c r="P198" s="733" t="s">
        <v>100</v>
      </c>
      <c r="Q198" s="718">
        <v>9</v>
      </c>
      <c r="R198" s="719">
        <v>9</v>
      </c>
      <c r="S198" s="1646">
        <v>9</v>
      </c>
      <c r="T198" s="418"/>
    </row>
    <row r="199" spans="1:23" ht="18" customHeight="1" x14ac:dyDescent="0.2">
      <c r="A199" s="198"/>
      <c r="B199" s="199"/>
      <c r="C199" s="241"/>
      <c r="D199" s="1428" t="s">
        <v>71</v>
      </c>
      <c r="E199" s="994"/>
      <c r="F199" s="1119"/>
      <c r="G199" s="134"/>
      <c r="H199" s="130"/>
      <c r="I199" s="138"/>
      <c r="J199" s="1476"/>
      <c r="K199" s="130"/>
      <c r="L199" s="15"/>
      <c r="M199" s="138"/>
      <c r="N199" s="130"/>
      <c r="O199" s="138"/>
      <c r="P199" s="733" t="s">
        <v>100</v>
      </c>
      <c r="Q199" s="718">
        <v>9</v>
      </c>
      <c r="R199" s="719">
        <v>11</v>
      </c>
      <c r="S199" s="1646">
        <v>11</v>
      </c>
      <c r="T199" s="418"/>
    </row>
    <row r="200" spans="1:23" ht="27.75" customHeight="1" x14ac:dyDescent="0.2">
      <c r="A200" s="198"/>
      <c r="B200" s="199"/>
      <c r="C200" s="200"/>
      <c r="D200" s="1773" t="s">
        <v>338</v>
      </c>
      <c r="E200" s="1891" t="s">
        <v>47</v>
      </c>
      <c r="F200" s="56"/>
      <c r="G200" s="134"/>
      <c r="H200" s="130"/>
      <c r="I200" s="138"/>
      <c r="J200" s="1476"/>
      <c r="K200" s="130"/>
      <c r="L200" s="1120"/>
      <c r="M200" s="138"/>
      <c r="N200" s="130"/>
      <c r="O200" s="15"/>
      <c r="P200" s="1451" t="s">
        <v>142</v>
      </c>
      <c r="Q200" s="718">
        <v>1</v>
      </c>
      <c r="R200" s="719">
        <v>1</v>
      </c>
      <c r="S200" s="1646">
        <v>1</v>
      </c>
      <c r="T200" s="418"/>
      <c r="V200" s="1456"/>
    </row>
    <row r="201" spans="1:23" ht="27.75" customHeight="1" x14ac:dyDescent="0.2">
      <c r="A201" s="198"/>
      <c r="B201" s="199"/>
      <c r="C201" s="200"/>
      <c r="D201" s="1775"/>
      <c r="E201" s="1892"/>
      <c r="F201" s="56"/>
      <c r="G201" s="134"/>
      <c r="H201" s="130"/>
      <c r="I201" s="138"/>
      <c r="J201" s="1476"/>
      <c r="K201" s="130"/>
      <c r="L201" s="15"/>
      <c r="M201" s="138"/>
      <c r="N201" s="130"/>
      <c r="O201" s="15"/>
      <c r="P201" s="715" t="s">
        <v>150</v>
      </c>
      <c r="Q201" s="565">
        <v>4</v>
      </c>
      <c r="R201" s="566">
        <v>3</v>
      </c>
      <c r="S201" s="717">
        <v>3</v>
      </c>
      <c r="T201" s="418"/>
    </row>
    <row r="202" spans="1:23" ht="28.5" customHeight="1" x14ac:dyDescent="0.2">
      <c r="A202" s="198"/>
      <c r="B202" s="199"/>
      <c r="C202" s="200"/>
      <c r="D202" s="461" t="s">
        <v>118</v>
      </c>
      <c r="E202" s="1147"/>
      <c r="F202" s="56"/>
      <c r="G202" s="134"/>
      <c r="H202" s="130"/>
      <c r="I202" s="138"/>
      <c r="J202" s="1476"/>
      <c r="K202" s="130"/>
      <c r="L202" s="15"/>
      <c r="M202" s="138"/>
      <c r="N202" s="130"/>
      <c r="O202" s="15"/>
      <c r="P202" s="1443" t="s">
        <v>100</v>
      </c>
      <c r="Q202" s="565">
        <v>33</v>
      </c>
      <c r="R202" s="566">
        <v>33</v>
      </c>
      <c r="S202" s="717">
        <v>33</v>
      </c>
      <c r="T202" s="418"/>
    </row>
    <row r="203" spans="1:23" ht="16.5" customHeight="1" x14ac:dyDescent="0.2">
      <c r="A203" s="198"/>
      <c r="B203" s="199"/>
      <c r="C203" s="200"/>
      <c r="D203" s="1893" t="s">
        <v>339</v>
      </c>
      <c r="E203" s="735"/>
      <c r="F203" s="1457"/>
      <c r="G203" s="134"/>
      <c r="H203" s="130"/>
      <c r="I203" s="138"/>
      <c r="J203" s="1476"/>
      <c r="K203" s="130"/>
      <c r="L203" s="15"/>
      <c r="M203" s="138"/>
      <c r="N203" s="130"/>
      <c r="O203" s="138"/>
      <c r="P203" s="381" t="s">
        <v>100</v>
      </c>
      <c r="Q203" s="565">
        <v>3</v>
      </c>
      <c r="R203" s="717"/>
      <c r="S203" s="717"/>
      <c r="T203" s="418"/>
    </row>
    <row r="204" spans="1:23" ht="14.25" customHeight="1" x14ac:dyDescent="0.2">
      <c r="A204" s="198"/>
      <c r="B204" s="199"/>
      <c r="C204" s="200"/>
      <c r="D204" s="1894"/>
      <c r="E204" s="735"/>
      <c r="F204" s="1457"/>
      <c r="G204" s="134"/>
      <c r="H204" s="130"/>
      <c r="I204" s="138"/>
      <c r="J204" s="1476"/>
      <c r="K204" s="130"/>
      <c r="L204" s="15"/>
      <c r="M204" s="138"/>
      <c r="N204" s="130"/>
      <c r="O204" s="15"/>
      <c r="P204" s="1451"/>
      <c r="Q204" s="727"/>
      <c r="R204" s="728"/>
      <c r="S204" s="1645"/>
      <c r="T204" s="418"/>
    </row>
    <row r="205" spans="1:23" ht="31.5" customHeight="1" x14ac:dyDescent="0.2">
      <c r="A205" s="198"/>
      <c r="B205" s="199"/>
      <c r="C205" s="241"/>
      <c r="D205" s="1149" t="s">
        <v>207</v>
      </c>
      <c r="E205" s="985"/>
      <c r="F205" s="1119"/>
      <c r="G205" s="134"/>
      <c r="H205" s="130"/>
      <c r="I205" s="138"/>
      <c r="J205" s="1476"/>
      <c r="K205" s="130"/>
      <c r="L205" s="15"/>
      <c r="M205" s="138"/>
      <c r="N205" s="130"/>
      <c r="O205" s="15"/>
      <c r="P205" s="381" t="s">
        <v>100</v>
      </c>
      <c r="Q205" s="565"/>
      <c r="R205" s="566">
        <v>1</v>
      </c>
      <c r="S205" s="717"/>
      <c r="T205" s="418"/>
      <c r="U205" s="989"/>
      <c r="V205" s="1801"/>
      <c r="W205" s="1801"/>
    </row>
    <row r="206" spans="1:23" ht="16.5" customHeight="1" x14ac:dyDescent="0.2">
      <c r="A206" s="198"/>
      <c r="B206" s="199"/>
      <c r="C206" s="200"/>
      <c r="D206" s="1895" t="s">
        <v>342</v>
      </c>
      <c r="E206" s="735"/>
      <c r="F206" s="1457"/>
      <c r="G206" s="134"/>
      <c r="H206" s="130"/>
      <c r="I206" s="138"/>
      <c r="J206" s="1476"/>
      <c r="K206" s="130"/>
      <c r="L206" s="15"/>
      <c r="M206" s="138"/>
      <c r="N206" s="130"/>
      <c r="O206" s="15"/>
      <c r="P206" s="1650"/>
      <c r="Q206" s="1651"/>
      <c r="R206" s="1652"/>
      <c r="S206" s="1653"/>
      <c r="T206" s="1897" t="s">
        <v>352</v>
      </c>
    </row>
    <row r="207" spans="1:23" ht="27" customHeight="1" x14ac:dyDescent="0.2">
      <c r="A207" s="198"/>
      <c r="B207" s="199"/>
      <c r="C207" s="200"/>
      <c r="D207" s="1896"/>
      <c r="E207" s="735"/>
      <c r="F207" s="1460"/>
      <c r="G207" s="452"/>
      <c r="H207" s="127"/>
      <c r="I207" s="495"/>
      <c r="J207" s="1654"/>
      <c r="K207" s="127"/>
      <c r="L207" s="135"/>
      <c r="M207" s="495"/>
      <c r="N207" s="127"/>
      <c r="O207" s="135"/>
      <c r="P207" s="1724"/>
      <c r="Q207" s="1725"/>
      <c r="R207" s="1726"/>
      <c r="S207" s="1727"/>
      <c r="T207" s="1898"/>
    </row>
    <row r="208" spans="1:23" ht="14.25" customHeight="1" thickBot="1" x14ac:dyDescent="0.25">
      <c r="A208" s="216"/>
      <c r="B208" s="213"/>
      <c r="C208" s="214"/>
      <c r="D208" s="1655"/>
      <c r="E208" s="1723"/>
      <c r="F208" s="1656" t="s">
        <v>16</v>
      </c>
      <c r="G208" s="1657">
        <f>SUM(G184:G205)</f>
        <v>2387.8000000000002</v>
      </c>
      <c r="H208" s="1628">
        <f>SUM(H184:H205)</f>
        <v>2387.8000000000002</v>
      </c>
      <c r="I208" s="1658"/>
      <c r="J208" s="1659">
        <f>SUM(J184:J205)</f>
        <v>2164.4</v>
      </c>
      <c r="K208" s="1628">
        <f>SUM(K184:K205)</f>
        <v>2164.4</v>
      </c>
      <c r="L208" s="1660"/>
      <c r="M208" s="1658">
        <f>SUM(M184:M205)</f>
        <v>2064.4</v>
      </c>
      <c r="N208" s="1628">
        <f>SUM(N184:N205)</f>
        <v>2064.4</v>
      </c>
      <c r="O208" s="1658"/>
      <c r="P208" s="1461"/>
      <c r="Q208" s="740"/>
      <c r="R208" s="741"/>
      <c r="S208" s="1661"/>
      <c r="T208" s="1899"/>
    </row>
    <row r="209" spans="1:24" s="9" customFormat="1" ht="18" customHeight="1" x14ac:dyDescent="0.2">
      <c r="A209" s="1818" t="s">
        <v>17</v>
      </c>
      <c r="B209" s="1914" t="s">
        <v>19</v>
      </c>
      <c r="C209" s="2" t="s">
        <v>17</v>
      </c>
      <c r="D209" s="1797" t="s">
        <v>251</v>
      </c>
      <c r="E209" s="1916"/>
      <c r="F209" s="743" t="s">
        <v>15</v>
      </c>
      <c r="G209" s="744">
        <v>31.3</v>
      </c>
      <c r="H209" s="1662">
        <v>31.3</v>
      </c>
      <c r="I209" s="1663"/>
      <c r="J209" s="1664">
        <v>31.3</v>
      </c>
      <c r="K209" s="81">
        <v>31.3</v>
      </c>
      <c r="L209" s="79"/>
      <c r="M209" s="1475">
        <v>31.3</v>
      </c>
      <c r="N209" s="318">
        <v>31.3</v>
      </c>
      <c r="O209" s="367"/>
      <c r="P209" s="1799" t="s">
        <v>206</v>
      </c>
      <c r="Q209" s="1039">
        <v>300</v>
      </c>
      <c r="R209" s="747">
        <v>300</v>
      </c>
      <c r="S209" s="747">
        <v>300</v>
      </c>
      <c r="T209" s="748"/>
    </row>
    <row r="210" spans="1:24" s="9" customFormat="1" ht="16.5" customHeight="1" thickBot="1" x14ac:dyDescent="0.25">
      <c r="A210" s="1819"/>
      <c r="B210" s="1915"/>
      <c r="C210" s="50"/>
      <c r="D210" s="1798"/>
      <c r="E210" s="1917"/>
      <c r="F210" s="68" t="s">
        <v>16</v>
      </c>
      <c r="G210" s="749">
        <f t="shared" ref="G210:N210" si="12">SUM(G209:G209)</f>
        <v>31.3</v>
      </c>
      <c r="H210" s="750">
        <f t="shared" si="12"/>
        <v>31.3</v>
      </c>
      <c r="I210" s="1665"/>
      <c r="J210" s="1666">
        <f t="shared" si="12"/>
        <v>31.3</v>
      </c>
      <c r="K210" s="750">
        <f t="shared" si="12"/>
        <v>31.3</v>
      </c>
      <c r="L210" s="751"/>
      <c r="M210" s="749">
        <f t="shared" si="12"/>
        <v>31.3</v>
      </c>
      <c r="N210" s="1667">
        <f t="shared" si="12"/>
        <v>31.3</v>
      </c>
      <c r="O210" s="1668"/>
      <c r="P210" s="1918"/>
      <c r="Q210" s="1040"/>
      <c r="R210" s="754"/>
      <c r="S210" s="754"/>
      <c r="T210" s="755"/>
    </row>
    <row r="211" spans="1:24" ht="19.5" customHeight="1" x14ac:dyDescent="0.2">
      <c r="A211" s="234" t="s">
        <v>17</v>
      </c>
      <c r="B211" s="209" t="s">
        <v>19</v>
      </c>
      <c r="C211" s="252" t="s">
        <v>19</v>
      </c>
      <c r="D211" s="1797" t="s">
        <v>117</v>
      </c>
      <c r="E211" s="1919" t="s">
        <v>45</v>
      </c>
      <c r="F211" s="52" t="s">
        <v>15</v>
      </c>
      <c r="G211" s="403">
        <v>30</v>
      </c>
      <c r="H211" s="404">
        <v>30</v>
      </c>
      <c r="I211" s="1669"/>
      <c r="J211" s="1670">
        <v>30</v>
      </c>
      <c r="K211" s="404">
        <v>30</v>
      </c>
      <c r="L211" s="405"/>
      <c r="M211" s="403">
        <v>30</v>
      </c>
      <c r="N211" s="404">
        <v>30</v>
      </c>
      <c r="O211" s="405"/>
      <c r="P211" s="501" t="s">
        <v>143</v>
      </c>
      <c r="Q211" s="1041">
        <v>3</v>
      </c>
      <c r="R211" s="706">
        <v>3</v>
      </c>
      <c r="S211" s="1643">
        <v>3</v>
      </c>
      <c r="T211" s="707"/>
    </row>
    <row r="212" spans="1:24" ht="19.5" customHeight="1" x14ac:dyDescent="0.2">
      <c r="A212" s="198"/>
      <c r="B212" s="199"/>
      <c r="C212" s="245"/>
      <c r="D212" s="1774"/>
      <c r="E212" s="1920"/>
      <c r="F212" s="708"/>
      <c r="G212" s="99"/>
      <c r="H212" s="121"/>
      <c r="I212" s="120"/>
      <c r="J212" s="1671"/>
      <c r="K212" s="121"/>
      <c r="L212" s="363"/>
      <c r="M212" s="99"/>
      <c r="N212" s="66"/>
      <c r="O212" s="82"/>
      <c r="P212" s="152"/>
      <c r="Q212" s="1042"/>
      <c r="R212" s="242"/>
      <c r="S212" s="1644"/>
      <c r="T212" s="713"/>
    </row>
    <row r="213" spans="1:24" ht="15" customHeight="1" thickBot="1" x14ac:dyDescent="0.25">
      <c r="A213" s="216"/>
      <c r="B213" s="213"/>
      <c r="C213" s="254"/>
      <c r="D213" s="1433"/>
      <c r="E213" s="90" t="s">
        <v>152</v>
      </c>
      <c r="F213" s="68" t="s">
        <v>16</v>
      </c>
      <c r="G213" s="320">
        <f t="shared" ref="G213:N213" si="13">+G211</f>
        <v>30</v>
      </c>
      <c r="H213" s="423">
        <f t="shared" si="13"/>
        <v>30</v>
      </c>
      <c r="I213" s="355"/>
      <c r="J213" s="80">
        <f t="shared" si="13"/>
        <v>30</v>
      </c>
      <c r="K213" s="423">
        <f t="shared" si="13"/>
        <v>30</v>
      </c>
      <c r="L213" s="430"/>
      <c r="M213" s="320">
        <f t="shared" si="13"/>
        <v>30</v>
      </c>
      <c r="N213" s="1628">
        <f t="shared" si="13"/>
        <v>30</v>
      </c>
      <c r="O213" s="1660"/>
      <c r="P213" s="466"/>
      <c r="Q213" s="1043"/>
      <c r="S213" s="1581"/>
      <c r="T213" s="1009"/>
    </row>
    <row r="214" spans="1:24" ht="17.25" customHeight="1" x14ac:dyDescent="0.2">
      <c r="A214" s="234" t="s">
        <v>17</v>
      </c>
      <c r="B214" s="209" t="s">
        <v>19</v>
      </c>
      <c r="C214" s="237" t="s">
        <v>21</v>
      </c>
      <c r="D214" s="1802" t="s">
        <v>80</v>
      </c>
      <c r="E214" s="48"/>
      <c r="F214" s="1408" t="s">
        <v>15</v>
      </c>
      <c r="G214" s="322">
        <v>47.8</v>
      </c>
      <c r="H214" s="323">
        <v>47.8</v>
      </c>
      <c r="I214" s="356"/>
      <c r="J214" s="1642">
        <v>25.5</v>
      </c>
      <c r="K214" s="323">
        <v>25.5</v>
      </c>
      <c r="L214" s="324"/>
      <c r="M214" s="322">
        <v>25.5</v>
      </c>
      <c r="N214" s="323">
        <v>25.5</v>
      </c>
      <c r="O214" s="324"/>
      <c r="P214" s="1672"/>
      <c r="Q214" s="1044"/>
      <c r="R214" s="520"/>
      <c r="S214" s="1539"/>
      <c r="T214" s="203"/>
      <c r="U214" s="1456"/>
    </row>
    <row r="215" spans="1:24" ht="17.25" customHeight="1" x14ac:dyDescent="0.2">
      <c r="A215" s="198"/>
      <c r="B215" s="199"/>
      <c r="C215" s="241"/>
      <c r="D215" s="1803"/>
      <c r="E215" s="59"/>
      <c r="F215" s="772" t="s">
        <v>87</v>
      </c>
      <c r="G215" s="96">
        <v>7.2</v>
      </c>
      <c r="H215" s="84">
        <v>7.2</v>
      </c>
      <c r="I215" s="413"/>
      <c r="J215" s="382">
        <f>SUMIF(F218:F224,F215,J218:J224)</f>
        <v>0</v>
      </c>
      <c r="K215" s="84">
        <f>SUMIF(G218:G224,G215,K218:K224)</f>
        <v>0</v>
      </c>
      <c r="L215" s="325"/>
      <c r="M215" s="96">
        <f>SUMIF(F218:F224,F215,M218:M224)</f>
        <v>0</v>
      </c>
      <c r="N215" s="84">
        <f>SUMIF(G218:G224,G215,N218:N224)</f>
        <v>0</v>
      </c>
      <c r="O215" s="807"/>
      <c r="P215" s="1673"/>
      <c r="Q215" s="1043"/>
      <c r="S215" s="1581"/>
      <c r="T215" s="1009"/>
      <c r="U215" s="1456"/>
    </row>
    <row r="216" spans="1:24" ht="17.25" customHeight="1" x14ac:dyDescent="0.2">
      <c r="A216" s="198"/>
      <c r="B216" s="199"/>
      <c r="C216" s="241"/>
      <c r="D216" s="1444"/>
      <c r="E216" s="1405"/>
      <c r="F216" s="772" t="s">
        <v>3</v>
      </c>
      <c r="G216" s="96">
        <v>140.5</v>
      </c>
      <c r="H216" s="84">
        <v>140.5</v>
      </c>
      <c r="I216" s="413"/>
      <c r="J216" s="382">
        <v>36</v>
      </c>
      <c r="K216" s="84">
        <v>36</v>
      </c>
      <c r="L216" s="325"/>
      <c r="M216" s="96">
        <v>36</v>
      </c>
      <c r="N216" s="84">
        <v>36</v>
      </c>
      <c r="O216" s="331"/>
      <c r="P216" s="1674"/>
      <c r="Q216" s="1410"/>
      <c r="R216" s="1411"/>
      <c r="S216" s="597"/>
      <c r="T216" s="1412"/>
      <c r="U216" s="1456"/>
    </row>
    <row r="217" spans="1:24" s="257" customFormat="1" ht="41.25" customHeight="1" x14ac:dyDescent="0.2">
      <c r="A217" s="198"/>
      <c r="B217" s="199"/>
      <c r="C217" s="46"/>
      <c r="D217" s="1455" t="s">
        <v>76</v>
      </c>
      <c r="E217" s="760"/>
      <c r="F217" s="776"/>
      <c r="G217" s="134"/>
      <c r="H217" s="130"/>
      <c r="I217" s="138"/>
      <c r="J217" s="1476"/>
      <c r="K217" s="130"/>
      <c r="L217" s="15"/>
      <c r="M217" s="134"/>
      <c r="N217" s="130"/>
      <c r="O217" s="15"/>
      <c r="P217" s="1675" t="s">
        <v>145</v>
      </c>
      <c r="Q217" s="1047">
        <v>79</v>
      </c>
      <c r="R217" s="728">
        <v>79</v>
      </c>
      <c r="S217" s="1645">
        <v>79</v>
      </c>
      <c r="T217" s="418"/>
      <c r="U217" s="256"/>
      <c r="V217" s="256"/>
      <c r="W217" s="256"/>
      <c r="X217" s="256"/>
    </row>
    <row r="218" spans="1:24" s="257" customFormat="1" ht="31.5" customHeight="1" x14ac:dyDescent="0.2">
      <c r="A218" s="198"/>
      <c r="B218" s="196"/>
      <c r="C218" s="46"/>
      <c r="D218" s="1909" t="s">
        <v>340</v>
      </c>
      <c r="E218" s="760"/>
      <c r="F218" s="1124"/>
      <c r="G218" s="134"/>
      <c r="H218" s="130"/>
      <c r="I218" s="138"/>
      <c r="J218" s="1476"/>
      <c r="K218" s="130"/>
      <c r="L218" s="15"/>
      <c r="M218" s="134"/>
      <c r="N218" s="130"/>
      <c r="O218" s="15"/>
      <c r="P218" s="1676" t="s">
        <v>147</v>
      </c>
      <c r="Q218" s="104">
        <v>2</v>
      </c>
      <c r="R218" s="150">
        <v>1</v>
      </c>
      <c r="S218" s="1649">
        <v>1</v>
      </c>
      <c r="T218" s="418"/>
      <c r="U218" s="256"/>
      <c r="V218" s="256"/>
      <c r="W218" s="256"/>
      <c r="X218" s="256"/>
    </row>
    <row r="219" spans="1:24" s="257" customFormat="1" ht="20.25" customHeight="1" x14ac:dyDescent="0.2">
      <c r="A219" s="198"/>
      <c r="B219" s="196"/>
      <c r="C219" s="46"/>
      <c r="D219" s="1910"/>
      <c r="E219" s="760"/>
      <c r="F219" s="776"/>
      <c r="G219" s="134"/>
      <c r="H219" s="130"/>
      <c r="I219" s="138"/>
      <c r="J219" s="1476"/>
      <c r="K219" s="130"/>
      <c r="L219" s="15"/>
      <c r="M219" s="134"/>
      <c r="N219" s="130"/>
      <c r="O219" s="15"/>
      <c r="P219" s="1911" t="s">
        <v>179</v>
      </c>
      <c r="Q219" s="1046">
        <v>1</v>
      </c>
      <c r="R219" s="981">
        <v>1</v>
      </c>
      <c r="S219" s="1645">
        <v>1</v>
      </c>
      <c r="T219" s="418"/>
      <c r="U219" s="256"/>
      <c r="V219" s="256"/>
      <c r="W219" s="256"/>
      <c r="X219" s="256"/>
    </row>
    <row r="220" spans="1:24" s="257" customFormat="1" ht="20.25" customHeight="1" x14ac:dyDescent="0.2">
      <c r="A220" s="198"/>
      <c r="B220" s="196"/>
      <c r="C220" s="46"/>
      <c r="D220" s="1910"/>
      <c r="E220" s="760"/>
      <c r="F220" s="776"/>
      <c r="G220" s="134"/>
      <c r="H220" s="130"/>
      <c r="I220" s="138"/>
      <c r="J220" s="1476"/>
      <c r="K220" s="130"/>
      <c r="L220" s="15"/>
      <c r="M220" s="134"/>
      <c r="N220" s="130"/>
      <c r="O220" s="15"/>
      <c r="P220" s="1911"/>
      <c r="Q220" s="1047"/>
      <c r="R220" s="981"/>
      <c r="S220" s="1645"/>
      <c r="T220" s="418"/>
      <c r="U220" s="256"/>
      <c r="V220" s="256"/>
      <c r="W220" s="256"/>
      <c r="X220" s="256"/>
    </row>
    <row r="221" spans="1:24" ht="41.25" customHeight="1" x14ac:dyDescent="0.2">
      <c r="A221" s="198"/>
      <c r="B221" s="196"/>
      <c r="C221" s="46"/>
      <c r="D221" s="1910"/>
      <c r="E221" s="758"/>
      <c r="F221" s="776"/>
      <c r="G221" s="134"/>
      <c r="H221" s="130"/>
      <c r="I221" s="138"/>
      <c r="J221" s="1476"/>
      <c r="K221" s="130"/>
      <c r="L221" s="15"/>
      <c r="M221" s="134"/>
      <c r="N221" s="130"/>
      <c r="O221" s="15"/>
      <c r="P221" s="1677" t="s">
        <v>208</v>
      </c>
      <c r="Q221" s="104">
        <v>2</v>
      </c>
      <c r="R221" s="150">
        <v>1</v>
      </c>
      <c r="S221" s="1678">
        <v>1</v>
      </c>
      <c r="T221" s="1679"/>
    </row>
    <row r="222" spans="1:24" ht="42.75" customHeight="1" x14ac:dyDescent="0.2">
      <c r="A222" s="198"/>
      <c r="B222" s="196"/>
      <c r="C222" s="46"/>
      <c r="D222" s="1455"/>
      <c r="E222" s="760"/>
      <c r="F222" s="1124"/>
      <c r="G222" s="134"/>
      <c r="H222" s="130"/>
      <c r="I222" s="138"/>
      <c r="J222" s="1476"/>
      <c r="K222" s="130"/>
      <c r="L222" s="15"/>
      <c r="M222" s="134"/>
      <c r="N222" s="130"/>
      <c r="O222" s="15"/>
      <c r="P222" s="1680" t="s">
        <v>179</v>
      </c>
      <c r="Q222" s="1045"/>
      <c r="R222" s="38">
        <v>1</v>
      </c>
      <c r="S222" s="717"/>
      <c r="T222" s="418"/>
    </row>
    <row r="223" spans="1:24" ht="25.5" customHeight="1" x14ac:dyDescent="0.2">
      <c r="A223" s="198"/>
      <c r="B223" s="196"/>
      <c r="C223" s="46"/>
      <c r="D223" s="1455"/>
      <c r="E223" s="760"/>
      <c r="F223" s="1124"/>
      <c r="G223" s="452"/>
      <c r="H223" s="127"/>
      <c r="I223" s="495"/>
      <c r="J223" s="1654"/>
      <c r="K223" s="127"/>
      <c r="L223" s="135"/>
      <c r="M223" s="452"/>
      <c r="N223" s="127"/>
      <c r="O223" s="135"/>
      <c r="P223" s="1912" t="s">
        <v>208</v>
      </c>
      <c r="Q223" s="1045">
        <v>1</v>
      </c>
      <c r="R223" s="547"/>
      <c r="S223" s="717"/>
      <c r="T223" s="418"/>
      <c r="U223" s="247"/>
    </row>
    <row r="224" spans="1:24" ht="18" customHeight="1" thickBot="1" x14ac:dyDescent="0.25">
      <c r="A224" s="198"/>
      <c r="B224" s="199"/>
      <c r="C224" s="47"/>
      <c r="D224" s="1455"/>
      <c r="E224" s="760"/>
      <c r="F224" s="786" t="s">
        <v>16</v>
      </c>
      <c r="G224" s="320">
        <f>SUM(G214:G223)</f>
        <v>195.5</v>
      </c>
      <c r="H224" s="423">
        <f>SUM(H214:H223)</f>
        <v>195.5</v>
      </c>
      <c r="I224" s="355"/>
      <c r="J224" s="80">
        <f>SUM(J214:J223)</f>
        <v>61.5</v>
      </c>
      <c r="K224" s="423">
        <f>SUM(K214:K223)</f>
        <v>61.5</v>
      </c>
      <c r="L224" s="430"/>
      <c r="M224" s="320">
        <f t="shared" ref="M224:N224" si="14">SUM(M214:M223)</f>
        <v>61.5</v>
      </c>
      <c r="N224" s="1628">
        <f t="shared" si="14"/>
        <v>61.5</v>
      </c>
      <c r="O224" s="1660"/>
      <c r="P224" s="1913"/>
      <c r="Q224" s="137"/>
      <c r="R224" s="981"/>
      <c r="S224" s="29"/>
      <c r="T224" s="634"/>
    </row>
    <row r="225" spans="1:21" s="170" customFormat="1" ht="15.75" customHeight="1" x14ac:dyDescent="0.2">
      <c r="A225" s="234" t="s">
        <v>17</v>
      </c>
      <c r="B225" s="209" t="s">
        <v>19</v>
      </c>
      <c r="C225" s="311" t="s">
        <v>22</v>
      </c>
      <c r="D225" s="1797" t="s">
        <v>306</v>
      </c>
      <c r="E225" s="955"/>
      <c r="F225" s="1426" t="s">
        <v>15</v>
      </c>
      <c r="G225" s="44">
        <v>1951.3</v>
      </c>
      <c r="H225" s="89">
        <v>1951.3</v>
      </c>
      <c r="I225" s="438"/>
      <c r="J225" s="1681">
        <v>2301.3000000000002</v>
      </c>
      <c r="K225" s="219">
        <v>2301.3000000000002</v>
      </c>
      <c r="L225" s="1521"/>
      <c r="M225" s="1682">
        <v>2301.3000000000002</v>
      </c>
      <c r="N225" s="399">
        <v>2301.3000000000002</v>
      </c>
      <c r="O225" s="428"/>
      <c r="P225" s="500" t="s">
        <v>100</v>
      </c>
      <c r="Q225" s="830">
        <v>92</v>
      </c>
      <c r="R225" s="373">
        <v>92</v>
      </c>
      <c r="S225" s="34">
        <v>92</v>
      </c>
      <c r="T225" s="1005"/>
    </row>
    <row r="226" spans="1:21" ht="15.75" customHeight="1" x14ac:dyDescent="0.2">
      <c r="A226" s="198"/>
      <c r="B226" s="199"/>
      <c r="C226" s="200"/>
      <c r="D226" s="1774"/>
      <c r="E226" s="956"/>
      <c r="F226" s="5" t="s">
        <v>87</v>
      </c>
      <c r="G226" s="72">
        <v>350</v>
      </c>
      <c r="H226" s="94">
        <v>350</v>
      </c>
      <c r="I226" s="138"/>
      <c r="J226" s="1191"/>
      <c r="K226" s="1004"/>
      <c r="L226" s="41"/>
      <c r="M226" s="1183"/>
      <c r="N226" s="276"/>
      <c r="O226" s="277"/>
      <c r="P226" s="1683"/>
      <c r="Q226" s="996"/>
      <c r="R226" s="29"/>
      <c r="S226" s="17"/>
      <c r="T226" s="1005"/>
    </row>
    <row r="227" spans="1:21" ht="18" hidden="1" customHeight="1" x14ac:dyDescent="0.2">
      <c r="A227" s="198"/>
      <c r="B227" s="199"/>
      <c r="C227" s="200"/>
      <c r="D227" s="1774"/>
      <c r="E227" s="956"/>
      <c r="F227" s="562" t="s">
        <v>15</v>
      </c>
      <c r="G227" s="275"/>
      <c r="H227" s="276"/>
      <c r="I227" s="351"/>
      <c r="J227" s="1181"/>
      <c r="K227" s="276"/>
      <c r="L227" s="277"/>
      <c r="M227" s="275"/>
      <c r="N227" s="265"/>
      <c r="O227" s="41"/>
      <c r="P227" s="1683"/>
      <c r="Q227" s="996"/>
      <c r="R227" s="29"/>
      <c r="S227" s="17"/>
      <c r="T227" s="1005"/>
    </row>
    <row r="228" spans="1:21" ht="18" customHeight="1" thickBot="1" x14ac:dyDescent="0.25">
      <c r="A228" s="198"/>
      <c r="B228" s="199"/>
      <c r="C228" s="47"/>
      <c r="D228" s="1424"/>
      <c r="E228" s="760"/>
      <c r="F228" s="786" t="s">
        <v>16</v>
      </c>
      <c r="G228" s="320">
        <f>SUM(G225:G227)</f>
        <v>2301.3000000000002</v>
      </c>
      <c r="H228" s="423">
        <f>SUM(H225:H227)</f>
        <v>2301.3000000000002</v>
      </c>
      <c r="I228" s="355"/>
      <c r="J228" s="80">
        <f t="shared" ref="J228:N228" si="15">SUM(J225:J227)</f>
        <v>2301.3000000000002</v>
      </c>
      <c r="K228" s="423">
        <f t="shared" si="15"/>
        <v>2301.3000000000002</v>
      </c>
      <c r="L228" s="430"/>
      <c r="M228" s="320">
        <f t="shared" si="15"/>
        <v>2301.3000000000002</v>
      </c>
      <c r="N228" s="423">
        <f t="shared" si="15"/>
        <v>2301.3000000000002</v>
      </c>
      <c r="O228" s="1660"/>
      <c r="P228" s="1684"/>
      <c r="Q228" s="157"/>
      <c r="R228" s="147"/>
      <c r="S228" s="267"/>
      <c r="T228" s="1467"/>
    </row>
    <row r="229" spans="1:21" s="260" customFormat="1" ht="14.25" customHeight="1" thickBot="1" x14ac:dyDescent="0.25">
      <c r="A229" s="259" t="s">
        <v>17</v>
      </c>
      <c r="B229" s="250" t="s">
        <v>19</v>
      </c>
      <c r="C229" s="1843" t="s">
        <v>20</v>
      </c>
      <c r="D229" s="1844"/>
      <c r="E229" s="1844"/>
      <c r="F229" s="1844"/>
      <c r="G229" s="343">
        <f>G210+G213+G224+G208+G228</f>
        <v>4945.9000000000005</v>
      </c>
      <c r="H229" s="344">
        <f>H210+H213+H224+H208+H228</f>
        <v>4945.9000000000005</v>
      </c>
      <c r="I229" s="345"/>
      <c r="J229" s="1610">
        <f>J210+J213+J224+J208+J228</f>
        <v>4588.5</v>
      </c>
      <c r="K229" s="344">
        <f>K210+K213+K224+K208+K228</f>
        <v>4588.5</v>
      </c>
      <c r="L229" s="1526"/>
      <c r="M229" s="343">
        <f>M210+M213+M224+M208+M228</f>
        <v>4488.5</v>
      </c>
      <c r="N229" s="344">
        <f>N210+N213+N224+N208+N228</f>
        <v>4488.5</v>
      </c>
      <c r="O229" s="1526"/>
      <c r="P229" s="232"/>
      <c r="Q229" s="232"/>
      <c r="R229" s="232"/>
      <c r="S229" s="232"/>
      <c r="T229" s="233"/>
    </row>
    <row r="230" spans="1:21" s="164" customFormat="1" ht="14.25" customHeight="1" thickBot="1" x14ac:dyDescent="0.25">
      <c r="A230" s="259" t="s">
        <v>17</v>
      </c>
      <c r="B230" s="1845" t="s">
        <v>6</v>
      </c>
      <c r="C230" s="1846"/>
      <c r="D230" s="1846"/>
      <c r="E230" s="1846"/>
      <c r="F230" s="1846"/>
      <c r="G230" s="395">
        <f>G229+G182+G167</f>
        <v>14671.599999999999</v>
      </c>
      <c r="H230" s="358">
        <f>H229+H182+H167</f>
        <v>14671.599999999999</v>
      </c>
      <c r="I230" s="1685"/>
      <c r="J230" s="1686">
        <f>J229+J182+J167</f>
        <v>14397.000000000002</v>
      </c>
      <c r="K230" s="358">
        <f>K229+K182+K167</f>
        <v>14397.000000000002</v>
      </c>
      <c r="L230" s="359"/>
      <c r="M230" s="395">
        <f>M229+M182+M167</f>
        <v>8844.0999999999985</v>
      </c>
      <c r="N230" s="358">
        <f>N229+N182+N167</f>
        <v>8844.0999999999985</v>
      </c>
      <c r="O230" s="359"/>
      <c r="P230" s="160"/>
      <c r="Q230" s="160"/>
      <c r="R230" s="160"/>
      <c r="S230" s="160"/>
      <c r="T230" s="161"/>
    </row>
    <row r="231" spans="1:21" s="164" customFormat="1" ht="14.25" customHeight="1" thickBot="1" x14ac:dyDescent="0.25">
      <c r="A231" s="261" t="s">
        <v>5</v>
      </c>
      <c r="B231" s="1927" t="s">
        <v>7</v>
      </c>
      <c r="C231" s="1928"/>
      <c r="D231" s="1928"/>
      <c r="E231" s="1928"/>
      <c r="F231" s="1928"/>
      <c r="G231" s="396">
        <f>G230+G99</f>
        <v>106510.69999999998</v>
      </c>
      <c r="H231" s="396">
        <f>H230+H99</f>
        <v>106510.69999999998</v>
      </c>
      <c r="I231" s="1687"/>
      <c r="J231" s="1688">
        <f>J230+J99</f>
        <v>104387.49999999999</v>
      </c>
      <c r="K231" s="360">
        <f>K230+K99</f>
        <v>104387.49999999999</v>
      </c>
      <c r="L231" s="361"/>
      <c r="M231" s="396">
        <f>M230+M99</f>
        <v>98664.599999999977</v>
      </c>
      <c r="N231" s="360">
        <f>N230+N99</f>
        <v>98664.599999999977</v>
      </c>
      <c r="O231" s="361"/>
      <c r="P231" s="262"/>
      <c r="Q231" s="262"/>
      <c r="R231" s="262"/>
      <c r="S231" s="262"/>
      <c r="T231" s="263"/>
    </row>
    <row r="232" spans="1:21" s="164" customFormat="1" ht="2.25" hidden="1" customHeight="1" x14ac:dyDescent="0.2">
      <c r="A232" s="1929" t="s">
        <v>0</v>
      </c>
      <c r="B232" s="1929"/>
      <c r="C232" s="1929"/>
      <c r="D232" s="1929"/>
      <c r="E232" s="1929"/>
      <c r="F232" s="1929"/>
      <c r="G232" s="1929"/>
      <c r="H232" s="1929"/>
      <c r="I232" s="1929"/>
      <c r="J232" s="1929"/>
      <c r="K232" s="1929"/>
      <c r="L232" s="1929"/>
      <c r="M232" s="1929"/>
      <c r="N232" s="1689"/>
      <c r="O232" s="1689"/>
      <c r="P232" s="569"/>
      <c r="Q232" s="569"/>
      <c r="R232" s="569"/>
      <c r="S232" s="569"/>
      <c r="T232" s="569"/>
    </row>
    <row r="233" spans="1:21" s="164" customFormat="1" ht="84" hidden="1" customHeight="1" x14ac:dyDescent="0.2">
      <c r="A233" s="1930" t="s">
        <v>1</v>
      </c>
      <c r="B233" s="1931"/>
      <c r="C233" s="1931"/>
      <c r="D233" s="1931"/>
      <c r="E233" s="1931"/>
      <c r="F233" s="1932"/>
      <c r="G233" s="1690" t="s">
        <v>345</v>
      </c>
      <c r="H233" s="1691" t="s">
        <v>346</v>
      </c>
      <c r="I233" s="1692" t="s">
        <v>347</v>
      </c>
      <c r="J233" s="1693" t="s">
        <v>158</v>
      </c>
      <c r="K233" s="1694" t="s">
        <v>353</v>
      </c>
      <c r="L233" s="1695" t="s">
        <v>347</v>
      </c>
      <c r="M233" s="1693" t="s">
        <v>230</v>
      </c>
      <c r="N233" s="1694" t="s">
        <v>354</v>
      </c>
      <c r="O233" s="1696" t="s">
        <v>347</v>
      </c>
      <c r="P233" s="665"/>
      <c r="Q233" s="162"/>
      <c r="R233" s="162"/>
      <c r="S233" s="162"/>
      <c r="T233" s="162"/>
    </row>
    <row r="234" spans="1:21" s="164" customFormat="1" ht="13.5" hidden="1" customHeight="1" x14ac:dyDescent="0.2">
      <c r="A234" s="1933" t="s">
        <v>24</v>
      </c>
      <c r="B234" s="1934"/>
      <c r="C234" s="1934"/>
      <c r="D234" s="1934"/>
      <c r="E234" s="1934"/>
      <c r="F234" s="1934"/>
      <c r="G234" s="279">
        <f ca="1">+G235+G242+G243+G244+G245</f>
        <v>104243.20000000003</v>
      </c>
      <c r="H234" s="282">
        <f ca="1">+H235+H242+H243+H244+H245</f>
        <v>104243.20000000003</v>
      </c>
      <c r="I234" s="1697"/>
      <c r="J234" s="1698">
        <f ca="1">+J235+J242+J243+J244+J245</f>
        <v>103419.5</v>
      </c>
      <c r="K234" s="282">
        <f ca="1">+K235+K242+K243+K244+K245</f>
        <v>55608.6</v>
      </c>
      <c r="L234" s="1699"/>
      <c r="M234" s="279">
        <f ca="1">+M235+M242+M243+M244+M245</f>
        <v>98628.6</v>
      </c>
      <c r="N234" s="282">
        <f ca="1">+N235+N242+N243+N244+N245</f>
        <v>98628.6</v>
      </c>
      <c r="O234" s="1697">
        <f ca="1">+O235+O242+O243+O244+O245</f>
        <v>0</v>
      </c>
      <c r="P234" s="665"/>
      <c r="Q234" s="162"/>
      <c r="R234" s="162"/>
      <c r="S234" s="162"/>
      <c r="T234" s="162"/>
    </row>
    <row r="235" spans="1:21" s="164" customFormat="1" ht="13.5" hidden="1" customHeight="1" x14ac:dyDescent="0.2">
      <c r="A235" s="1935" t="s">
        <v>220</v>
      </c>
      <c r="B235" s="1936"/>
      <c r="C235" s="1936"/>
      <c r="D235" s="1936"/>
      <c r="E235" s="1936"/>
      <c r="F235" s="1936"/>
      <c r="G235" s="432">
        <f>SUM(G236:G241)</f>
        <v>98091.900000000023</v>
      </c>
      <c r="H235" s="1700">
        <f>SUM(H236:H241)</f>
        <v>98091.900000000023</v>
      </c>
      <c r="I235" s="447"/>
      <c r="J235" s="1701">
        <f t="shared" ref="J235:O235" si="16">SUM(J236:J241)</f>
        <v>103419.5</v>
      </c>
      <c r="K235" s="941">
        <f t="shared" si="16"/>
        <v>55608.6</v>
      </c>
      <c r="L235" s="1702"/>
      <c r="M235" s="432">
        <f t="shared" si="16"/>
        <v>98628.6</v>
      </c>
      <c r="N235" s="1700">
        <f t="shared" si="16"/>
        <v>98628.6</v>
      </c>
      <c r="O235" s="447">
        <f t="shared" si="16"/>
        <v>0</v>
      </c>
      <c r="P235" s="665"/>
      <c r="Q235" s="162"/>
      <c r="R235" s="162"/>
      <c r="S235" s="162"/>
      <c r="T235" s="162"/>
    </row>
    <row r="236" spans="1:21" s="164" customFormat="1" ht="14.25" hidden="1" customHeight="1" x14ac:dyDescent="0.2">
      <c r="A236" s="1921" t="s">
        <v>27</v>
      </c>
      <c r="B236" s="1922"/>
      <c r="C236" s="1922"/>
      <c r="D236" s="1922"/>
      <c r="E236" s="1922"/>
      <c r="F236" s="1922"/>
      <c r="G236" s="53">
        <f>SUMIF(F14:F227,"sb",G14:G227)</f>
        <v>44854.000000000015</v>
      </c>
      <c r="H236" s="65">
        <f>SUMIF(F14:F227,"sb",H14:H227)</f>
        <v>44854.000000000015</v>
      </c>
      <c r="I236" s="1090"/>
      <c r="J236" s="1703">
        <f>SUMIF(F14:F227,"sb",J14:J227)</f>
        <v>48761.3</v>
      </c>
      <c r="K236" s="65">
        <f>SUMIF(F13:F226,"sb",K14:K227)</f>
        <v>950.39999999999986</v>
      </c>
      <c r="L236" s="1704"/>
      <c r="M236" s="53">
        <f>SUMIF(F14:F227,"sb",M14:M227)</f>
        <v>46942.900000000009</v>
      </c>
      <c r="N236" s="65">
        <f>SUMIF(F14:F227,"sb",N14:N227)</f>
        <v>46942.900000000009</v>
      </c>
      <c r="O236" s="1090">
        <f>SUMIF(H14:H227,"sb",O14:O227)</f>
        <v>0</v>
      </c>
      <c r="P236" s="120"/>
      <c r="Q236" s="162"/>
      <c r="R236" s="162"/>
      <c r="S236" s="162"/>
      <c r="T236" s="162"/>
    </row>
    <row r="237" spans="1:21" s="164" customFormat="1" ht="15.75" hidden="1" customHeight="1" x14ac:dyDescent="0.2">
      <c r="A237" s="1921" t="s">
        <v>31</v>
      </c>
      <c r="B237" s="1922"/>
      <c r="C237" s="1922"/>
      <c r="D237" s="1922"/>
      <c r="E237" s="1922"/>
      <c r="F237" s="1922"/>
      <c r="G237" s="53">
        <f>SUMIF(F14:F226,"sb(sp)",G14:G226)</f>
        <v>5390</v>
      </c>
      <c r="H237" s="65">
        <f>SUMIF(F14:F226,"sb(sp)",H14:H226)</f>
        <v>5390</v>
      </c>
      <c r="I237" s="1090"/>
      <c r="J237" s="1703">
        <f>SUMIF(F14:F226,"sb(sp)",J14:J226)</f>
        <v>5390</v>
      </c>
      <c r="K237" s="65">
        <f>SUMIF(F14:F226,"sb(sp)",K14:K226)</f>
        <v>5390</v>
      </c>
      <c r="L237" s="1704"/>
      <c r="M237" s="53">
        <f>SUMIF(F14:F226,"sb(sp)",M14:M226)</f>
        <v>5390</v>
      </c>
      <c r="N237" s="65">
        <f>SUMIF(F14:F226,"sb(sp)",N14:N226)</f>
        <v>5390</v>
      </c>
      <c r="O237" s="1090">
        <f>SUMIF(H14:H226,"sb(sp)",O14:O226)</f>
        <v>0</v>
      </c>
      <c r="P237" s="251"/>
      <c r="Q237" s="162"/>
      <c r="R237" s="162"/>
      <c r="S237" s="162"/>
      <c r="T237" s="162"/>
    </row>
    <row r="238" spans="1:21" s="164" customFormat="1" ht="15.75" hidden="1" customHeight="1" x14ac:dyDescent="0.2">
      <c r="A238" s="1921" t="s">
        <v>156</v>
      </c>
      <c r="B238" s="1922"/>
      <c r="C238" s="1922"/>
      <c r="D238" s="1922"/>
      <c r="E238" s="1922"/>
      <c r="F238" s="1922"/>
      <c r="G238" s="53">
        <f>SUMIF(F14:F226,"sb(p)",G14:G226)</f>
        <v>0</v>
      </c>
      <c r="H238" s="65">
        <f>SUMIF(G14:G226,"sb(p)",H14:H226)</f>
        <v>0</v>
      </c>
      <c r="I238" s="1090"/>
      <c r="J238" s="1703">
        <f>SUMIF(F14:F226,"sb(p)",J14:J226)</f>
        <v>2900</v>
      </c>
      <c r="K238" s="65">
        <f>SUMIF(F14:F226,"sb(p)",K14:K226)</f>
        <v>2900</v>
      </c>
      <c r="L238" s="1704"/>
      <c r="M238" s="53">
        <f>SUMIF(F14:F226,"sb(p)",M14:M226)</f>
        <v>0</v>
      </c>
      <c r="N238" s="65">
        <f>SUMIF(F14:F226,"sb(p)",N14:N226)</f>
        <v>0</v>
      </c>
      <c r="O238" s="1090">
        <f>SUMIF(H14:H226,"sb(p)",O14:O226)</f>
        <v>0</v>
      </c>
      <c r="P238" s="251"/>
      <c r="Q238" s="162"/>
      <c r="R238" s="162"/>
      <c r="S238" s="162"/>
      <c r="T238" s="162"/>
    </row>
    <row r="239" spans="1:21" s="164" customFormat="1" ht="15.75" hidden="1" customHeight="1" x14ac:dyDescent="0.2">
      <c r="A239" s="1923" t="s">
        <v>28</v>
      </c>
      <c r="B239" s="1924"/>
      <c r="C239" s="1924"/>
      <c r="D239" s="1924"/>
      <c r="E239" s="1924"/>
      <c r="F239" s="1924"/>
      <c r="G239" s="53">
        <f>SUMIF(F14:F226,"sb(vb)",G14:G226)</f>
        <v>45993.3</v>
      </c>
      <c r="H239" s="65">
        <f>SUMIF(F14:F226,"sb(vb)",H14:H226)</f>
        <v>45993.3</v>
      </c>
      <c r="I239" s="1090"/>
      <c r="J239" s="1703">
        <f>SUMIF(F14:F226,"sb(vb)",J14:J226)</f>
        <v>45566.299999999996</v>
      </c>
      <c r="K239" s="65">
        <f>SUMIF(F14:F226,"sb(vb)",K14:K226)</f>
        <v>45566.299999999996</v>
      </c>
      <c r="L239" s="1704"/>
      <c r="M239" s="53">
        <f>SUMIF(F14:F226,"sb(vb)",M14:M226)</f>
        <v>45565.399999999994</v>
      </c>
      <c r="N239" s="65">
        <f>SUMIF(F14:F226,"sb(vb)",N14:N226)</f>
        <v>45565.399999999994</v>
      </c>
      <c r="O239" s="1090">
        <f>SUMIF(H14:H226,"sb(vb)",O14:O226)</f>
        <v>0</v>
      </c>
      <c r="P239" s="251"/>
      <c r="Q239" s="162"/>
      <c r="R239" s="162"/>
      <c r="S239" s="162"/>
      <c r="T239" s="162"/>
    </row>
    <row r="240" spans="1:21" ht="30" hidden="1" customHeight="1" x14ac:dyDescent="0.2">
      <c r="A240" s="1921" t="s">
        <v>149</v>
      </c>
      <c r="B240" s="1922"/>
      <c r="C240" s="1922"/>
      <c r="D240" s="1922"/>
      <c r="E240" s="1922"/>
      <c r="F240" s="1922"/>
      <c r="G240" s="53">
        <f>SUMIF(F14:F227,"sb(esa)",G14:G227)</f>
        <v>46.5</v>
      </c>
      <c r="H240" s="65">
        <f>SUMIF(F14:F227,"sb(esa)",H14:H227)</f>
        <v>46.5</v>
      </c>
      <c r="I240" s="1090"/>
      <c r="J240" s="1703">
        <f>SUMIF(F14:F227,"sb(esa)",J14:J227)</f>
        <v>0</v>
      </c>
      <c r="K240" s="65">
        <f>SUMIF(G14:G227,"sb(esa)",K14:K227)</f>
        <v>0</v>
      </c>
      <c r="L240" s="1704"/>
      <c r="M240" s="53">
        <f>SUMIF(F14:F227,"sb(esa)",M14:M227)</f>
        <v>0</v>
      </c>
      <c r="N240" s="65">
        <f>SUMIF(G14:G227,"sb(esa)",N14:N227)</f>
        <v>0</v>
      </c>
      <c r="O240" s="1090">
        <f>SUMIF(H14:H227,"sb(esa)",O14:O227)</f>
        <v>0</v>
      </c>
      <c r="P240" s="251"/>
      <c r="Q240" s="162"/>
      <c r="R240" s="162"/>
      <c r="S240" s="162"/>
      <c r="T240" s="162"/>
      <c r="U240" s="164"/>
    </row>
    <row r="241" spans="1:21" ht="30.75" hidden="1" customHeight="1" x14ac:dyDescent="0.2">
      <c r="A241" s="1925" t="s">
        <v>218</v>
      </c>
      <c r="B241" s="1926"/>
      <c r="C241" s="1926"/>
      <c r="D241" s="1926"/>
      <c r="E241" s="1926"/>
      <c r="F241" s="1926"/>
      <c r="G241" s="53">
        <f>SUMIF(F14:F226,"sb(es)",G14:G226)</f>
        <v>1808.1</v>
      </c>
      <c r="H241" s="65">
        <f>SUMIF(F14:F226,"sb(es)",H14:H226)</f>
        <v>1808.1</v>
      </c>
      <c r="I241" s="1090"/>
      <c r="J241" s="1703">
        <f>SUMIF(F14:F226,"sb(es)",J14:J226)</f>
        <v>801.9</v>
      </c>
      <c r="K241" s="65">
        <f>SUMIF(F14:F226,"sb(es)",K14:K226)</f>
        <v>801.9</v>
      </c>
      <c r="L241" s="1704"/>
      <c r="M241" s="53">
        <f>SUMIF(F14:F226,"sb(es)",M14:M226)</f>
        <v>730.3</v>
      </c>
      <c r="N241" s="65">
        <f>SUMIF(F14:F226,"sb(es)",N14:N226)</f>
        <v>730.3</v>
      </c>
      <c r="O241" s="1090">
        <f>SUMIF(H14:H226,"sb(es)",O14:O226)</f>
        <v>0</v>
      </c>
      <c r="P241" s="251"/>
      <c r="Q241" s="162"/>
      <c r="R241" s="162"/>
      <c r="S241" s="162"/>
      <c r="T241" s="162"/>
      <c r="U241" s="164"/>
    </row>
    <row r="242" spans="1:21" ht="15.75" hidden="1" customHeight="1" x14ac:dyDescent="0.2">
      <c r="A242" s="1945" t="s">
        <v>88</v>
      </c>
      <c r="B242" s="1945"/>
      <c r="C242" s="1945"/>
      <c r="D242" s="1945"/>
      <c r="E242" s="1945"/>
      <c r="F242" s="1946"/>
      <c r="G242" s="450">
        <f>SUMIF(F14:F227,"sb(l)",G14:G227)</f>
        <v>5240.4999999999991</v>
      </c>
      <c r="H242" s="449">
        <f>SUMIF(F14:F227,"sb(l)",H14:H227)</f>
        <v>5240.4999999999991</v>
      </c>
      <c r="I242" s="1132"/>
      <c r="J242" s="1705">
        <f>SUMIF(F14:F227,"sb(l)",J14:J227)</f>
        <v>0</v>
      </c>
      <c r="K242" s="449">
        <f>SUMIF(G14:G227,"sb(l)",K14:K227)</f>
        <v>0</v>
      </c>
      <c r="L242" s="1706"/>
      <c r="M242" s="450">
        <f>SUMIF(F14:F227,"sb(l)",M14:M227)</f>
        <v>0</v>
      </c>
      <c r="N242" s="449">
        <f>SUMIF(G14:G227,"sb(l)",N14:N227)</f>
        <v>0</v>
      </c>
      <c r="O242" s="1132">
        <f>SUMIF(H14:H227,"sb(l)",O14:O227)</f>
        <v>0</v>
      </c>
      <c r="P242" s="251"/>
      <c r="Q242" s="162"/>
      <c r="R242" s="162"/>
      <c r="S242" s="162"/>
      <c r="T242" s="162"/>
      <c r="U242" s="164"/>
    </row>
    <row r="243" spans="1:21" ht="27.75" hidden="1" customHeight="1" x14ac:dyDescent="0.2">
      <c r="A243" s="1945" t="s">
        <v>219</v>
      </c>
      <c r="B243" s="1945"/>
      <c r="C243" s="1945"/>
      <c r="D243" s="1945"/>
      <c r="E243" s="1945"/>
      <c r="F243" s="1946"/>
      <c r="G243" s="450">
        <f ca="1">SUMIF(F14:F227,"sb(esl)",G14:G226)</f>
        <v>491.8</v>
      </c>
      <c r="H243" s="449">
        <f ca="1">SUMIF(F14:F227,"sb(esl)",H14:H226)</f>
        <v>491.8</v>
      </c>
      <c r="I243" s="1132"/>
      <c r="J243" s="1705">
        <f ca="1">SUMIF(F14:F227,"sb(esl)",J14:J226)</f>
        <v>0</v>
      </c>
      <c r="K243" s="449">
        <f ca="1">SUMIF(G14:G227,"sb(esl)",K14:K226)</f>
        <v>0</v>
      </c>
      <c r="L243" s="1706"/>
      <c r="M243" s="450">
        <f ca="1">SUMIF(F14:F227,"sb(esl)",M14:M226)</f>
        <v>0</v>
      </c>
      <c r="N243" s="449">
        <f ca="1">SUMIF(G14:G227,"sb(esl)",N14:N226)</f>
        <v>0</v>
      </c>
      <c r="O243" s="1132">
        <f ca="1">SUMIF(H14:H227,"sb(esl)",O14:O226)</f>
        <v>0</v>
      </c>
      <c r="P243" s="251"/>
      <c r="Q243" s="162"/>
      <c r="R243" s="162"/>
      <c r="S243" s="162"/>
      <c r="T243" s="162"/>
      <c r="U243" s="164"/>
    </row>
    <row r="244" spans="1:21" ht="16.5" hidden="1" customHeight="1" x14ac:dyDescent="0.2">
      <c r="A244" s="1945" t="s">
        <v>63</v>
      </c>
      <c r="B244" s="1945"/>
      <c r="C244" s="1945"/>
      <c r="D244" s="1945"/>
      <c r="E244" s="1945"/>
      <c r="F244" s="1946"/>
      <c r="G244" s="450">
        <f>SUMIF(F14:F228,"sb(spl)",G14:G228)</f>
        <v>415.4</v>
      </c>
      <c r="H244" s="449">
        <f>SUMIF(F14:F228,"sb(spl)",H14:H228)</f>
        <v>415.4</v>
      </c>
      <c r="I244" s="1132"/>
      <c r="J244" s="1705">
        <f>SUMIF(F14:F223,"sb(spl)",J14:J223)</f>
        <v>0</v>
      </c>
      <c r="K244" s="449">
        <f>SUMIF(G14:G223,"sb(spl)",K14:K223)</f>
        <v>0</v>
      </c>
      <c r="L244" s="1706"/>
      <c r="M244" s="450"/>
      <c r="N244" s="449"/>
      <c r="O244" s="1132"/>
      <c r="P244" s="251"/>
      <c r="Q244" s="162"/>
      <c r="R244" s="162"/>
      <c r="S244" s="162"/>
      <c r="T244" s="162"/>
      <c r="U244" s="164"/>
    </row>
    <row r="245" spans="1:21" ht="16.5" hidden="1" customHeight="1" x14ac:dyDescent="0.2">
      <c r="A245" s="1945" t="s">
        <v>225</v>
      </c>
      <c r="B245" s="1945"/>
      <c r="C245" s="1945"/>
      <c r="D245" s="1945"/>
      <c r="E245" s="1945"/>
      <c r="F245" s="1946"/>
      <c r="G245" s="450">
        <f>SUMIF(F14:F226,"sb(vbl)",G14:G226)</f>
        <v>3.6</v>
      </c>
      <c r="H245" s="449">
        <f>SUMIF(F14:F226,"sb(vbl)",H14:H226)</f>
        <v>3.6</v>
      </c>
      <c r="I245" s="1132"/>
      <c r="J245" s="1705">
        <f>SUMIF(F12:F223,"sb(vbl)",J12:J223)</f>
        <v>0</v>
      </c>
      <c r="K245" s="449">
        <f>SUMIF(G12:G223,"sb(vbl)",K12:K223)</f>
        <v>0</v>
      </c>
      <c r="L245" s="1707"/>
      <c r="M245" s="450">
        <f>SUMIF(F23:F230,"sb(vbl)",M23:M230)</f>
        <v>0</v>
      </c>
      <c r="N245" s="449">
        <f>SUMIF(G23:G230,"sb(vbl)",N23:N230)</f>
        <v>0</v>
      </c>
      <c r="O245" s="1132">
        <f>SUMIF(H23:H230,"sb(vbl)",O23:O230)</f>
        <v>0</v>
      </c>
      <c r="P245" s="251"/>
      <c r="Q245" s="162"/>
      <c r="R245" s="162"/>
      <c r="S245" s="162"/>
      <c r="T245" s="162"/>
      <c r="U245" s="164"/>
    </row>
    <row r="246" spans="1:21" ht="17.25" hidden="1" customHeight="1" x14ac:dyDescent="0.2">
      <c r="A246" s="1947" t="s">
        <v>25</v>
      </c>
      <c r="B246" s="1948"/>
      <c r="C246" s="1948"/>
      <c r="D246" s="1948"/>
      <c r="E246" s="1948"/>
      <c r="F246" s="1948"/>
      <c r="G246" s="1708">
        <f ca="1">SUM(G247:G250)</f>
        <v>2267.5000000000005</v>
      </c>
      <c r="H246" s="948">
        <f ca="1">SUM(H247:H250)</f>
        <v>2267.5000000000005</v>
      </c>
      <c r="I246" s="1709"/>
      <c r="J246" s="1710">
        <f>SUM(J247:J249)</f>
        <v>968</v>
      </c>
      <c r="K246" s="948">
        <f>SUM(K247:K249)</f>
        <v>968</v>
      </c>
      <c r="L246" s="1711"/>
      <c r="M246" s="1708">
        <f t="shared" ref="M246:O246" si="17">SUM(M247:M249)</f>
        <v>36</v>
      </c>
      <c r="N246" s="948">
        <f t="shared" si="17"/>
        <v>36</v>
      </c>
      <c r="O246" s="1709">
        <f t="shared" si="17"/>
        <v>0</v>
      </c>
      <c r="P246" s="665"/>
      <c r="Q246" s="162"/>
      <c r="R246" s="162"/>
      <c r="S246" s="162"/>
      <c r="T246" s="162"/>
      <c r="U246" s="164"/>
    </row>
    <row r="247" spans="1:21" ht="15" hidden="1" customHeight="1" x14ac:dyDescent="0.2">
      <c r="A247" s="1949" t="s">
        <v>91</v>
      </c>
      <c r="B247" s="1950"/>
      <c r="C247" s="1950"/>
      <c r="D247" s="1950"/>
      <c r="E247" s="1950"/>
      <c r="F247" s="1950"/>
      <c r="G247" s="1712">
        <f ca="1">SUMIF(F14:F227,"lrvb",G14:G226)</f>
        <v>332.1</v>
      </c>
      <c r="H247" s="945">
        <f ca="1">SUMIF(F14:F227,"lrvb",H14:H226)</f>
        <v>332.1</v>
      </c>
      <c r="I247" s="1713"/>
      <c r="J247" s="1714">
        <f>SUMIF(F23:F223,"lrvb",J23:J223)</f>
        <v>36</v>
      </c>
      <c r="K247" s="945">
        <f>SUMIF(F23:F223,"lrvb",K23:K223)</f>
        <v>36</v>
      </c>
      <c r="L247" s="1715"/>
      <c r="M247" s="1712">
        <f>SUMIF(F14:F223,"lrvb",M14:M223)</f>
        <v>36</v>
      </c>
      <c r="N247" s="945">
        <f>SUMIF(F14:F223,"lrvb",N14:N223)</f>
        <v>36</v>
      </c>
      <c r="O247" s="1713">
        <f>SUMIF(H14:H223,"lrvb",O14:O223)</f>
        <v>0</v>
      </c>
      <c r="P247" s="251"/>
      <c r="Q247" s="162"/>
      <c r="R247" s="162"/>
      <c r="S247" s="162"/>
      <c r="T247" s="162"/>
    </row>
    <row r="248" spans="1:21" ht="27.75" hidden="1" customHeight="1" x14ac:dyDescent="0.2">
      <c r="A248" s="1922" t="s">
        <v>303</v>
      </c>
      <c r="B248" s="1922"/>
      <c r="C248" s="1922"/>
      <c r="D248" s="1922"/>
      <c r="E248" s="1922"/>
      <c r="F248" s="1937"/>
      <c r="G248" s="53">
        <f>SUMIF(F14:F226,"pfm",G14:G226)</f>
        <v>692.9</v>
      </c>
      <c r="H248" s="65">
        <f>SUMIF(F14:F226,"pfm",H14:H226)</f>
        <v>692.9</v>
      </c>
      <c r="I248" s="1090"/>
      <c r="J248" s="1703">
        <f>SUMIF(F23:F223,"pfm",J23:J223)</f>
        <v>551</v>
      </c>
      <c r="K248" s="65">
        <f>SUMIF(F23:F223,"pfm",K23:K223)</f>
        <v>551</v>
      </c>
      <c r="L248" s="1716"/>
      <c r="M248" s="53">
        <f>SUMIF(F23:F223,"pfm",M23:M223)</f>
        <v>0</v>
      </c>
      <c r="N248" s="65">
        <f>SUMIF(G23:G223,"pfm",N23:N223)</f>
        <v>0</v>
      </c>
      <c r="O248" s="1090">
        <f>SUMIF(H23:H223,"pfm",O23:O223)</f>
        <v>0</v>
      </c>
      <c r="P248" s="251"/>
      <c r="Q248" s="162"/>
      <c r="R248" s="162"/>
      <c r="S248" s="162"/>
      <c r="T248" s="162"/>
      <c r="U248" s="164"/>
    </row>
    <row r="249" spans="1:21" ht="15" hidden="1" customHeight="1" x14ac:dyDescent="0.2">
      <c r="A249" s="1938" t="s">
        <v>209</v>
      </c>
      <c r="B249" s="1939"/>
      <c r="C249" s="1939"/>
      <c r="D249" s="1939"/>
      <c r="E249" s="1939"/>
      <c r="F249" s="1939"/>
      <c r="G249" s="1717">
        <f>SUMIF(F14:F226,"es",G14:G226)</f>
        <v>1152.6000000000001</v>
      </c>
      <c r="H249" s="942">
        <f>SUMIF(F14:F226,"es",H14:H226)</f>
        <v>1152.6000000000001</v>
      </c>
      <c r="I249" s="1718"/>
      <c r="J249" s="1719">
        <f>SUMIF(F14:F223,"es",J14:J223)</f>
        <v>381</v>
      </c>
      <c r="K249" s="942">
        <f>SUMIF(F14:F223,"es",K14:K223)</f>
        <v>381</v>
      </c>
      <c r="L249" s="1720"/>
      <c r="M249" s="1717">
        <f>SUMIF(F23:F224,"es",M23:M224)</f>
        <v>0</v>
      </c>
      <c r="N249" s="942">
        <f>SUMIF(G23:G224,"es",N23:N224)</f>
        <v>0</v>
      </c>
      <c r="O249" s="1718">
        <f>SUMIF(H23:H224,"es",O23:O224)</f>
        <v>0</v>
      </c>
      <c r="P249" s="251"/>
      <c r="Q249" s="162"/>
      <c r="R249" s="162"/>
      <c r="S249" s="162"/>
      <c r="T249" s="162"/>
    </row>
    <row r="250" spans="1:21" ht="15" hidden="1" customHeight="1" x14ac:dyDescent="0.2">
      <c r="A250" s="1938" t="s">
        <v>293</v>
      </c>
      <c r="B250" s="1939"/>
      <c r="C250" s="1939"/>
      <c r="D250" s="1939"/>
      <c r="E250" s="1939"/>
      <c r="F250" s="1940"/>
      <c r="G250" s="1717">
        <f>SUMIF(F21:F226,"kt",G21:G226)</f>
        <v>89.9</v>
      </c>
      <c r="H250" s="942">
        <f>SUMIF(F21:F226,"kt",H21:H226)</f>
        <v>89.9</v>
      </c>
      <c r="I250" s="1718"/>
      <c r="J250" s="1719"/>
      <c r="K250" s="942"/>
      <c r="L250" s="1720"/>
      <c r="M250" s="1717"/>
      <c r="N250" s="942"/>
      <c r="O250" s="1718"/>
      <c r="P250" s="251"/>
      <c r="Q250" s="162"/>
      <c r="R250" s="162"/>
      <c r="S250" s="162"/>
      <c r="T250" s="162"/>
    </row>
    <row r="251" spans="1:21" ht="16.5" hidden="1" customHeight="1" x14ac:dyDescent="0.2">
      <c r="A251" s="1941" t="s">
        <v>26</v>
      </c>
      <c r="B251" s="1942"/>
      <c r="C251" s="1942"/>
      <c r="D251" s="1942"/>
      <c r="E251" s="1942"/>
      <c r="F251" s="1942"/>
      <c r="G251" s="320">
        <f ca="1">G246+G234</f>
        <v>106510.70000000003</v>
      </c>
      <c r="H251" s="423">
        <f ca="1">H246+H234</f>
        <v>106510.70000000003</v>
      </c>
      <c r="I251" s="430"/>
      <c r="J251" s="1721">
        <f ca="1">J246+J234</f>
        <v>104387.5</v>
      </c>
      <c r="K251" s="423">
        <f ca="1">K246+K234</f>
        <v>56576.6</v>
      </c>
      <c r="L251" s="1722"/>
      <c r="M251" s="320">
        <f ca="1">M246+M234</f>
        <v>98664.6</v>
      </c>
      <c r="N251" s="423">
        <f ca="1">N246+N234</f>
        <v>98664.6</v>
      </c>
      <c r="O251" s="430">
        <f ca="1">O246+O234</f>
        <v>0</v>
      </c>
      <c r="P251" s="665"/>
    </row>
    <row r="252" spans="1:21" ht="22.5" customHeight="1" x14ac:dyDescent="0.2">
      <c r="A252" s="1943" t="s">
        <v>157</v>
      </c>
      <c r="B252" s="1943"/>
      <c r="C252" s="1943"/>
      <c r="D252" s="1943"/>
      <c r="E252" s="1943"/>
      <c r="F252" s="1943"/>
      <c r="G252" s="1943"/>
      <c r="H252" s="1943"/>
      <c r="I252" s="1943"/>
      <c r="J252" s="1943"/>
      <c r="K252" s="1943"/>
      <c r="L252" s="1943"/>
      <c r="M252" s="1943"/>
      <c r="N252" s="1943"/>
      <c r="O252" s="1943"/>
      <c r="P252" s="1943"/>
      <c r="Q252" s="1943"/>
      <c r="R252" s="1943"/>
      <c r="S252" s="1943"/>
      <c r="T252" s="1943"/>
    </row>
    <row r="253" spans="1:21" x14ac:dyDescent="0.2">
      <c r="D253" s="167"/>
      <c r="E253" s="1456"/>
      <c r="F253" s="989"/>
      <c r="G253" s="1257"/>
      <c r="H253" s="1257"/>
      <c r="I253" s="1257"/>
      <c r="J253" s="1257"/>
      <c r="K253" s="1257"/>
      <c r="L253" s="1257"/>
      <c r="M253" s="1257"/>
      <c r="N253" s="1257"/>
      <c r="O253" s="1257"/>
      <c r="P253" s="111"/>
    </row>
    <row r="254" spans="1:21" x14ac:dyDescent="0.2">
      <c r="D254" s="167"/>
      <c r="E254" s="1456"/>
      <c r="F254" s="372"/>
      <c r="G254" s="1258"/>
      <c r="H254" s="1258"/>
      <c r="I254" s="1258"/>
      <c r="J254" s="1257"/>
      <c r="K254" s="1257"/>
      <c r="L254" s="1257"/>
      <c r="M254" s="1944"/>
      <c r="N254" s="1944"/>
      <c r="O254" s="1944"/>
      <c r="P254" s="1944"/>
    </row>
    <row r="255" spans="1:21" x14ac:dyDescent="0.2">
      <c r="D255" s="167"/>
      <c r="E255" s="1456"/>
      <c r="F255" s="1456"/>
      <c r="G255" s="258"/>
      <c r="H255" s="258"/>
      <c r="I255" s="258"/>
      <c r="J255" s="258"/>
      <c r="K255" s="258"/>
      <c r="L255" s="258"/>
      <c r="M255" s="258"/>
      <c r="N255" s="258"/>
      <c r="O255" s="258"/>
    </row>
    <row r="256" spans="1:21" x14ac:dyDescent="0.2">
      <c r="D256" s="167"/>
      <c r="E256" s="1456"/>
      <c r="F256" s="242"/>
      <c r="G256" s="863"/>
      <c r="H256" s="863"/>
      <c r="I256" s="863"/>
      <c r="J256" s="863"/>
      <c r="K256" s="863"/>
      <c r="L256" s="863"/>
      <c r="M256" s="863"/>
      <c r="N256" s="863"/>
      <c r="O256" s="863"/>
      <c r="P256" s="864"/>
      <c r="Q256" s="167"/>
      <c r="R256" s="167"/>
      <c r="S256" s="167"/>
      <c r="T256" s="167"/>
    </row>
    <row r="257" spans="1:20" x14ac:dyDescent="0.2">
      <c r="D257" s="167"/>
      <c r="E257" s="1456"/>
      <c r="F257" s="242"/>
      <c r="G257" s="863"/>
      <c r="H257" s="863"/>
      <c r="I257" s="863"/>
      <c r="J257" s="863"/>
      <c r="K257" s="863"/>
      <c r="L257" s="863"/>
      <c r="M257" s="863"/>
      <c r="N257" s="863"/>
      <c r="O257" s="863"/>
      <c r="P257" s="864"/>
      <c r="Q257" s="167"/>
      <c r="R257" s="167"/>
      <c r="S257" s="167"/>
      <c r="T257" s="167"/>
    </row>
    <row r="258" spans="1:20" x14ac:dyDescent="0.2">
      <c r="D258" s="167"/>
      <c r="E258" s="1456"/>
      <c r="F258" s="242"/>
      <c r="G258" s="258"/>
      <c r="H258" s="258"/>
      <c r="I258" s="258"/>
      <c r="J258" s="258"/>
      <c r="K258" s="258"/>
      <c r="L258" s="258"/>
      <c r="M258" s="258"/>
      <c r="N258" s="258"/>
      <c r="O258" s="258"/>
      <c r="Q258" s="167"/>
      <c r="R258" s="167"/>
      <c r="S258" s="167"/>
      <c r="T258" s="167"/>
    </row>
    <row r="259" spans="1:20" x14ac:dyDescent="0.2">
      <c r="D259" s="167"/>
      <c r="E259" s="1456"/>
      <c r="F259" s="242"/>
      <c r="G259" s="258"/>
      <c r="H259" s="258"/>
      <c r="I259" s="258"/>
      <c r="J259" s="258"/>
      <c r="K259" s="258"/>
      <c r="L259" s="258"/>
      <c r="M259" s="258"/>
      <c r="N259" s="258"/>
      <c r="O259" s="258"/>
      <c r="Q259" s="167"/>
      <c r="R259" s="167"/>
      <c r="S259" s="167"/>
      <c r="T259" s="167"/>
    </row>
    <row r="260" spans="1:20" x14ac:dyDescent="0.2">
      <c r="D260" s="167"/>
      <c r="E260" s="1456"/>
      <c r="F260" s="242"/>
      <c r="G260" s="258"/>
      <c r="H260" s="258"/>
      <c r="I260" s="258"/>
      <c r="J260" s="258"/>
      <c r="K260" s="258"/>
      <c r="L260" s="258"/>
      <c r="M260" s="258"/>
      <c r="N260" s="258"/>
      <c r="O260" s="258"/>
      <c r="Q260" s="167"/>
      <c r="R260" s="167"/>
      <c r="S260" s="167"/>
      <c r="T260" s="167"/>
    </row>
    <row r="261" spans="1:20" x14ac:dyDescent="0.2">
      <c r="A261" s="246"/>
      <c r="B261" s="246"/>
      <c r="C261" s="246"/>
      <c r="D261" s="167"/>
      <c r="E261" s="1456"/>
      <c r="F261" s="242"/>
      <c r="G261" s="258"/>
      <c r="H261" s="258"/>
      <c r="I261" s="258"/>
      <c r="J261" s="258"/>
      <c r="K261" s="258"/>
      <c r="L261" s="258"/>
      <c r="M261" s="258"/>
      <c r="N261" s="258"/>
      <c r="O261" s="258"/>
      <c r="P261" s="167"/>
      <c r="Q261" s="167"/>
      <c r="R261" s="167"/>
      <c r="S261" s="167"/>
      <c r="T261" s="167"/>
    </row>
    <row r="262" spans="1:20" x14ac:dyDescent="0.2">
      <c r="A262" s="246"/>
      <c r="B262" s="246"/>
      <c r="C262" s="246"/>
      <c r="D262" s="167"/>
      <c r="E262" s="1456"/>
      <c r="F262" s="242"/>
      <c r="G262" s="258"/>
      <c r="H262" s="258"/>
      <c r="I262" s="258"/>
      <c r="J262" s="258"/>
      <c r="K262" s="258"/>
      <c r="L262" s="258"/>
      <c r="M262" s="258"/>
      <c r="N262" s="258"/>
      <c r="O262" s="258"/>
      <c r="P262" s="167"/>
      <c r="Q262" s="167"/>
      <c r="R262" s="167"/>
      <c r="S262" s="167"/>
      <c r="T262" s="167"/>
    </row>
    <row r="263" spans="1:20" x14ac:dyDescent="0.2">
      <c r="A263" s="246"/>
      <c r="B263" s="246"/>
      <c r="C263" s="246"/>
      <c r="D263" s="167"/>
      <c r="E263" s="1456"/>
      <c r="F263" s="242"/>
      <c r="G263" s="258"/>
      <c r="H263" s="258"/>
      <c r="I263" s="258"/>
      <c r="J263" s="258"/>
      <c r="K263" s="258"/>
      <c r="L263" s="258"/>
      <c r="M263" s="258"/>
      <c r="N263" s="258"/>
      <c r="O263" s="258"/>
      <c r="P263" s="167"/>
      <c r="Q263" s="167"/>
      <c r="R263" s="167"/>
      <c r="S263" s="167"/>
      <c r="T263" s="167"/>
    </row>
    <row r="264" spans="1:20" x14ac:dyDescent="0.2">
      <c r="A264" s="246"/>
      <c r="B264" s="246"/>
      <c r="C264" s="246"/>
      <c r="D264" s="167"/>
      <c r="E264" s="1456"/>
      <c r="F264" s="242"/>
      <c r="G264" s="258"/>
      <c r="H264" s="258"/>
      <c r="I264" s="258"/>
      <c r="J264" s="258"/>
      <c r="K264" s="258"/>
      <c r="L264" s="258"/>
      <c r="M264" s="258"/>
      <c r="N264" s="258"/>
      <c r="O264" s="258"/>
      <c r="P264" s="167"/>
      <c r="Q264" s="167"/>
      <c r="R264" s="167"/>
      <c r="S264" s="167"/>
      <c r="T264" s="167"/>
    </row>
    <row r="265" spans="1:20" x14ac:dyDescent="0.2">
      <c r="A265" s="246"/>
      <c r="B265" s="246"/>
      <c r="C265" s="246"/>
      <c r="D265" s="167"/>
      <c r="E265" s="1456"/>
      <c r="F265" s="242"/>
      <c r="G265" s="258"/>
      <c r="H265" s="258"/>
      <c r="I265" s="258"/>
      <c r="J265" s="258"/>
      <c r="K265" s="258"/>
      <c r="L265" s="258"/>
      <c r="M265" s="258"/>
      <c r="N265" s="258"/>
      <c r="O265" s="258"/>
      <c r="P265" s="167"/>
      <c r="Q265" s="167"/>
      <c r="R265" s="167"/>
      <c r="S265" s="167"/>
      <c r="T265" s="167"/>
    </row>
    <row r="266" spans="1:20" x14ac:dyDescent="0.2">
      <c r="A266" s="246"/>
      <c r="B266" s="246"/>
      <c r="C266" s="246"/>
      <c r="D266" s="167"/>
      <c r="E266" s="1456"/>
      <c r="F266" s="242"/>
      <c r="G266" s="258"/>
      <c r="H266" s="258"/>
      <c r="I266" s="258"/>
      <c r="J266" s="258"/>
      <c r="K266" s="258"/>
      <c r="L266" s="258"/>
      <c r="M266" s="258"/>
      <c r="N266" s="258"/>
      <c r="O266" s="258"/>
      <c r="P266" s="167"/>
      <c r="Q266" s="167"/>
      <c r="R266" s="167"/>
      <c r="S266" s="167"/>
      <c r="T266" s="167"/>
    </row>
    <row r="267" spans="1:20" x14ac:dyDescent="0.2">
      <c r="A267" s="246"/>
      <c r="B267" s="246"/>
      <c r="C267" s="246"/>
      <c r="D267" s="167"/>
      <c r="E267" s="1456"/>
      <c r="F267" s="242"/>
      <c r="G267" s="258"/>
      <c r="H267" s="258"/>
      <c r="I267" s="258"/>
      <c r="J267" s="258"/>
      <c r="K267" s="258"/>
      <c r="L267" s="258"/>
      <c r="M267" s="258"/>
      <c r="N267" s="258"/>
      <c r="O267" s="258"/>
      <c r="P267" s="167"/>
      <c r="Q267" s="167"/>
      <c r="R267" s="167"/>
      <c r="S267" s="167"/>
      <c r="T267" s="167"/>
    </row>
    <row r="268" spans="1:20" x14ac:dyDescent="0.2">
      <c r="A268" s="246"/>
      <c r="B268" s="246"/>
      <c r="C268" s="246"/>
      <c r="D268" s="167"/>
      <c r="E268" s="1456"/>
      <c r="F268" s="242"/>
      <c r="G268" s="258"/>
      <c r="H268" s="258"/>
      <c r="I268" s="258"/>
      <c r="J268" s="258"/>
      <c r="K268" s="258"/>
      <c r="L268" s="258"/>
      <c r="M268" s="258"/>
      <c r="N268" s="258"/>
      <c r="O268" s="258"/>
      <c r="P268" s="167"/>
      <c r="Q268" s="167"/>
      <c r="R268" s="167"/>
      <c r="S268" s="167"/>
      <c r="T268" s="167"/>
    </row>
    <row r="269" spans="1:20" x14ac:dyDescent="0.2">
      <c r="A269" s="246"/>
      <c r="B269" s="246"/>
      <c r="C269" s="246"/>
      <c r="D269" s="167"/>
      <c r="E269" s="1456"/>
      <c r="F269" s="242"/>
      <c r="G269" s="258"/>
      <c r="H269" s="258"/>
      <c r="I269" s="258"/>
      <c r="J269" s="258"/>
      <c r="K269" s="258"/>
      <c r="L269" s="258"/>
      <c r="M269" s="258"/>
      <c r="N269" s="258"/>
      <c r="O269" s="258"/>
      <c r="P269" s="167"/>
      <c r="Q269" s="167"/>
      <c r="R269" s="167"/>
      <c r="S269" s="167"/>
      <c r="T269" s="167"/>
    </row>
    <row r="270" spans="1:20" x14ac:dyDescent="0.2">
      <c r="A270" s="246"/>
      <c r="B270" s="246"/>
      <c r="C270" s="246"/>
      <c r="D270" s="167"/>
      <c r="E270" s="1456"/>
      <c r="F270" s="242"/>
      <c r="G270" s="258"/>
      <c r="H270" s="258"/>
      <c r="I270" s="258"/>
      <c r="J270" s="258"/>
      <c r="K270" s="258"/>
      <c r="L270" s="258"/>
      <c r="M270" s="258"/>
      <c r="N270" s="258"/>
      <c r="O270" s="258"/>
      <c r="P270" s="167"/>
      <c r="Q270" s="167"/>
      <c r="R270" s="167"/>
      <c r="S270" s="167"/>
      <c r="T270" s="167"/>
    </row>
    <row r="271" spans="1:20" x14ac:dyDescent="0.2">
      <c r="A271" s="246"/>
      <c r="B271" s="246"/>
      <c r="C271" s="246"/>
      <c r="D271" s="167"/>
      <c r="E271" s="1456"/>
      <c r="F271" s="242"/>
      <c r="G271" s="258"/>
      <c r="H271" s="258"/>
      <c r="I271" s="258"/>
      <c r="J271" s="258"/>
      <c r="K271" s="258"/>
      <c r="L271" s="258"/>
      <c r="M271" s="258"/>
      <c r="N271" s="258"/>
      <c r="O271" s="258"/>
      <c r="P271" s="167"/>
      <c r="Q271" s="167"/>
      <c r="R271" s="167"/>
      <c r="S271" s="167"/>
      <c r="T271" s="167"/>
    </row>
    <row r="272" spans="1:20" x14ac:dyDescent="0.2">
      <c r="A272" s="246"/>
      <c r="B272" s="246"/>
      <c r="C272" s="246"/>
      <c r="D272" s="167"/>
      <c r="E272" s="1456"/>
      <c r="F272" s="242"/>
      <c r="G272" s="258"/>
      <c r="H272" s="258"/>
      <c r="I272" s="258"/>
      <c r="J272" s="258"/>
      <c r="K272" s="258"/>
      <c r="L272" s="258"/>
      <c r="M272" s="258"/>
      <c r="N272" s="258"/>
      <c r="O272" s="258"/>
      <c r="P272" s="167"/>
      <c r="Q272" s="167"/>
      <c r="R272" s="167"/>
      <c r="S272" s="167"/>
      <c r="T272" s="167"/>
    </row>
    <row r="273" spans="1:20" x14ac:dyDescent="0.2">
      <c r="A273" s="246"/>
      <c r="B273" s="246"/>
      <c r="C273" s="246"/>
      <c r="D273" s="167"/>
      <c r="E273" s="1456"/>
      <c r="F273" s="242"/>
      <c r="G273" s="258"/>
      <c r="H273" s="258"/>
      <c r="I273" s="258"/>
      <c r="J273" s="258"/>
      <c r="K273" s="258"/>
      <c r="L273" s="258"/>
      <c r="M273" s="258"/>
      <c r="N273" s="258"/>
      <c r="O273" s="258"/>
      <c r="P273" s="167"/>
      <c r="Q273" s="167"/>
      <c r="R273" s="167"/>
      <c r="S273" s="167"/>
      <c r="T273" s="167"/>
    </row>
  </sheetData>
  <mergeCells count="175">
    <mergeCell ref="A248:F248"/>
    <mergeCell ref="A249:F249"/>
    <mergeCell ref="A250:F250"/>
    <mergeCell ref="A251:F251"/>
    <mergeCell ref="A252:T252"/>
    <mergeCell ref="M254:P254"/>
    <mergeCell ref="A242:F242"/>
    <mergeCell ref="A243:F243"/>
    <mergeCell ref="A244:F244"/>
    <mergeCell ref="A245:F245"/>
    <mergeCell ref="A246:F246"/>
    <mergeCell ref="A247:F247"/>
    <mergeCell ref="A236:F236"/>
    <mergeCell ref="A237:F237"/>
    <mergeCell ref="A238:F238"/>
    <mergeCell ref="A239:F239"/>
    <mergeCell ref="A240:F240"/>
    <mergeCell ref="A241:F241"/>
    <mergeCell ref="B230:F230"/>
    <mergeCell ref="B231:F231"/>
    <mergeCell ref="A232:M232"/>
    <mergeCell ref="A233:F233"/>
    <mergeCell ref="A234:F234"/>
    <mergeCell ref="A235:F235"/>
    <mergeCell ref="D214:D215"/>
    <mergeCell ref="D218:D221"/>
    <mergeCell ref="P219:P220"/>
    <mergeCell ref="P223:P224"/>
    <mergeCell ref="D225:D227"/>
    <mergeCell ref="C229:F229"/>
    <mergeCell ref="A209:A210"/>
    <mergeCell ref="B209:B210"/>
    <mergeCell ref="D209:D210"/>
    <mergeCell ref="E209:E210"/>
    <mergeCell ref="P209:P210"/>
    <mergeCell ref="D211:D212"/>
    <mergeCell ref="E211:E212"/>
    <mergeCell ref="D200:D201"/>
    <mergeCell ref="E200:E201"/>
    <mergeCell ref="D203:D204"/>
    <mergeCell ref="V205:W205"/>
    <mergeCell ref="D206:D207"/>
    <mergeCell ref="T206:T208"/>
    <mergeCell ref="C182:F182"/>
    <mergeCell ref="C183:T183"/>
    <mergeCell ref="D184:D186"/>
    <mergeCell ref="D187:D188"/>
    <mergeCell ref="D189:D190"/>
    <mergeCell ref="P194:P196"/>
    <mergeCell ref="D180:D181"/>
    <mergeCell ref="P180:P181"/>
    <mergeCell ref="Q180:Q181"/>
    <mergeCell ref="R180:R181"/>
    <mergeCell ref="S180:S181"/>
    <mergeCell ref="T180:T181"/>
    <mergeCell ref="V171:X171"/>
    <mergeCell ref="D173:D174"/>
    <mergeCell ref="V173:X173"/>
    <mergeCell ref="D175:D176"/>
    <mergeCell ref="D177:D179"/>
    <mergeCell ref="E177:E179"/>
    <mergeCell ref="D165:D166"/>
    <mergeCell ref="P165:P166"/>
    <mergeCell ref="E166:F166"/>
    <mergeCell ref="C167:F167"/>
    <mergeCell ref="C168:T168"/>
    <mergeCell ref="D171:D172"/>
    <mergeCell ref="D156:D158"/>
    <mergeCell ref="P156:P158"/>
    <mergeCell ref="V156:Y156"/>
    <mergeCell ref="E158:F158"/>
    <mergeCell ref="D160:D161"/>
    <mergeCell ref="V160:W160"/>
    <mergeCell ref="E147:E148"/>
    <mergeCell ref="V147:W147"/>
    <mergeCell ref="D148:D149"/>
    <mergeCell ref="V148:X148"/>
    <mergeCell ref="D151:D152"/>
    <mergeCell ref="D153:D155"/>
    <mergeCell ref="D137:D138"/>
    <mergeCell ref="D139:D142"/>
    <mergeCell ref="P139:P140"/>
    <mergeCell ref="D144:D145"/>
    <mergeCell ref="E144:E145"/>
    <mergeCell ref="W146:X146"/>
    <mergeCell ref="D132:D133"/>
    <mergeCell ref="D134:D136"/>
    <mergeCell ref="E134:E135"/>
    <mergeCell ref="P134:P136"/>
    <mergeCell ref="Q134:Q135"/>
    <mergeCell ref="V134:W134"/>
    <mergeCell ref="D124:D125"/>
    <mergeCell ref="V124:Z124"/>
    <mergeCell ref="D126:D128"/>
    <mergeCell ref="V126:Y126"/>
    <mergeCell ref="P127:P128"/>
    <mergeCell ref="D129:D130"/>
    <mergeCell ref="P129:P130"/>
    <mergeCell ref="D106:D116"/>
    <mergeCell ref="D117:D118"/>
    <mergeCell ref="D119:D123"/>
    <mergeCell ref="P119:P120"/>
    <mergeCell ref="V119:W119"/>
    <mergeCell ref="P121:P122"/>
    <mergeCell ref="D96:D97"/>
    <mergeCell ref="C98:F98"/>
    <mergeCell ref="B99:F99"/>
    <mergeCell ref="B100:T100"/>
    <mergeCell ref="C101:T101"/>
    <mergeCell ref="A102:A105"/>
    <mergeCell ref="B102:B105"/>
    <mergeCell ref="C102:C105"/>
    <mergeCell ref="D102:D105"/>
    <mergeCell ref="E102:E105"/>
    <mergeCell ref="D90:D91"/>
    <mergeCell ref="D92:D93"/>
    <mergeCell ref="P92:P93"/>
    <mergeCell ref="V92:W92"/>
    <mergeCell ref="D94:D95"/>
    <mergeCell ref="V94:W94"/>
    <mergeCell ref="P102:P103"/>
    <mergeCell ref="D76:D77"/>
    <mergeCell ref="V78:W78"/>
    <mergeCell ref="D82:D83"/>
    <mergeCell ref="E83:F83"/>
    <mergeCell ref="D87:D89"/>
    <mergeCell ref="P88:P89"/>
    <mergeCell ref="D58:D60"/>
    <mergeCell ref="D61:D62"/>
    <mergeCell ref="P61:P62"/>
    <mergeCell ref="D66:D67"/>
    <mergeCell ref="D68:D70"/>
    <mergeCell ref="D74:D75"/>
    <mergeCell ref="D44:D45"/>
    <mergeCell ref="D46:D47"/>
    <mergeCell ref="P46:P47"/>
    <mergeCell ref="V46:W46"/>
    <mergeCell ref="D48:D54"/>
    <mergeCell ref="D55:D56"/>
    <mergeCell ref="V55:X55"/>
    <mergeCell ref="D28:D30"/>
    <mergeCell ref="D31:D33"/>
    <mergeCell ref="D34:D35"/>
    <mergeCell ref="D36:D38"/>
    <mergeCell ref="V40:W40"/>
    <mergeCell ref="D41:D42"/>
    <mergeCell ref="A10:T10"/>
    <mergeCell ref="A11:T11"/>
    <mergeCell ref="B12:T12"/>
    <mergeCell ref="C13:T13"/>
    <mergeCell ref="D23:D25"/>
    <mergeCell ref="D26:D27"/>
    <mergeCell ref="L7:L9"/>
    <mergeCell ref="M7:M9"/>
    <mergeCell ref="N7:N9"/>
    <mergeCell ref="O7:O9"/>
    <mergeCell ref="P7:S7"/>
    <mergeCell ref="P8:P9"/>
    <mergeCell ref="Q8:S8"/>
    <mergeCell ref="F7:F9"/>
    <mergeCell ref="G7:G9"/>
    <mergeCell ref="H7:H9"/>
    <mergeCell ref="I7:I9"/>
    <mergeCell ref="J7:J9"/>
    <mergeCell ref="K7:K9"/>
    <mergeCell ref="P1:T1"/>
    <mergeCell ref="A3:T3"/>
    <mergeCell ref="A4:T4"/>
    <mergeCell ref="A5:T5"/>
    <mergeCell ref="Q6:T6"/>
    <mergeCell ref="A7:A9"/>
    <mergeCell ref="B7:B9"/>
    <mergeCell ref="C7:C9"/>
    <mergeCell ref="D7:D9"/>
    <mergeCell ref="E7:E9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6" orientation="portrait" r:id="rId1"/>
  <colBreaks count="1" manualBreakCount="1">
    <brk id="2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72"/>
  <sheetViews>
    <sheetView tabSelected="1" zoomScaleNormal="100" workbookViewId="0">
      <selection activeCell="O11" sqref="O11"/>
    </sheetView>
  </sheetViews>
  <sheetFormatPr defaultColWidth="9.140625" defaultRowHeight="12.75" x14ac:dyDescent="0.2"/>
  <cols>
    <col min="1" max="3" width="2.7109375" style="163" customWidth="1"/>
    <col min="4" max="4" width="32.28515625" style="164" customWidth="1"/>
    <col min="5" max="5" width="3" style="162" customWidth="1"/>
    <col min="6" max="6" width="8" style="165" customWidth="1"/>
    <col min="7" max="9" width="8.85546875" style="166" customWidth="1"/>
    <col min="10" max="10" width="23.5703125" style="164" customWidth="1"/>
    <col min="11" max="13" width="6.42578125" style="1203" customWidth="1"/>
    <col min="14" max="14" width="14.5703125" style="167" hidden="1" customWidth="1"/>
    <col min="15" max="15" width="102.5703125" style="167" customWidth="1"/>
    <col min="16" max="16384" width="9.140625" style="167"/>
  </cols>
  <sheetData>
    <row r="1" spans="1:14" ht="34.5" customHeight="1" x14ac:dyDescent="0.2">
      <c r="A1" s="163" t="s">
        <v>300</v>
      </c>
      <c r="J1" s="1973" t="s">
        <v>343</v>
      </c>
      <c r="K1" s="1973"/>
      <c r="L1" s="1973"/>
      <c r="M1" s="1973"/>
    </row>
    <row r="2" spans="1:14" ht="29.25" customHeight="1" x14ac:dyDescent="0.2">
      <c r="J2" s="1238" t="s">
        <v>316</v>
      </c>
      <c r="K2" s="1238"/>
      <c r="L2" s="1238"/>
      <c r="M2" s="1238"/>
    </row>
    <row r="3" spans="1:14" s="168" customFormat="1" ht="15.75" x14ac:dyDescent="0.2">
      <c r="A3" s="1741" t="s">
        <v>317</v>
      </c>
      <c r="B3" s="1741"/>
      <c r="C3" s="1741"/>
      <c r="D3" s="1741"/>
      <c r="E3" s="1741"/>
      <c r="F3" s="1741"/>
      <c r="G3" s="1741"/>
      <c r="H3" s="1741"/>
      <c r="I3" s="1741"/>
      <c r="J3" s="1741"/>
      <c r="K3" s="1741"/>
      <c r="L3" s="1741"/>
      <c r="M3" s="1741"/>
    </row>
    <row r="4" spans="1:14" s="168" customFormat="1" ht="19.5" customHeight="1" x14ac:dyDescent="0.2">
      <c r="A4" s="1742" t="s">
        <v>29</v>
      </c>
      <c r="B4" s="1742"/>
      <c r="C4" s="1742"/>
      <c r="D4" s="1742"/>
      <c r="E4" s="1742"/>
      <c r="F4" s="1742"/>
      <c r="G4" s="1742"/>
      <c r="H4" s="1742"/>
      <c r="I4" s="1742"/>
      <c r="J4" s="1742"/>
      <c r="K4" s="1742"/>
      <c r="L4" s="1742"/>
      <c r="M4" s="1742"/>
    </row>
    <row r="5" spans="1:14" s="168" customFormat="1" ht="19.5" customHeight="1" x14ac:dyDescent="0.2">
      <c r="A5" s="1743" t="s">
        <v>51</v>
      </c>
      <c r="B5" s="1743"/>
      <c r="C5" s="1743"/>
      <c r="D5" s="1743"/>
      <c r="E5" s="1743"/>
      <c r="F5" s="1743"/>
      <c r="G5" s="1743"/>
      <c r="H5" s="1743"/>
      <c r="I5" s="1743"/>
      <c r="J5" s="1743"/>
      <c r="K5" s="1743"/>
      <c r="L5" s="1743"/>
      <c r="M5" s="1743"/>
    </row>
    <row r="6" spans="1:14" ht="15.75" customHeight="1" thickBot="1" x14ac:dyDescent="0.25">
      <c r="A6" s="14"/>
      <c r="B6" s="14"/>
      <c r="D6" s="1239"/>
      <c r="E6" s="1239"/>
      <c r="F6" s="268"/>
      <c r="G6" s="1239"/>
      <c r="H6" s="1239"/>
      <c r="I6" s="1239"/>
      <c r="J6" s="1239"/>
      <c r="K6" s="1744" t="s">
        <v>67</v>
      </c>
      <c r="L6" s="1744"/>
      <c r="M6" s="1744"/>
    </row>
    <row r="7" spans="1:14" ht="21" customHeight="1" x14ac:dyDescent="0.2">
      <c r="A7" s="1745" t="s">
        <v>8</v>
      </c>
      <c r="B7" s="1748" t="s">
        <v>9</v>
      </c>
      <c r="C7" s="1751" t="s">
        <v>10</v>
      </c>
      <c r="D7" s="1754" t="s">
        <v>94</v>
      </c>
      <c r="E7" s="1757" t="s">
        <v>11</v>
      </c>
      <c r="F7" s="1792" t="s">
        <v>13</v>
      </c>
      <c r="G7" s="1974" t="s">
        <v>345</v>
      </c>
      <c r="H7" s="1977" t="s">
        <v>158</v>
      </c>
      <c r="I7" s="1977" t="s">
        <v>230</v>
      </c>
      <c r="J7" s="1980" t="s">
        <v>96</v>
      </c>
      <c r="K7" s="1981"/>
      <c r="L7" s="1981"/>
      <c r="M7" s="1982"/>
    </row>
    <row r="8" spans="1:14" ht="15.75" customHeight="1" x14ac:dyDescent="0.2">
      <c r="A8" s="1746"/>
      <c r="B8" s="1749"/>
      <c r="C8" s="1752"/>
      <c r="D8" s="1755"/>
      <c r="E8" s="1758"/>
      <c r="F8" s="1793"/>
      <c r="G8" s="1975"/>
      <c r="H8" s="1978"/>
      <c r="I8" s="1978"/>
      <c r="J8" s="1983" t="s">
        <v>23</v>
      </c>
      <c r="K8" s="1985" t="s">
        <v>55</v>
      </c>
      <c r="L8" s="1985"/>
      <c r="M8" s="1986"/>
    </row>
    <row r="9" spans="1:14" ht="93.75" customHeight="1" thickBot="1" x14ac:dyDescent="0.25">
      <c r="A9" s="1747"/>
      <c r="B9" s="1750"/>
      <c r="C9" s="1753"/>
      <c r="D9" s="1756"/>
      <c r="E9" s="1759"/>
      <c r="F9" s="1794"/>
      <c r="G9" s="1976"/>
      <c r="H9" s="1979"/>
      <c r="I9" s="1979"/>
      <c r="J9" s="1984"/>
      <c r="K9" s="563" t="s">
        <v>93</v>
      </c>
      <c r="L9" s="83" t="s">
        <v>159</v>
      </c>
      <c r="M9" s="480" t="s">
        <v>232</v>
      </c>
    </row>
    <row r="10" spans="1:14" ht="15.75" customHeight="1" thickBot="1" x14ac:dyDescent="0.25">
      <c r="A10" s="1760" t="s">
        <v>60</v>
      </c>
      <c r="B10" s="1761"/>
      <c r="C10" s="1761"/>
      <c r="D10" s="1761"/>
      <c r="E10" s="1761"/>
      <c r="F10" s="1761"/>
      <c r="G10" s="1761"/>
      <c r="H10" s="1761"/>
      <c r="I10" s="1761"/>
      <c r="J10" s="1761"/>
      <c r="K10" s="1761"/>
      <c r="L10" s="1761"/>
      <c r="M10" s="1762"/>
    </row>
    <row r="11" spans="1:14" s="170" customFormat="1" ht="15.75" customHeight="1" thickBot="1" x14ac:dyDescent="0.25">
      <c r="A11" s="1763" t="s">
        <v>30</v>
      </c>
      <c r="B11" s="1764"/>
      <c r="C11" s="1764"/>
      <c r="D11" s="1764"/>
      <c r="E11" s="1764"/>
      <c r="F11" s="1764"/>
      <c r="G11" s="1764"/>
      <c r="H11" s="1764"/>
      <c r="I11" s="1764"/>
      <c r="J11" s="1764"/>
      <c r="K11" s="1764"/>
      <c r="L11" s="1764"/>
      <c r="M11" s="1765"/>
      <c r="N11" s="169"/>
    </row>
    <row r="12" spans="1:14" s="170" customFormat="1" ht="15.75" customHeight="1" thickBot="1" x14ac:dyDescent="0.25">
      <c r="A12" s="171" t="s">
        <v>14</v>
      </c>
      <c r="B12" s="1766" t="s">
        <v>35</v>
      </c>
      <c r="C12" s="1767"/>
      <c r="D12" s="1767"/>
      <c r="E12" s="1767"/>
      <c r="F12" s="1767"/>
      <c r="G12" s="1767"/>
      <c r="H12" s="1767"/>
      <c r="I12" s="1767"/>
      <c r="J12" s="1767"/>
      <c r="K12" s="1767"/>
      <c r="L12" s="1767"/>
      <c r="M12" s="1768"/>
    </row>
    <row r="13" spans="1:14" s="170" customFormat="1" ht="15.75" customHeight="1" thickBot="1" x14ac:dyDescent="0.25">
      <c r="A13" s="172" t="s">
        <v>14</v>
      </c>
      <c r="B13" s="173" t="s">
        <v>14</v>
      </c>
      <c r="C13" s="1769" t="s">
        <v>64</v>
      </c>
      <c r="D13" s="1770"/>
      <c r="E13" s="1770"/>
      <c r="F13" s="1771"/>
      <c r="G13" s="1771"/>
      <c r="H13" s="1771"/>
      <c r="I13" s="1771"/>
      <c r="J13" s="1770"/>
      <c r="K13" s="1770"/>
      <c r="L13" s="1770"/>
      <c r="M13" s="1772"/>
    </row>
    <row r="14" spans="1:14" s="170" customFormat="1" ht="16.5" customHeight="1" x14ac:dyDescent="0.2">
      <c r="A14" s="174" t="s">
        <v>14</v>
      </c>
      <c r="B14" s="175" t="s">
        <v>14</v>
      </c>
      <c r="C14" s="176" t="s">
        <v>14</v>
      </c>
      <c r="D14" s="978" t="s">
        <v>43</v>
      </c>
      <c r="E14" s="980" t="s">
        <v>152</v>
      </c>
      <c r="F14" s="314" t="s">
        <v>15</v>
      </c>
      <c r="G14" s="319">
        <f>38193.5-115</f>
        <v>38078.5</v>
      </c>
      <c r="H14" s="318">
        <v>37916.1</v>
      </c>
      <c r="I14" s="367">
        <v>37838.400000000001</v>
      </c>
      <c r="J14" s="951"/>
      <c r="K14" s="58"/>
      <c r="L14" s="143"/>
      <c r="M14" s="151"/>
    </row>
    <row r="15" spans="1:14" s="170" customFormat="1" ht="16.5" customHeight="1" x14ac:dyDescent="0.2">
      <c r="A15" s="177"/>
      <c r="B15" s="181"/>
      <c r="C15" s="184"/>
      <c r="D15" s="979"/>
      <c r="E15" s="1067"/>
      <c r="F15" s="1068" t="s">
        <v>87</v>
      </c>
      <c r="G15" s="496">
        <v>5.0999999999999996</v>
      </c>
      <c r="H15" s="94"/>
      <c r="I15" s="61"/>
      <c r="J15" s="737"/>
      <c r="K15" s="56"/>
      <c r="L15" s="29"/>
      <c r="M15" s="634"/>
    </row>
    <row r="16" spans="1:14" s="170" customFormat="1" ht="16.5" customHeight="1" x14ac:dyDescent="0.2">
      <c r="A16" s="177"/>
      <c r="B16" s="181"/>
      <c r="C16" s="184"/>
      <c r="D16" s="979"/>
      <c r="E16" s="1067"/>
      <c r="F16" s="1068" t="s">
        <v>18</v>
      </c>
      <c r="G16" s="496">
        <v>45607.3</v>
      </c>
      <c r="H16" s="94">
        <v>45349.599999999999</v>
      </c>
      <c r="I16" s="61">
        <v>45348.7</v>
      </c>
      <c r="J16" s="737"/>
      <c r="K16" s="56"/>
      <c r="L16" s="29"/>
      <c r="M16" s="634"/>
    </row>
    <row r="17" spans="1:16" s="170" customFormat="1" ht="16.5" customHeight="1" x14ac:dyDescent="0.2">
      <c r="A17" s="177"/>
      <c r="B17" s="181"/>
      <c r="C17" s="184"/>
      <c r="D17" s="979"/>
      <c r="E17" s="1067"/>
      <c r="F17" s="1068" t="s">
        <v>42</v>
      </c>
      <c r="G17" s="496">
        <v>5390</v>
      </c>
      <c r="H17" s="94">
        <v>5390</v>
      </c>
      <c r="I17" s="61">
        <v>5390</v>
      </c>
      <c r="J17" s="737"/>
      <c r="K17" s="56"/>
      <c r="L17" s="29"/>
      <c r="M17" s="634"/>
    </row>
    <row r="18" spans="1:16" s="170" customFormat="1" ht="16.5" customHeight="1" x14ac:dyDescent="0.2">
      <c r="A18" s="177"/>
      <c r="B18" s="181"/>
      <c r="C18" s="184"/>
      <c r="D18" s="979"/>
      <c r="E18" s="1067"/>
      <c r="F18" s="390" t="s">
        <v>59</v>
      </c>
      <c r="G18" s="496">
        <v>415.4</v>
      </c>
      <c r="H18" s="94"/>
      <c r="I18" s="61"/>
      <c r="J18" s="737"/>
      <c r="K18" s="56"/>
      <c r="L18" s="29"/>
      <c r="M18" s="634"/>
    </row>
    <row r="19" spans="1:16" s="170" customFormat="1" ht="16.5" customHeight="1" x14ac:dyDescent="0.2">
      <c r="A19" s="177"/>
      <c r="B19" s="181"/>
      <c r="C19" s="184"/>
      <c r="D19" s="979"/>
      <c r="E19" s="1067"/>
      <c r="F19" s="390" t="s">
        <v>89</v>
      </c>
      <c r="G19" s="496">
        <v>519.4</v>
      </c>
      <c r="H19" s="94">
        <v>71.599999999999994</v>
      </c>
      <c r="I19" s="61"/>
      <c r="J19" s="737"/>
      <c r="K19" s="56"/>
      <c r="L19" s="29"/>
      <c r="M19" s="634"/>
    </row>
    <row r="20" spans="1:16" s="170" customFormat="1" ht="16.5" customHeight="1" x14ac:dyDescent="0.2">
      <c r="A20" s="177"/>
      <c r="B20" s="181"/>
      <c r="C20" s="184"/>
      <c r="D20" s="979"/>
      <c r="E20" s="1067"/>
      <c r="F20" s="390" t="s">
        <v>148</v>
      </c>
      <c r="G20" s="496">
        <v>46.5</v>
      </c>
      <c r="H20" s="94"/>
      <c r="I20" s="61"/>
      <c r="J20" s="737"/>
      <c r="K20" s="56"/>
      <c r="L20" s="29"/>
      <c r="M20" s="634"/>
    </row>
    <row r="21" spans="1:16" s="170" customFormat="1" ht="16.5" customHeight="1" x14ac:dyDescent="0.2">
      <c r="A21" s="177"/>
      <c r="B21" s="181"/>
      <c r="C21" s="184"/>
      <c r="D21" s="979"/>
      <c r="E21" s="1067"/>
      <c r="F21" s="390" t="s">
        <v>221</v>
      </c>
      <c r="G21" s="496">
        <v>447.8</v>
      </c>
      <c r="H21" s="94"/>
      <c r="I21" s="61"/>
      <c r="J21" s="737"/>
      <c r="K21" s="56"/>
      <c r="L21" s="29"/>
      <c r="M21" s="634"/>
    </row>
    <row r="22" spans="1:16" s="170" customFormat="1" ht="16.5" customHeight="1" x14ac:dyDescent="0.2">
      <c r="A22" s="177"/>
      <c r="B22" s="181"/>
      <c r="C22" s="184"/>
      <c r="D22" s="979"/>
      <c r="E22" s="1067"/>
      <c r="F22" s="1376" t="s">
        <v>4</v>
      </c>
      <c r="G22" s="33">
        <v>125.9</v>
      </c>
      <c r="H22" s="129"/>
      <c r="I22" s="24"/>
      <c r="J22" s="737"/>
      <c r="K22" s="56"/>
      <c r="L22" s="29"/>
      <c r="M22" s="634"/>
    </row>
    <row r="23" spans="1:16" s="170" customFormat="1" ht="14.25" customHeight="1" x14ac:dyDescent="0.2">
      <c r="A23" s="177"/>
      <c r="B23" s="178"/>
      <c r="C23" s="179"/>
      <c r="D23" s="1773" t="s">
        <v>115</v>
      </c>
      <c r="E23" s="1048" t="s">
        <v>262</v>
      </c>
      <c r="F23" s="1377"/>
      <c r="G23" s="138"/>
      <c r="H23" s="130"/>
      <c r="I23" s="15"/>
      <c r="J23" s="715" t="s">
        <v>100</v>
      </c>
      <c r="K23" s="105">
        <v>47</v>
      </c>
      <c r="L23" s="27">
        <v>47</v>
      </c>
      <c r="M23" s="23">
        <v>47</v>
      </c>
      <c r="N23" s="649"/>
    </row>
    <row r="24" spans="1:16" s="170" customFormat="1" ht="14.25" customHeight="1" x14ac:dyDescent="0.2">
      <c r="A24" s="177"/>
      <c r="B24" s="178"/>
      <c r="C24" s="179"/>
      <c r="D24" s="1774"/>
      <c r="E24" s="31"/>
      <c r="F24" s="1377"/>
      <c r="G24" s="119"/>
      <c r="H24" s="64"/>
      <c r="I24" s="807"/>
      <c r="J24" s="381" t="s">
        <v>101</v>
      </c>
      <c r="K24" s="49">
        <v>7968</v>
      </c>
      <c r="L24" s="373">
        <v>7990</v>
      </c>
      <c r="M24" s="1382">
        <v>7995</v>
      </c>
      <c r="N24" s="666"/>
      <c r="P24" s="169"/>
    </row>
    <row r="25" spans="1:16" s="170" customFormat="1" ht="16.5" customHeight="1" x14ac:dyDescent="0.2">
      <c r="A25" s="177"/>
      <c r="B25" s="181"/>
      <c r="C25" s="179"/>
      <c r="D25" s="1774"/>
      <c r="E25" s="31"/>
      <c r="F25" s="1377"/>
      <c r="G25" s="119"/>
      <c r="H25" s="64"/>
      <c r="I25" s="807"/>
      <c r="J25" s="1373"/>
      <c r="K25" s="137"/>
      <c r="L25" s="29"/>
      <c r="M25" s="634"/>
      <c r="N25" s="649"/>
    </row>
    <row r="26" spans="1:16" s="170" customFormat="1" ht="42" customHeight="1" x14ac:dyDescent="0.2">
      <c r="A26" s="177"/>
      <c r="B26" s="181"/>
      <c r="C26" s="179"/>
      <c r="D26" s="1773" t="s">
        <v>266</v>
      </c>
      <c r="E26" s="1048" t="s">
        <v>262</v>
      </c>
      <c r="F26" s="1377"/>
      <c r="G26" s="119"/>
      <c r="H26" s="64"/>
      <c r="I26" s="807"/>
      <c r="J26" s="1371" t="s">
        <v>267</v>
      </c>
      <c r="K26" s="49">
        <v>2</v>
      </c>
      <c r="L26" s="373">
        <v>2</v>
      </c>
      <c r="M26" s="1382">
        <v>2</v>
      </c>
      <c r="N26" s="649"/>
    </row>
    <row r="27" spans="1:16" s="170" customFormat="1" ht="18.75" customHeight="1" x14ac:dyDescent="0.2">
      <c r="A27" s="177"/>
      <c r="B27" s="181"/>
      <c r="C27" s="179"/>
      <c r="D27" s="1775"/>
      <c r="E27" s="1049"/>
      <c r="F27" s="1377"/>
      <c r="G27" s="119"/>
      <c r="H27" s="64"/>
      <c r="I27" s="807"/>
      <c r="J27" s="715" t="s">
        <v>272</v>
      </c>
      <c r="K27" s="67">
        <v>48</v>
      </c>
      <c r="L27" s="27">
        <v>55</v>
      </c>
      <c r="M27" s="23">
        <v>47</v>
      </c>
      <c r="N27" s="649"/>
    </row>
    <row r="28" spans="1:16" s="170" customFormat="1" ht="15.75" customHeight="1" x14ac:dyDescent="0.2">
      <c r="A28" s="177"/>
      <c r="B28" s="181"/>
      <c r="C28" s="179"/>
      <c r="D28" s="1774" t="s">
        <v>241</v>
      </c>
      <c r="E28" s="1369"/>
      <c r="F28" s="1377"/>
      <c r="G28" s="119"/>
      <c r="H28" s="64"/>
      <c r="I28" s="807"/>
      <c r="J28" s="1370" t="s">
        <v>100</v>
      </c>
      <c r="K28" s="56">
        <v>7</v>
      </c>
      <c r="L28" s="29">
        <v>7</v>
      </c>
      <c r="M28" s="634">
        <v>7</v>
      </c>
      <c r="N28" s="650"/>
    </row>
    <row r="29" spans="1:16" s="170" customFormat="1" ht="14.25" customHeight="1" x14ac:dyDescent="0.2">
      <c r="A29" s="177"/>
      <c r="B29" s="178"/>
      <c r="C29" s="179"/>
      <c r="D29" s="1774"/>
      <c r="E29" s="31"/>
      <c r="F29" s="1377"/>
      <c r="G29" s="401"/>
      <c r="H29" s="327"/>
      <c r="I29" s="328"/>
      <c r="J29" s="381" t="s">
        <v>101</v>
      </c>
      <c r="K29" s="49">
        <v>335</v>
      </c>
      <c r="L29" s="373">
        <v>340</v>
      </c>
      <c r="M29" s="1382">
        <v>350</v>
      </c>
    </row>
    <row r="30" spans="1:16" s="170" customFormat="1" ht="15" customHeight="1" thickBot="1" x14ac:dyDescent="0.25">
      <c r="A30" s="177"/>
      <c r="B30" s="181"/>
      <c r="C30" s="179"/>
      <c r="D30" s="1774"/>
      <c r="E30" s="31"/>
      <c r="F30" s="1377"/>
      <c r="G30" s="119"/>
      <c r="H30" s="64"/>
      <c r="I30" s="807"/>
      <c r="J30" s="739"/>
      <c r="K30" s="148"/>
      <c r="L30" s="267"/>
      <c r="M30" s="1383"/>
    </row>
    <row r="31" spans="1:16" s="170" customFormat="1" ht="12.75" customHeight="1" x14ac:dyDescent="0.2">
      <c r="A31" s="182"/>
      <c r="B31" s="181"/>
      <c r="C31" s="183"/>
      <c r="D31" s="1797" t="s">
        <v>66</v>
      </c>
      <c r="E31" s="31"/>
      <c r="F31" s="1377"/>
      <c r="G31" s="138"/>
      <c r="H31" s="130"/>
      <c r="I31" s="15"/>
      <c r="J31" s="688" t="s">
        <v>100</v>
      </c>
      <c r="K31" s="56">
        <v>4</v>
      </c>
      <c r="L31" s="29">
        <v>4</v>
      </c>
      <c r="M31" s="634">
        <v>4</v>
      </c>
    </row>
    <row r="32" spans="1:16" s="170" customFormat="1" ht="15.75" customHeight="1" x14ac:dyDescent="0.2">
      <c r="A32" s="182"/>
      <c r="B32" s="181"/>
      <c r="C32" s="184"/>
      <c r="D32" s="1774"/>
      <c r="E32" s="31"/>
      <c r="F32" s="1377"/>
      <c r="G32" s="119"/>
      <c r="H32" s="64"/>
      <c r="I32" s="807"/>
      <c r="J32" s="381" t="s">
        <v>326</v>
      </c>
      <c r="K32" s="49">
        <v>1285</v>
      </c>
      <c r="L32" s="373">
        <v>1285</v>
      </c>
      <c r="M32" s="1382">
        <v>1285</v>
      </c>
    </row>
    <row r="33" spans="1:16" s="170" customFormat="1" ht="15.75" customHeight="1" thickBot="1" x14ac:dyDescent="0.25">
      <c r="A33" s="182"/>
      <c r="B33" s="181"/>
      <c r="C33" s="184"/>
      <c r="D33" s="1774"/>
      <c r="E33" s="31"/>
      <c r="F33" s="1377"/>
      <c r="G33" s="119"/>
      <c r="H33" s="64"/>
      <c r="I33" s="807"/>
      <c r="J33" s="737" t="s">
        <v>203</v>
      </c>
      <c r="K33" s="56">
        <v>910</v>
      </c>
      <c r="L33" s="29">
        <v>910</v>
      </c>
      <c r="M33" s="634">
        <v>910</v>
      </c>
    </row>
    <row r="34" spans="1:16" s="170" customFormat="1" ht="18" customHeight="1" x14ac:dyDescent="0.2">
      <c r="A34" s="185"/>
      <c r="B34" s="181"/>
      <c r="C34" s="184"/>
      <c r="D34" s="1797" t="s">
        <v>307</v>
      </c>
      <c r="E34" s="973"/>
      <c r="F34" s="1377"/>
      <c r="G34" s="119"/>
      <c r="H34" s="64"/>
      <c r="I34" s="807"/>
      <c r="J34" s="961" t="s">
        <v>100</v>
      </c>
      <c r="K34" s="58">
        <v>1</v>
      </c>
      <c r="L34" s="143">
        <v>1</v>
      </c>
      <c r="M34" s="151">
        <v>1</v>
      </c>
    </row>
    <row r="35" spans="1:16" s="170" customFormat="1" ht="18" customHeight="1" thickBot="1" x14ac:dyDescent="0.25">
      <c r="A35" s="185"/>
      <c r="B35" s="181"/>
      <c r="C35" s="184"/>
      <c r="D35" s="1798"/>
      <c r="E35" s="974"/>
      <c r="F35" s="1377"/>
      <c r="G35" s="119"/>
      <c r="H35" s="64"/>
      <c r="I35" s="807"/>
      <c r="J35" s="962" t="s">
        <v>101</v>
      </c>
      <c r="K35" s="154">
        <v>50</v>
      </c>
      <c r="L35" s="139">
        <v>50</v>
      </c>
      <c r="M35" s="25">
        <v>50</v>
      </c>
    </row>
    <row r="36" spans="1:16" s="170" customFormat="1" ht="15.75" customHeight="1" x14ac:dyDescent="0.25">
      <c r="A36" s="185"/>
      <c r="B36" s="178"/>
      <c r="C36" s="184"/>
      <c r="D36" s="1774" t="s">
        <v>116</v>
      </c>
      <c r="E36" s="31"/>
      <c r="F36" s="1377"/>
      <c r="G36" s="1078"/>
      <c r="H36" s="1079"/>
      <c r="I36" s="1080"/>
      <c r="J36" s="498" t="s">
        <v>100</v>
      </c>
      <c r="K36" s="100">
        <v>32</v>
      </c>
      <c r="L36" s="32">
        <v>32</v>
      </c>
      <c r="M36" s="1007">
        <v>32</v>
      </c>
      <c r="P36" s="926"/>
    </row>
    <row r="37" spans="1:16" s="170" customFormat="1" ht="15.75" customHeight="1" x14ac:dyDescent="0.2">
      <c r="A37" s="185"/>
      <c r="B37" s="178"/>
      <c r="C37" s="184"/>
      <c r="D37" s="1774"/>
      <c r="E37" s="31"/>
      <c r="F37" s="1377"/>
      <c r="G37" s="1070"/>
      <c r="H37" s="130"/>
      <c r="I37" s="15"/>
      <c r="J37" s="471" t="s">
        <v>101</v>
      </c>
      <c r="K37" s="105">
        <v>18020</v>
      </c>
      <c r="L37" s="27">
        <v>18100</v>
      </c>
      <c r="M37" s="1007">
        <v>18150</v>
      </c>
    </row>
    <row r="38" spans="1:16" s="170" customFormat="1" ht="15.75" customHeight="1" x14ac:dyDescent="0.2">
      <c r="A38" s="185"/>
      <c r="B38" s="178"/>
      <c r="C38" s="184"/>
      <c r="D38" s="1774"/>
      <c r="E38" s="31"/>
      <c r="F38" s="1377"/>
      <c r="G38" s="1069"/>
      <c r="H38" s="64"/>
      <c r="I38" s="807"/>
      <c r="J38" s="98" t="s">
        <v>120</v>
      </c>
      <c r="K38" s="49">
        <v>17850</v>
      </c>
      <c r="L38" s="373">
        <v>17900</v>
      </c>
      <c r="M38" s="1382">
        <v>17950</v>
      </c>
    </row>
    <row r="39" spans="1:16" s="170" customFormat="1" ht="30" customHeight="1" thickBot="1" x14ac:dyDescent="0.25">
      <c r="A39" s="185"/>
      <c r="B39" s="178"/>
      <c r="C39" s="184"/>
      <c r="D39" s="1050" t="s">
        <v>271</v>
      </c>
      <c r="E39" s="1051" t="s">
        <v>262</v>
      </c>
      <c r="F39" s="1377"/>
      <c r="G39" s="1075"/>
      <c r="H39" s="1076"/>
      <c r="I39" s="1077"/>
      <c r="J39" s="103" t="s">
        <v>327</v>
      </c>
      <c r="K39" s="514" t="s">
        <v>269</v>
      </c>
      <c r="L39" s="829" t="s">
        <v>269</v>
      </c>
      <c r="M39" s="789" t="s">
        <v>269</v>
      </c>
      <c r="O39" s="927"/>
    </row>
    <row r="40" spans="1:16" s="170" customFormat="1" ht="41.45" customHeight="1" thickBot="1" x14ac:dyDescent="0.25">
      <c r="A40" s="185"/>
      <c r="B40" s="178"/>
      <c r="C40" s="184"/>
      <c r="D40" s="1372" t="s">
        <v>247</v>
      </c>
      <c r="E40" s="31"/>
      <c r="F40" s="1377"/>
      <c r="G40" s="119"/>
      <c r="H40" s="64"/>
      <c r="I40" s="807"/>
      <c r="J40" s="626" t="s">
        <v>248</v>
      </c>
      <c r="K40" s="646">
        <v>4</v>
      </c>
      <c r="L40" s="647"/>
      <c r="M40" s="645"/>
      <c r="O40" s="1804"/>
      <c r="P40" s="1804"/>
    </row>
    <row r="41" spans="1:16" s="170" customFormat="1" ht="16.5" customHeight="1" x14ac:dyDescent="0.2">
      <c r="A41" s="185"/>
      <c r="B41" s="178"/>
      <c r="C41" s="184"/>
      <c r="D41" s="1773" t="s">
        <v>242</v>
      </c>
      <c r="E41" s="31"/>
      <c r="F41" s="1377"/>
      <c r="G41" s="138"/>
      <c r="H41" s="130"/>
      <c r="I41" s="15"/>
      <c r="J41" s="152" t="s">
        <v>100</v>
      </c>
      <c r="K41" s="56">
        <v>6</v>
      </c>
      <c r="L41" s="29">
        <v>6</v>
      </c>
      <c r="M41" s="634"/>
    </row>
    <row r="42" spans="1:16" s="170" customFormat="1" ht="25.5" customHeight="1" thickBot="1" x14ac:dyDescent="0.25">
      <c r="A42" s="185"/>
      <c r="B42" s="178"/>
      <c r="C42" s="184"/>
      <c r="D42" s="1774"/>
      <c r="E42" s="31"/>
      <c r="F42" s="1377"/>
      <c r="G42" s="138"/>
      <c r="H42" s="130"/>
      <c r="I42" s="15"/>
      <c r="J42" s="152"/>
      <c r="K42" s="56"/>
      <c r="L42" s="29"/>
      <c r="M42" s="634"/>
    </row>
    <row r="43" spans="1:16" s="170" customFormat="1" ht="30.75" customHeight="1" thickBot="1" x14ac:dyDescent="0.25">
      <c r="A43" s="185"/>
      <c r="B43" s="178"/>
      <c r="C43" s="184"/>
      <c r="D43" s="411" t="s">
        <v>246</v>
      </c>
      <c r="E43" s="31"/>
      <c r="F43" s="1377"/>
      <c r="G43" s="138"/>
      <c r="H43" s="130"/>
      <c r="I43" s="15"/>
      <c r="J43" s="502" t="s">
        <v>100</v>
      </c>
      <c r="K43" s="228">
        <v>5</v>
      </c>
      <c r="L43" s="220">
        <v>5</v>
      </c>
      <c r="M43" s="194">
        <v>5</v>
      </c>
    </row>
    <row r="44" spans="1:16" s="170" customFormat="1" ht="21.75" customHeight="1" x14ac:dyDescent="0.2">
      <c r="A44" s="185"/>
      <c r="B44" s="178"/>
      <c r="C44" s="184"/>
      <c r="D44" s="1797" t="s">
        <v>243</v>
      </c>
      <c r="E44" s="31"/>
      <c r="F44" s="1377"/>
      <c r="G44" s="119"/>
      <c r="H44" s="64"/>
      <c r="I44" s="807"/>
      <c r="J44" s="485" t="s">
        <v>100</v>
      </c>
      <c r="K44" s="107">
        <v>6</v>
      </c>
      <c r="L44" s="88">
        <v>6</v>
      </c>
      <c r="M44" s="87">
        <v>6</v>
      </c>
    </row>
    <row r="45" spans="1:16" s="170" customFormat="1" ht="21.75" customHeight="1" thickBot="1" x14ac:dyDescent="0.25">
      <c r="A45" s="185"/>
      <c r="B45" s="178"/>
      <c r="C45" s="184"/>
      <c r="D45" s="1798"/>
      <c r="E45" s="31"/>
      <c r="F45" s="1377"/>
      <c r="G45" s="119"/>
      <c r="H45" s="64"/>
      <c r="I45" s="807"/>
      <c r="J45" s="470" t="s">
        <v>101</v>
      </c>
      <c r="K45" s="49">
        <f>1265-50</f>
        <v>1215</v>
      </c>
      <c r="L45" s="373">
        <f>1270-50</f>
        <v>1220</v>
      </c>
      <c r="M45" s="1382">
        <f>1280-50</f>
        <v>1230</v>
      </c>
    </row>
    <row r="46" spans="1:16" s="170" customFormat="1" ht="21.75" customHeight="1" x14ac:dyDescent="0.2">
      <c r="A46" s="185"/>
      <c r="B46" s="178"/>
      <c r="C46" s="184"/>
      <c r="D46" s="1774" t="s">
        <v>192</v>
      </c>
      <c r="E46" s="31"/>
      <c r="F46" s="1377"/>
      <c r="G46" s="119"/>
      <c r="H46" s="64"/>
      <c r="I46" s="807"/>
      <c r="J46" s="1799" t="s">
        <v>160</v>
      </c>
      <c r="K46" s="58">
        <v>1990</v>
      </c>
      <c r="L46" s="143">
        <v>2000</v>
      </c>
      <c r="M46" s="151">
        <v>2020</v>
      </c>
      <c r="O46" s="1801"/>
      <c r="P46" s="1801"/>
    </row>
    <row r="47" spans="1:16" s="190" customFormat="1" ht="19.5" customHeight="1" x14ac:dyDescent="0.2">
      <c r="A47" s="1386"/>
      <c r="B47" s="1387"/>
      <c r="C47" s="1388"/>
      <c r="D47" s="1775"/>
      <c r="E47" s="1389"/>
      <c r="F47" s="1384"/>
      <c r="G47" s="357"/>
      <c r="H47" s="330"/>
      <c r="I47" s="331"/>
      <c r="J47" s="1800"/>
      <c r="K47" s="100"/>
      <c r="L47" s="32"/>
      <c r="M47" s="1007"/>
    </row>
    <row r="48" spans="1:16" s="170" customFormat="1" ht="16.5" customHeight="1" x14ac:dyDescent="0.2">
      <c r="A48" s="182"/>
      <c r="B48" s="178"/>
      <c r="C48" s="184"/>
      <c r="D48" s="1774" t="s">
        <v>114</v>
      </c>
      <c r="E48" s="1052"/>
      <c r="F48" s="1377"/>
      <c r="G48" s="119"/>
      <c r="H48" s="64"/>
      <c r="I48" s="807"/>
      <c r="J48" s="1385" t="s">
        <v>100</v>
      </c>
      <c r="K48" s="1082">
        <v>6</v>
      </c>
      <c r="L48" s="32">
        <v>6</v>
      </c>
      <c r="M48" s="1007">
        <v>6</v>
      </c>
    </row>
    <row r="49" spans="1:17" s="170" customFormat="1" ht="15.75" customHeight="1" x14ac:dyDescent="0.2">
      <c r="A49" s="182"/>
      <c r="B49" s="178"/>
      <c r="C49" s="184"/>
      <c r="D49" s="1774"/>
      <c r="E49" s="1052"/>
      <c r="F49" s="1377"/>
      <c r="G49" s="1072"/>
      <c r="H49" s="1073"/>
      <c r="I49" s="1074"/>
      <c r="J49" s="381" t="s">
        <v>101</v>
      </c>
      <c r="K49" s="67">
        <v>5565</v>
      </c>
      <c r="L49" s="27">
        <v>5570</v>
      </c>
      <c r="M49" s="23">
        <v>5570</v>
      </c>
    </row>
    <row r="50" spans="1:17" s="170" customFormat="1" ht="43.5" customHeight="1" x14ac:dyDescent="0.2">
      <c r="A50" s="182"/>
      <c r="B50" s="178"/>
      <c r="C50" s="184"/>
      <c r="D50" s="1774"/>
      <c r="E50" s="1052"/>
      <c r="F50" s="1377"/>
      <c r="G50" s="119"/>
      <c r="H50" s="64"/>
      <c r="I50" s="807"/>
      <c r="J50" s="733" t="s">
        <v>161</v>
      </c>
      <c r="K50" s="105">
        <v>235</v>
      </c>
      <c r="L50" s="27">
        <v>235</v>
      </c>
      <c r="M50" s="23">
        <v>235</v>
      </c>
      <c r="N50" s="169">
        <v>74.5</v>
      </c>
    </row>
    <row r="51" spans="1:17" s="170" customFormat="1" ht="18" customHeight="1" x14ac:dyDescent="0.2">
      <c r="A51" s="182"/>
      <c r="B51" s="178"/>
      <c r="C51" s="184"/>
      <c r="D51" s="1774"/>
      <c r="E51" s="1052"/>
      <c r="F51" s="1377"/>
      <c r="G51" s="119"/>
      <c r="H51" s="64"/>
      <c r="I51" s="807"/>
      <c r="J51" s="733" t="s">
        <v>162</v>
      </c>
      <c r="K51" s="105">
        <v>100</v>
      </c>
      <c r="L51" s="27">
        <v>100</v>
      </c>
      <c r="M51" s="23">
        <v>100</v>
      </c>
      <c r="N51" s="169">
        <v>14.7</v>
      </c>
    </row>
    <row r="52" spans="1:17" s="170" customFormat="1" ht="18" customHeight="1" x14ac:dyDescent="0.2">
      <c r="A52" s="182"/>
      <c r="B52" s="178"/>
      <c r="C52" s="184"/>
      <c r="D52" s="1774"/>
      <c r="E52" s="1052"/>
      <c r="F52" s="1377"/>
      <c r="G52" s="119"/>
      <c r="H52" s="64"/>
      <c r="I52" s="807"/>
      <c r="J52" s="733" t="s">
        <v>163</v>
      </c>
      <c r="K52" s="105">
        <v>17</v>
      </c>
      <c r="L52" s="27">
        <v>17</v>
      </c>
      <c r="M52" s="23">
        <v>17</v>
      </c>
      <c r="N52" s="169">
        <v>3.5</v>
      </c>
    </row>
    <row r="53" spans="1:17" s="170" customFormat="1" ht="30" customHeight="1" x14ac:dyDescent="0.2">
      <c r="A53" s="182"/>
      <c r="B53" s="178"/>
      <c r="C53" s="184"/>
      <c r="D53" s="1774"/>
      <c r="E53" s="1052"/>
      <c r="F53" s="1377"/>
      <c r="G53" s="119"/>
      <c r="H53" s="64"/>
      <c r="I53" s="807"/>
      <c r="J53" s="381" t="s">
        <v>164</v>
      </c>
      <c r="K53" s="1008">
        <v>118</v>
      </c>
      <c r="L53" s="373">
        <v>118</v>
      </c>
      <c r="M53" s="1382">
        <v>118</v>
      </c>
      <c r="N53" s="169">
        <v>56.3</v>
      </c>
    </row>
    <row r="54" spans="1:17" s="170" customFormat="1" ht="38.25" customHeight="1" thickBot="1" x14ac:dyDescent="0.25">
      <c r="A54" s="182"/>
      <c r="B54" s="178"/>
      <c r="C54" s="184"/>
      <c r="D54" s="1774"/>
      <c r="E54" s="1052"/>
      <c r="F54" s="1377"/>
      <c r="G54" s="119"/>
      <c r="H54" s="64"/>
      <c r="I54" s="1071"/>
      <c r="J54" s="381" t="s">
        <v>237</v>
      </c>
      <c r="K54" s="1380">
        <v>1200</v>
      </c>
      <c r="L54" s="1381"/>
      <c r="M54" s="1382">
        <v>1500</v>
      </c>
      <c r="N54" s="169">
        <v>21</v>
      </c>
    </row>
    <row r="55" spans="1:17" s="170" customFormat="1" ht="27" customHeight="1" x14ac:dyDescent="0.2">
      <c r="A55" s="182"/>
      <c r="B55" s="178"/>
      <c r="C55" s="184"/>
      <c r="D55" s="1802" t="s">
        <v>49</v>
      </c>
      <c r="E55" s="1053" t="s">
        <v>262</v>
      </c>
      <c r="F55" s="1377"/>
      <c r="G55" s="1070"/>
      <c r="H55" s="1070"/>
      <c r="I55" s="15"/>
      <c r="J55" s="951" t="s">
        <v>103</v>
      </c>
      <c r="K55" s="58">
        <v>9600</v>
      </c>
      <c r="L55" s="143">
        <v>9600</v>
      </c>
      <c r="M55" s="151">
        <v>9600</v>
      </c>
      <c r="O55" s="1804"/>
      <c r="P55" s="1804"/>
      <c r="Q55" s="1804"/>
    </row>
    <row r="56" spans="1:17" s="170" customFormat="1" ht="30" customHeight="1" x14ac:dyDescent="0.2">
      <c r="A56" s="182"/>
      <c r="B56" s="178"/>
      <c r="C56" s="184"/>
      <c r="D56" s="1803"/>
      <c r="E56" s="1054"/>
      <c r="F56" s="1377"/>
      <c r="G56" s="119"/>
      <c r="H56" s="64"/>
      <c r="I56" s="807"/>
      <c r="J56" s="715" t="s">
        <v>273</v>
      </c>
      <c r="K56" s="105">
        <v>5</v>
      </c>
      <c r="L56" s="27">
        <v>1</v>
      </c>
      <c r="M56" s="23">
        <v>1</v>
      </c>
    </row>
    <row r="57" spans="1:17" s="170" customFormat="1" ht="18" customHeight="1" thickBot="1" x14ac:dyDescent="0.25">
      <c r="A57" s="182"/>
      <c r="B57" s="178"/>
      <c r="C57" s="184"/>
      <c r="D57" s="1367"/>
      <c r="E57" s="1055"/>
      <c r="F57" s="1377"/>
      <c r="G57" s="1069"/>
      <c r="H57" s="64"/>
      <c r="I57" s="807"/>
      <c r="J57" s="1379" t="s">
        <v>328</v>
      </c>
      <c r="K57" s="157">
        <v>10</v>
      </c>
      <c r="L57" s="267">
        <v>12</v>
      </c>
      <c r="M57" s="1383">
        <v>13</v>
      </c>
    </row>
    <row r="58" spans="1:17" s="170" customFormat="1" ht="14.25" customHeight="1" x14ac:dyDescent="0.2">
      <c r="A58" s="182"/>
      <c r="B58" s="178"/>
      <c r="C58" s="184"/>
      <c r="D58" s="1802" t="s">
        <v>329</v>
      </c>
      <c r="E58" s="1056"/>
      <c r="F58" s="1377"/>
      <c r="G58" s="119"/>
      <c r="H58" s="64"/>
      <c r="I58" s="807"/>
      <c r="J58" s="1368" t="s">
        <v>72</v>
      </c>
      <c r="K58" s="153">
        <v>98</v>
      </c>
      <c r="L58" s="144">
        <v>100</v>
      </c>
      <c r="M58" s="151"/>
    </row>
    <row r="59" spans="1:17" s="170" customFormat="1" ht="14.25" customHeight="1" x14ac:dyDescent="0.2">
      <c r="A59" s="182"/>
      <c r="B59" s="178"/>
      <c r="C59" s="184"/>
      <c r="D59" s="1803"/>
      <c r="E59" s="1056"/>
      <c r="F59" s="1377"/>
      <c r="G59" s="119"/>
      <c r="H59" s="64"/>
      <c r="I59" s="807"/>
      <c r="J59" s="1368"/>
      <c r="K59" s="137"/>
      <c r="L59" s="981"/>
      <c r="M59" s="634"/>
      <c r="O59" s="927"/>
    </row>
    <row r="60" spans="1:17" s="170" customFormat="1" ht="22.5" customHeight="1" thickBot="1" x14ac:dyDescent="0.25">
      <c r="A60" s="182"/>
      <c r="B60" s="178"/>
      <c r="C60" s="184"/>
      <c r="D60" s="1814"/>
      <c r="E60" s="1056"/>
      <c r="F60" s="1377"/>
      <c r="G60" s="119"/>
      <c r="H60" s="64"/>
      <c r="I60" s="807"/>
      <c r="J60" s="1368"/>
      <c r="K60" s="137"/>
      <c r="L60" s="981"/>
      <c r="M60" s="634"/>
      <c r="O60" s="927"/>
    </row>
    <row r="61" spans="1:17" s="170" customFormat="1" ht="12.75" customHeight="1" x14ac:dyDescent="0.2">
      <c r="A61" s="192"/>
      <c r="B61" s="181"/>
      <c r="C61" s="179"/>
      <c r="D61" s="1803" t="s">
        <v>121</v>
      </c>
      <c r="E61" s="985"/>
      <c r="F61" s="1377"/>
      <c r="G61" s="138"/>
      <c r="H61" s="130"/>
      <c r="I61" s="15"/>
      <c r="J61" s="1799" t="s">
        <v>103</v>
      </c>
      <c r="K61" s="58">
        <v>150</v>
      </c>
      <c r="L61" s="143">
        <v>155</v>
      </c>
      <c r="M61" s="151">
        <v>160</v>
      </c>
    </row>
    <row r="62" spans="1:17" s="170" customFormat="1" ht="18.75" customHeight="1" thickBot="1" x14ac:dyDescent="0.25">
      <c r="A62" s="192"/>
      <c r="B62" s="181"/>
      <c r="C62" s="179"/>
      <c r="D62" s="1803"/>
      <c r="E62" s="985"/>
      <c r="F62" s="1377"/>
      <c r="G62" s="138"/>
      <c r="H62" s="130"/>
      <c r="I62" s="15"/>
      <c r="J62" s="1815"/>
      <c r="K62" s="56"/>
      <c r="L62" s="29"/>
      <c r="M62" s="634"/>
    </row>
    <row r="63" spans="1:17" s="170" customFormat="1" ht="43.15" customHeight="1" x14ac:dyDescent="0.2">
      <c r="A63" s="192"/>
      <c r="B63" s="181"/>
      <c r="C63" s="179"/>
      <c r="D63" s="1366" t="s">
        <v>122</v>
      </c>
      <c r="E63" s="1056"/>
      <c r="F63" s="1377"/>
      <c r="G63" s="998"/>
      <c r="H63" s="1378"/>
      <c r="I63" s="999"/>
      <c r="J63" s="485" t="s">
        <v>165</v>
      </c>
      <c r="K63" s="107">
        <v>670</v>
      </c>
      <c r="L63" s="88">
        <v>650</v>
      </c>
      <c r="M63" s="87">
        <v>630</v>
      </c>
    </row>
    <row r="64" spans="1:17" ht="16.5" customHeight="1" x14ac:dyDescent="0.2">
      <c r="A64" s="192"/>
      <c r="B64" s="181"/>
      <c r="C64" s="179"/>
      <c r="D64" s="1366"/>
      <c r="E64" s="1057"/>
      <c r="F64" s="1377"/>
      <c r="G64" s="119"/>
      <c r="H64" s="64"/>
      <c r="I64" s="807"/>
      <c r="J64" s="152" t="s">
        <v>166</v>
      </c>
      <c r="K64" s="56">
        <v>20</v>
      </c>
      <c r="L64" s="29">
        <v>20</v>
      </c>
      <c r="M64" s="634">
        <v>20</v>
      </c>
      <c r="N64" s="240">
        <v>15.8</v>
      </c>
    </row>
    <row r="65" spans="1:16" ht="30.75" customHeight="1" thickBot="1" x14ac:dyDescent="0.25">
      <c r="A65" s="192"/>
      <c r="B65" s="181"/>
      <c r="C65" s="179"/>
      <c r="D65" s="1367"/>
      <c r="E65" s="1056"/>
      <c r="F65" s="1377"/>
      <c r="G65" s="119"/>
      <c r="H65" s="64"/>
      <c r="I65" s="807"/>
      <c r="J65" s="489" t="s">
        <v>104</v>
      </c>
      <c r="K65" s="106">
        <v>13000</v>
      </c>
      <c r="L65" s="191">
        <v>12700</v>
      </c>
      <c r="M65" s="25">
        <v>12500</v>
      </c>
    </row>
    <row r="66" spans="1:16" ht="21" customHeight="1" x14ac:dyDescent="0.2">
      <c r="A66" s="192"/>
      <c r="B66" s="181"/>
      <c r="C66" s="179"/>
      <c r="D66" s="1774" t="s">
        <v>193</v>
      </c>
      <c r="E66" s="1056"/>
      <c r="F66" s="1377"/>
      <c r="G66" s="119"/>
      <c r="H66" s="64"/>
      <c r="I66" s="807"/>
      <c r="J66" s="485" t="s">
        <v>105</v>
      </c>
      <c r="K66" s="107">
        <v>110</v>
      </c>
      <c r="L66" s="220"/>
      <c r="M66" s="87"/>
    </row>
    <row r="67" spans="1:16" ht="21" customHeight="1" thickBot="1" x14ac:dyDescent="0.25">
      <c r="A67" s="192"/>
      <c r="B67" s="181"/>
      <c r="C67" s="179"/>
      <c r="D67" s="1798"/>
      <c r="E67" s="1057"/>
      <c r="F67" s="1377"/>
      <c r="G67" s="119"/>
      <c r="H67" s="64"/>
      <c r="I67" s="807"/>
      <c r="J67" s="470" t="s">
        <v>100</v>
      </c>
      <c r="K67" s="49">
        <v>27</v>
      </c>
      <c r="L67" s="34"/>
      <c r="M67" s="1382"/>
    </row>
    <row r="68" spans="1:16" ht="32.25" customHeight="1" x14ac:dyDescent="0.2">
      <c r="A68" s="177"/>
      <c r="B68" s="181"/>
      <c r="C68" s="179"/>
      <c r="D68" s="1816" t="s">
        <v>167</v>
      </c>
      <c r="E68" s="31" t="s">
        <v>280</v>
      </c>
      <c r="F68" s="1377"/>
      <c r="G68" s="119"/>
      <c r="H68" s="64"/>
      <c r="I68" s="807"/>
      <c r="J68" s="485" t="s">
        <v>244</v>
      </c>
      <c r="K68" s="107"/>
      <c r="L68" s="88">
        <v>6</v>
      </c>
      <c r="M68" s="87"/>
    </row>
    <row r="69" spans="1:16" ht="32.25" customHeight="1" x14ac:dyDescent="0.2">
      <c r="A69" s="177"/>
      <c r="B69" s="181"/>
      <c r="C69" s="179"/>
      <c r="D69" s="1803"/>
      <c r="E69" s="1056"/>
      <c r="F69" s="1377"/>
      <c r="G69" s="119"/>
      <c r="H69" s="64"/>
      <c r="I69" s="807"/>
      <c r="J69" s="470" t="s">
        <v>255</v>
      </c>
      <c r="K69" s="56">
        <v>100</v>
      </c>
      <c r="L69" s="29"/>
      <c r="M69" s="1007">
        <v>1</v>
      </c>
    </row>
    <row r="70" spans="1:16" ht="29.25" customHeight="1" thickBot="1" x14ac:dyDescent="0.25">
      <c r="A70" s="177"/>
      <c r="B70" s="181"/>
      <c r="C70" s="179"/>
      <c r="D70" s="1803"/>
      <c r="E70" s="1056"/>
      <c r="F70" s="1377"/>
      <c r="G70" s="119"/>
      <c r="H70" s="64"/>
      <c r="I70" s="807"/>
      <c r="J70" s="470" t="s">
        <v>276</v>
      </c>
      <c r="K70" s="154">
        <v>15</v>
      </c>
      <c r="L70" s="589">
        <v>15</v>
      </c>
      <c r="M70" s="1383"/>
    </row>
    <row r="71" spans="1:16" ht="42" customHeight="1" x14ac:dyDescent="0.2">
      <c r="A71" s="177"/>
      <c r="B71" s="181"/>
      <c r="C71" s="179"/>
      <c r="D71" s="644" t="s">
        <v>153</v>
      </c>
      <c r="E71" s="1057"/>
      <c r="F71" s="1377"/>
      <c r="G71" s="401"/>
      <c r="H71" s="327"/>
      <c r="I71" s="328"/>
      <c r="J71" s="497"/>
      <c r="K71" s="107"/>
      <c r="L71" s="88"/>
      <c r="M71" s="87"/>
    </row>
    <row r="72" spans="1:16" ht="15.75" customHeight="1" x14ac:dyDescent="0.2">
      <c r="A72" s="177"/>
      <c r="B72" s="181"/>
      <c r="C72" s="179"/>
      <c r="D72" s="1372" t="s">
        <v>238</v>
      </c>
      <c r="E72" s="1056"/>
      <c r="F72" s="1377"/>
      <c r="G72" s="119"/>
      <c r="H72" s="64"/>
      <c r="I72" s="807"/>
      <c r="J72" s="982" t="s">
        <v>102</v>
      </c>
      <c r="K72" s="100">
        <v>120</v>
      </c>
      <c r="L72" s="22">
        <v>150</v>
      </c>
      <c r="M72" s="1007">
        <v>180</v>
      </c>
    </row>
    <row r="73" spans="1:16" ht="17.25" customHeight="1" thickBot="1" x14ac:dyDescent="0.25">
      <c r="A73" s="177"/>
      <c r="B73" s="181"/>
      <c r="C73" s="179"/>
      <c r="D73" s="1363" t="s">
        <v>107</v>
      </c>
      <c r="E73" s="31" t="s">
        <v>280</v>
      </c>
      <c r="F73" s="1377"/>
      <c r="G73" s="119"/>
      <c r="H73" s="64"/>
      <c r="I73" s="807"/>
      <c r="J73" s="1368" t="s">
        <v>100</v>
      </c>
      <c r="K73" s="56">
        <v>2</v>
      </c>
      <c r="L73" s="17"/>
      <c r="M73" s="634"/>
    </row>
    <row r="74" spans="1:16" ht="20.25" customHeight="1" x14ac:dyDescent="0.2">
      <c r="A74" s="177"/>
      <c r="B74" s="181"/>
      <c r="C74" s="179"/>
      <c r="D74" s="1802" t="s">
        <v>330</v>
      </c>
      <c r="E74" s="1053" t="s">
        <v>152</v>
      </c>
      <c r="F74" s="1377"/>
      <c r="G74" s="119"/>
      <c r="H74" s="64"/>
      <c r="I74" s="807"/>
      <c r="J74" s="1150" t="s">
        <v>102</v>
      </c>
      <c r="K74" s="107">
        <v>210</v>
      </c>
      <c r="L74" s="1151">
        <v>270</v>
      </c>
      <c r="M74" s="87">
        <v>360</v>
      </c>
    </row>
    <row r="75" spans="1:16" ht="20.25" customHeight="1" thickBot="1" x14ac:dyDescent="0.25">
      <c r="A75" s="177"/>
      <c r="B75" s="181"/>
      <c r="C75" s="179"/>
      <c r="D75" s="1814"/>
      <c r="E75" s="1153"/>
      <c r="F75" s="1377"/>
      <c r="G75" s="138"/>
      <c r="H75" s="130"/>
      <c r="I75" s="15"/>
      <c r="J75" s="1152" t="s">
        <v>201</v>
      </c>
      <c r="K75" s="56">
        <v>7</v>
      </c>
      <c r="L75" s="116">
        <v>9</v>
      </c>
      <c r="M75" s="1382">
        <v>12</v>
      </c>
    </row>
    <row r="76" spans="1:16" ht="18.75" customHeight="1" x14ac:dyDescent="0.2">
      <c r="A76" s="177"/>
      <c r="B76" s="181"/>
      <c r="C76" s="179"/>
      <c r="D76" s="1805" t="s">
        <v>332</v>
      </c>
      <c r="E76" s="1158" t="s">
        <v>262</v>
      </c>
      <c r="F76" s="1377"/>
      <c r="G76" s="119"/>
      <c r="H76" s="64"/>
      <c r="I76" s="807"/>
      <c r="J76" s="1154" t="s">
        <v>170</v>
      </c>
      <c r="K76" s="1155">
        <v>3.97</v>
      </c>
      <c r="L76" s="1156">
        <v>5.59</v>
      </c>
      <c r="M76" s="1157">
        <v>7.17</v>
      </c>
    </row>
    <row r="77" spans="1:16" ht="31.5" customHeight="1" thickBot="1" x14ac:dyDescent="0.25">
      <c r="A77" s="177"/>
      <c r="B77" s="181"/>
      <c r="C77" s="179"/>
      <c r="D77" s="1806"/>
      <c r="E77" s="1159" t="s">
        <v>280</v>
      </c>
      <c r="F77" s="1377"/>
      <c r="G77" s="119"/>
      <c r="H77" s="64"/>
      <c r="I77" s="807"/>
      <c r="J77" s="103" t="s">
        <v>169</v>
      </c>
      <c r="K77" s="106">
        <v>53</v>
      </c>
      <c r="L77" s="139">
        <v>51</v>
      </c>
      <c r="M77" s="25">
        <v>25</v>
      </c>
    </row>
    <row r="78" spans="1:16" ht="53.25" customHeight="1" x14ac:dyDescent="0.2">
      <c r="A78" s="198"/>
      <c r="B78" s="199"/>
      <c r="C78" s="200"/>
      <c r="D78" s="1365" t="s">
        <v>73</v>
      </c>
      <c r="E78" s="92"/>
      <c r="F78" s="987"/>
      <c r="G78" s="73"/>
      <c r="H78" s="64"/>
      <c r="I78" s="807"/>
      <c r="J78" s="77" t="s">
        <v>123</v>
      </c>
      <c r="K78" s="124">
        <v>473</v>
      </c>
      <c r="L78" s="125">
        <v>473</v>
      </c>
      <c r="M78" s="126">
        <v>473</v>
      </c>
      <c r="O78" s="1801"/>
      <c r="P78" s="1801"/>
    </row>
    <row r="79" spans="1:16" ht="27.75" customHeight="1" thickBot="1" x14ac:dyDescent="0.25">
      <c r="A79" s="198"/>
      <c r="B79" s="199"/>
      <c r="C79" s="200"/>
      <c r="D79" s="1364"/>
      <c r="E79" s="92"/>
      <c r="F79" s="1377"/>
      <c r="G79" s="73"/>
      <c r="H79" s="1004"/>
      <c r="I79" s="41"/>
      <c r="J79" s="21" t="s">
        <v>253</v>
      </c>
      <c r="K79" s="830">
        <v>10</v>
      </c>
      <c r="L79" s="34">
        <v>10</v>
      </c>
      <c r="M79" s="13">
        <v>10</v>
      </c>
    </row>
    <row r="80" spans="1:16" ht="18.75" customHeight="1" x14ac:dyDescent="0.2">
      <c r="A80" s="198"/>
      <c r="B80" s="199"/>
      <c r="C80" s="200"/>
      <c r="D80" s="832" t="s">
        <v>54</v>
      </c>
      <c r="E80" s="115"/>
      <c r="F80" s="987"/>
      <c r="G80" s="73"/>
      <c r="H80" s="1004"/>
      <c r="I80" s="41"/>
      <c r="J80" s="802" t="s">
        <v>108</v>
      </c>
      <c r="K80" s="221">
        <v>17</v>
      </c>
      <c r="L80" s="481">
        <v>17</v>
      </c>
      <c r="M80" s="194">
        <v>17</v>
      </c>
    </row>
    <row r="81" spans="1:16" ht="18.75" customHeight="1" x14ac:dyDescent="0.2">
      <c r="A81" s="198"/>
      <c r="B81" s="199"/>
      <c r="C81" s="197"/>
      <c r="D81" s="1372" t="s">
        <v>92</v>
      </c>
      <c r="E81" s="95"/>
      <c r="F81" s="987"/>
      <c r="G81" s="73"/>
      <c r="H81" s="1004"/>
      <c r="I81" s="41"/>
      <c r="J81" s="455" t="s">
        <v>101</v>
      </c>
      <c r="K81" s="67">
        <v>1215</v>
      </c>
      <c r="L81" s="26">
        <v>1215</v>
      </c>
      <c r="M81" s="375">
        <v>1215</v>
      </c>
    </row>
    <row r="82" spans="1:16" ht="18.75" customHeight="1" x14ac:dyDescent="0.2">
      <c r="A82" s="198"/>
      <c r="B82" s="199"/>
      <c r="C82" s="197"/>
      <c r="D82" s="1773" t="s">
        <v>171</v>
      </c>
      <c r="E82" s="95"/>
      <c r="F82" s="1384"/>
      <c r="G82" s="354"/>
      <c r="H82" s="265"/>
      <c r="I82" s="1101"/>
      <c r="J82" s="600" t="s">
        <v>100</v>
      </c>
      <c r="K82" s="596">
        <v>1</v>
      </c>
      <c r="L82" s="597">
        <v>1</v>
      </c>
      <c r="M82" s="598"/>
    </row>
    <row r="83" spans="1:16" ht="25.5" customHeight="1" thickBot="1" x14ac:dyDescent="0.25">
      <c r="A83" s="635"/>
      <c r="B83" s="204"/>
      <c r="C83" s="205"/>
      <c r="D83" s="1798"/>
      <c r="E83" s="1807" t="s">
        <v>50</v>
      </c>
      <c r="F83" s="1808"/>
      <c r="G83" s="101">
        <f>SUM(G14:G82)</f>
        <v>90635.89999999998</v>
      </c>
      <c r="H83" s="62">
        <f>SUM(H14:H82)</f>
        <v>88727.3</v>
      </c>
      <c r="I83" s="1125">
        <f>SUM(I14:I82)</f>
        <v>88577.1</v>
      </c>
      <c r="J83" s="808" t="s">
        <v>101</v>
      </c>
      <c r="K83" s="1390">
        <v>4</v>
      </c>
      <c r="L83" s="1391">
        <v>4</v>
      </c>
      <c r="M83" s="1392">
        <v>4</v>
      </c>
    </row>
    <row r="84" spans="1:16" ht="32.25" customHeight="1" x14ac:dyDescent="0.2">
      <c r="A84" s="234" t="s">
        <v>14</v>
      </c>
      <c r="B84" s="209" t="s">
        <v>14</v>
      </c>
      <c r="C84" s="210" t="s">
        <v>17</v>
      </c>
      <c r="D84" s="1237" t="s">
        <v>74</v>
      </c>
      <c r="E84" s="414"/>
      <c r="F84" s="1003"/>
      <c r="G84" s="341"/>
      <c r="H84" s="339"/>
      <c r="I84" s="340"/>
      <c r="J84" s="465"/>
      <c r="K84" s="124"/>
      <c r="L84" s="125"/>
      <c r="M84" s="126"/>
    </row>
    <row r="85" spans="1:16" ht="30.75" customHeight="1" x14ac:dyDescent="0.2">
      <c r="A85" s="198"/>
      <c r="B85" s="199"/>
      <c r="C85" s="200"/>
      <c r="D85" s="683" t="s">
        <v>249</v>
      </c>
      <c r="E85" s="416"/>
      <c r="F85" s="592" t="s">
        <v>18</v>
      </c>
      <c r="G85" s="275">
        <v>214.1</v>
      </c>
      <c r="H85" s="276">
        <v>214.1</v>
      </c>
      <c r="I85" s="277">
        <v>214.1</v>
      </c>
      <c r="J85" s="464" t="s">
        <v>101</v>
      </c>
      <c r="K85" s="108">
        <v>2690</v>
      </c>
      <c r="L85" s="1010">
        <v>2690</v>
      </c>
      <c r="M85" s="478">
        <v>2700</v>
      </c>
    </row>
    <row r="86" spans="1:16" s="170" customFormat="1" ht="18" customHeight="1" x14ac:dyDescent="0.2">
      <c r="A86" s="198"/>
      <c r="B86" s="199"/>
      <c r="C86" s="200"/>
      <c r="D86" s="1205" t="s">
        <v>53</v>
      </c>
      <c r="E86" s="950" t="s">
        <v>262</v>
      </c>
      <c r="F86" s="506" t="s">
        <v>15</v>
      </c>
      <c r="G86" s="425">
        <v>120</v>
      </c>
      <c r="H86" s="426">
        <v>130</v>
      </c>
      <c r="I86" s="225">
        <v>140</v>
      </c>
      <c r="J86" s="499" t="s">
        <v>124</v>
      </c>
      <c r="K86" s="1011">
        <v>60</v>
      </c>
      <c r="L86" s="93">
        <v>70</v>
      </c>
      <c r="M86" s="13">
        <v>80</v>
      </c>
      <c r="N86" s="649"/>
    </row>
    <row r="87" spans="1:16" ht="15.75" customHeight="1" x14ac:dyDescent="0.2">
      <c r="A87" s="185"/>
      <c r="B87" s="199"/>
      <c r="C87" s="200"/>
      <c r="D87" s="1809" t="s">
        <v>68</v>
      </c>
      <c r="E87" s="837"/>
      <c r="F87" s="1000" t="s">
        <v>89</v>
      </c>
      <c r="G87" s="275">
        <v>730.3</v>
      </c>
      <c r="H87" s="446">
        <v>730.3</v>
      </c>
      <c r="I87" s="440">
        <v>730.3</v>
      </c>
      <c r="J87" s="838" t="s">
        <v>124</v>
      </c>
      <c r="K87" s="45">
        <v>100</v>
      </c>
      <c r="L87" s="839">
        <v>100</v>
      </c>
      <c r="M87" s="840">
        <v>100</v>
      </c>
      <c r="N87" s="57"/>
    </row>
    <row r="88" spans="1:16" ht="15.75" customHeight="1" x14ac:dyDescent="0.2">
      <c r="A88" s="185"/>
      <c r="B88" s="199"/>
      <c r="C88" s="200"/>
      <c r="D88" s="1810"/>
      <c r="E88" s="416"/>
      <c r="F88" s="581" t="s">
        <v>221</v>
      </c>
      <c r="G88" s="275">
        <v>0.2</v>
      </c>
      <c r="H88" s="276"/>
      <c r="I88" s="1254"/>
      <c r="J88" s="1953" t="s">
        <v>224</v>
      </c>
      <c r="K88" s="830">
        <v>5600</v>
      </c>
      <c r="L88" s="34">
        <v>5600</v>
      </c>
      <c r="M88" s="13">
        <v>5600</v>
      </c>
      <c r="N88" s="57"/>
    </row>
    <row r="89" spans="1:16" ht="15.75" customHeight="1" thickBot="1" x14ac:dyDescent="0.25">
      <c r="A89" s="212"/>
      <c r="B89" s="213"/>
      <c r="C89" s="214"/>
      <c r="D89" s="1811"/>
      <c r="E89" s="415"/>
      <c r="F89" s="574" t="s">
        <v>16</v>
      </c>
      <c r="G89" s="35">
        <f>SUM(G85:G88)</f>
        <v>1064.6000000000001</v>
      </c>
      <c r="H89" s="62">
        <f>SUM(H85:H88)</f>
        <v>1074.4000000000001</v>
      </c>
      <c r="I89" s="226">
        <f>SUM(I85:I88)</f>
        <v>1084.4000000000001</v>
      </c>
      <c r="J89" s="1954"/>
      <c r="K89" s="110"/>
      <c r="L89" s="91"/>
      <c r="M89" s="43"/>
      <c r="N89" s="57"/>
    </row>
    <row r="90" spans="1:16" ht="31.5" customHeight="1" x14ac:dyDescent="0.2">
      <c r="A90" s="234" t="s">
        <v>14</v>
      </c>
      <c r="B90" s="209" t="s">
        <v>14</v>
      </c>
      <c r="C90" s="210" t="s">
        <v>19</v>
      </c>
      <c r="D90" s="1797" t="s">
        <v>61</v>
      </c>
      <c r="E90" s="416"/>
      <c r="F90" s="1249" t="s">
        <v>15</v>
      </c>
      <c r="G90" s="389">
        <v>3.9</v>
      </c>
      <c r="H90" s="318">
        <v>3.9</v>
      </c>
      <c r="I90" s="367">
        <v>3.9</v>
      </c>
      <c r="J90" s="77" t="s">
        <v>109</v>
      </c>
      <c r="K90" s="124">
        <v>10</v>
      </c>
      <c r="L90" s="125">
        <v>10</v>
      </c>
      <c r="M90" s="194">
        <v>10</v>
      </c>
      <c r="N90" s="57"/>
    </row>
    <row r="91" spans="1:16" ht="15" customHeight="1" thickBot="1" x14ac:dyDescent="0.25">
      <c r="A91" s="216"/>
      <c r="B91" s="204"/>
      <c r="C91" s="214"/>
      <c r="D91" s="1798"/>
      <c r="E91" s="415"/>
      <c r="F91" s="574" t="s">
        <v>16</v>
      </c>
      <c r="G91" s="35">
        <f t="shared" ref="G91:I91" si="0">G90</f>
        <v>3.9</v>
      </c>
      <c r="H91" s="62">
        <f t="shared" si="0"/>
        <v>3.9</v>
      </c>
      <c r="I91" s="226">
        <f t="shared" si="0"/>
        <v>3.9</v>
      </c>
      <c r="J91" s="21" t="s">
        <v>102</v>
      </c>
      <c r="K91" s="142">
        <v>860</v>
      </c>
      <c r="L91" s="36">
        <v>860</v>
      </c>
      <c r="M91" s="37">
        <v>860</v>
      </c>
      <c r="N91" s="57"/>
    </row>
    <row r="92" spans="1:16" ht="18.75" customHeight="1" x14ac:dyDescent="0.2">
      <c r="A92" s="172" t="s">
        <v>14</v>
      </c>
      <c r="B92" s="209" t="s">
        <v>14</v>
      </c>
      <c r="C92" s="210" t="s">
        <v>21</v>
      </c>
      <c r="D92" s="1829" t="s">
        <v>113</v>
      </c>
      <c r="E92" s="414"/>
      <c r="F92" s="1012" t="s">
        <v>15</v>
      </c>
      <c r="G92" s="425">
        <v>23.4</v>
      </c>
      <c r="H92" s="426">
        <v>23.4</v>
      </c>
      <c r="I92" s="428">
        <v>23.4</v>
      </c>
      <c r="J92" s="1830" t="s">
        <v>125</v>
      </c>
      <c r="K92" s="7">
        <v>39</v>
      </c>
      <c r="L92" s="590">
        <v>39</v>
      </c>
      <c r="M92" s="239">
        <v>39</v>
      </c>
      <c r="N92" s="57"/>
      <c r="O92" s="1832"/>
      <c r="P92" s="1832"/>
    </row>
    <row r="93" spans="1:16" ht="18.75" customHeight="1" thickBot="1" x14ac:dyDescent="0.25">
      <c r="A93" s="212"/>
      <c r="B93" s="213"/>
      <c r="C93" s="214"/>
      <c r="D93" s="1811"/>
      <c r="E93" s="415"/>
      <c r="F93" s="574" t="s">
        <v>16</v>
      </c>
      <c r="G93" s="35">
        <f t="shared" ref="G93:I93" si="1">SUM(G92)</f>
        <v>23.4</v>
      </c>
      <c r="H93" s="62">
        <f t="shared" si="1"/>
        <v>23.4</v>
      </c>
      <c r="I93" s="226">
        <f t="shared" si="1"/>
        <v>23.4</v>
      </c>
      <c r="J93" s="1831"/>
      <c r="K93" s="451"/>
      <c r="L93" s="591"/>
      <c r="M93" s="374"/>
    </row>
    <row r="94" spans="1:16" ht="53.25" customHeight="1" x14ac:dyDescent="0.2">
      <c r="A94" s="172" t="s">
        <v>14</v>
      </c>
      <c r="B94" s="209" t="s">
        <v>14</v>
      </c>
      <c r="C94" s="210" t="s">
        <v>22</v>
      </c>
      <c r="D94" s="1829" t="s">
        <v>110</v>
      </c>
      <c r="E94" s="414" t="s">
        <v>46</v>
      </c>
      <c r="F94" s="1012" t="s">
        <v>15</v>
      </c>
      <c r="G94" s="422">
        <v>105.6</v>
      </c>
      <c r="H94" s="339">
        <v>155.80000000000001</v>
      </c>
      <c r="I94" s="340">
        <v>126</v>
      </c>
      <c r="J94" s="77" t="s">
        <v>81</v>
      </c>
      <c r="K94" s="124">
        <v>7800</v>
      </c>
      <c r="L94" s="125">
        <v>7800</v>
      </c>
      <c r="M94" s="126">
        <v>7800</v>
      </c>
      <c r="O94" s="1832"/>
      <c r="P94" s="1832"/>
    </row>
    <row r="95" spans="1:16" ht="15.75" customHeight="1" thickBot="1" x14ac:dyDescent="0.25">
      <c r="A95" s="212"/>
      <c r="B95" s="213"/>
      <c r="C95" s="214"/>
      <c r="D95" s="1811"/>
      <c r="E95" s="415"/>
      <c r="F95" s="574" t="s">
        <v>16</v>
      </c>
      <c r="G95" s="35">
        <f>SUM(G94:G94)</f>
        <v>105.6</v>
      </c>
      <c r="H95" s="62">
        <f>SUM(H94:H94)</f>
        <v>155.80000000000001</v>
      </c>
      <c r="I95" s="226">
        <f>SUM(I94:I94)</f>
        <v>126</v>
      </c>
      <c r="J95" s="1253"/>
      <c r="K95" s="110"/>
      <c r="L95" s="264"/>
      <c r="M95" s="43"/>
    </row>
    <row r="96" spans="1:16" ht="18.75" customHeight="1" x14ac:dyDescent="0.2">
      <c r="A96" s="172" t="s">
        <v>14</v>
      </c>
      <c r="B96" s="209" t="s">
        <v>14</v>
      </c>
      <c r="C96" s="210" t="s">
        <v>85</v>
      </c>
      <c r="D96" s="1829" t="s">
        <v>119</v>
      </c>
      <c r="E96" s="414"/>
      <c r="F96" s="1012" t="s">
        <v>15</v>
      </c>
      <c r="G96" s="44">
        <v>5.7</v>
      </c>
      <c r="H96" s="89">
        <v>5.7</v>
      </c>
      <c r="I96" s="340">
        <v>5.7</v>
      </c>
      <c r="J96" s="984" t="s">
        <v>100</v>
      </c>
      <c r="K96" s="124">
        <v>92</v>
      </c>
      <c r="L96" s="125">
        <v>92</v>
      </c>
      <c r="M96" s="126">
        <v>92</v>
      </c>
    </row>
    <row r="97" spans="1:14" ht="16.5" customHeight="1" thickBot="1" x14ac:dyDescent="0.25">
      <c r="A97" s="212"/>
      <c r="B97" s="213"/>
      <c r="C97" s="214"/>
      <c r="D97" s="1811"/>
      <c r="E97" s="415"/>
      <c r="F97" s="574" t="s">
        <v>16</v>
      </c>
      <c r="G97" s="35">
        <f t="shared" ref="G97:I97" si="2">SUM(G96)</f>
        <v>5.7</v>
      </c>
      <c r="H97" s="62">
        <f t="shared" si="2"/>
        <v>5.7</v>
      </c>
      <c r="I97" s="226">
        <f t="shared" si="2"/>
        <v>5.7</v>
      </c>
      <c r="J97" s="1253"/>
      <c r="K97" s="110"/>
      <c r="L97" s="91"/>
      <c r="M97" s="43"/>
    </row>
    <row r="98" spans="1:14" ht="13.5" customHeight="1" thickBot="1" x14ac:dyDescent="0.25">
      <c r="A98" s="229" t="s">
        <v>14</v>
      </c>
      <c r="B98" s="230" t="s">
        <v>14</v>
      </c>
      <c r="C98" s="1843" t="s">
        <v>20</v>
      </c>
      <c r="D98" s="1844"/>
      <c r="E98" s="1844"/>
      <c r="F98" s="1844"/>
      <c r="G98" s="343">
        <f>G83+G89+G93+G95+G97+G91</f>
        <v>91839.099999999977</v>
      </c>
      <c r="H98" s="343">
        <f>H83+H89+H93+H95+H97+H91</f>
        <v>89990.499999999985</v>
      </c>
      <c r="I98" s="343">
        <f>I83+I89+I93+I95+I97+I91</f>
        <v>89820.499999999985</v>
      </c>
      <c r="J98" s="231"/>
      <c r="K98" s="232"/>
      <c r="L98" s="232"/>
      <c r="M98" s="233"/>
    </row>
    <row r="99" spans="1:14" ht="15.75" customHeight="1" thickBot="1" x14ac:dyDescent="0.25">
      <c r="A99" s="229" t="s">
        <v>14</v>
      </c>
      <c r="B99" s="1845" t="s">
        <v>6</v>
      </c>
      <c r="C99" s="1846"/>
      <c r="D99" s="1846"/>
      <c r="E99" s="1846"/>
      <c r="F99" s="1846"/>
      <c r="G99" s="346">
        <f>G98</f>
        <v>91839.099999999977</v>
      </c>
      <c r="H99" s="347">
        <f t="shared" ref="H99:I99" si="3">H98</f>
        <v>89990.499999999985</v>
      </c>
      <c r="I99" s="439">
        <f t="shared" si="3"/>
        <v>89820.499999999985</v>
      </c>
      <c r="J99" s="160"/>
      <c r="K99" s="160"/>
      <c r="L99" s="160"/>
      <c r="M99" s="161"/>
    </row>
    <row r="100" spans="1:14" ht="15.75" customHeight="1" thickBot="1" x14ac:dyDescent="0.25">
      <c r="A100" s="234" t="s">
        <v>17</v>
      </c>
      <c r="B100" s="1847" t="s">
        <v>36</v>
      </c>
      <c r="C100" s="1848"/>
      <c r="D100" s="1848"/>
      <c r="E100" s="1848"/>
      <c r="F100" s="1848"/>
      <c r="G100" s="1848"/>
      <c r="H100" s="1848"/>
      <c r="I100" s="1848"/>
      <c r="J100" s="1848"/>
      <c r="K100" s="1848"/>
      <c r="L100" s="1848"/>
      <c r="M100" s="1849"/>
    </row>
    <row r="101" spans="1:14" ht="15.75" customHeight="1" thickBot="1" x14ac:dyDescent="0.25">
      <c r="A101" s="235" t="s">
        <v>17</v>
      </c>
      <c r="B101" s="236" t="s">
        <v>14</v>
      </c>
      <c r="C101" s="1850" t="s">
        <v>32</v>
      </c>
      <c r="D101" s="1851"/>
      <c r="E101" s="1851"/>
      <c r="F101" s="1851"/>
      <c r="G101" s="1851"/>
      <c r="H101" s="1851"/>
      <c r="I101" s="1851"/>
      <c r="J101" s="1852"/>
      <c r="K101" s="1852"/>
      <c r="L101" s="1852"/>
      <c r="M101" s="1853"/>
    </row>
    <row r="102" spans="1:14" s="9" customFormat="1" ht="27.75" customHeight="1" x14ac:dyDescent="0.2">
      <c r="A102" s="1817" t="s">
        <v>17</v>
      </c>
      <c r="B102" s="1820" t="s">
        <v>14</v>
      </c>
      <c r="C102" s="1823" t="s">
        <v>14</v>
      </c>
      <c r="D102" s="1797" t="s">
        <v>174</v>
      </c>
      <c r="E102" s="1826" t="s">
        <v>262</v>
      </c>
      <c r="F102" s="983" t="s">
        <v>15</v>
      </c>
      <c r="G102" s="1081">
        <f>35.9+23</f>
        <v>58.9</v>
      </c>
      <c r="H102" s="334">
        <v>71.7</v>
      </c>
      <c r="I102" s="938">
        <v>71.7</v>
      </c>
      <c r="J102" s="1972" t="s">
        <v>260</v>
      </c>
      <c r="K102" s="153">
        <v>6</v>
      </c>
      <c r="L102" s="143">
        <v>6</v>
      </c>
      <c r="M102" s="151">
        <v>6</v>
      </c>
    </row>
    <row r="103" spans="1:14" s="9" customFormat="1" ht="27.75" customHeight="1" x14ac:dyDescent="0.2">
      <c r="A103" s="1818"/>
      <c r="B103" s="1821"/>
      <c r="C103" s="1824"/>
      <c r="D103" s="1774"/>
      <c r="E103" s="1827"/>
      <c r="F103" s="1242" t="s">
        <v>87</v>
      </c>
      <c r="G103" s="1081">
        <v>218.6</v>
      </c>
      <c r="H103" s="334"/>
      <c r="I103" s="938"/>
      <c r="J103" s="1908"/>
      <c r="K103" s="1082"/>
      <c r="L103" s="32"/>
      <c r="M103" s="1007"/>
    </row>
    <row r="104" spans="1:14" s="9" customFormat="1" ht="30" customHeight="1" x14ac:dyDescent="0.2">
      <c r="A104" s="1818"/>
      <c r="B104" s="1821"/>
      <c r="C104" s="1824"/>
      <c r="D104" s="1774"/>
      <c r="E104" s="1827"/>
      <c r="F104" s="1241"/>
      <c r="G104" s="333"/>
      <c r="H104" s="64"/>
      <c r="I104" s="807"/>
      <c r="J104" s="737" t="s">
        <v>333</v>
      </c>
      <c r="K104" s="137">
        <v>2</v>
      </c>
      <c r="L104" s="29">
        <v>2</v>
      </c>
      <c r="M104" s="634">
        <v>2</v>
      </c>
    </row>
    <row r="105" spans="1:14" s="9" customFormat="1" ht="15.75" customHeight="1" thickBot="1" x14ac:dyDescent="0.25">
      <c r="A105" s="1819"/>
      <c r="B105" s="1822"/>
      <c r="C105" s="1825"/>
      <c r="D105" s="1798"/>
      <c r="E105" s="1828"/>
      <c r="F105" s="391" t="s">
        <v>16</v>
      </c>
      <c r="G105" s="886">
        <f>SUM(G102:G104)</f>
        <v>277.5</v>
      </c>
      <c r="H105" s="887">
        <f>SUM(H102:H104)</f>
        <v>71.7</v>
      </c>
      <c r="I105" s="906">
        <f>SUM(I102:I104)</f>
        <v>71.7</v>
      </c>
      <c r="J105" s="381" t="s">
        <v>111</v>
      </c>
      <c r="K105" s="106">
        <v>390</v>
      </c>
      <c r="L105" s="589"/>
      <c r="M105" s="25"/>
    </row>
    <row r="106" spans="1:14" ht="14.25" customHeight="1" x14ac:dyDescent="0.2">
      <c r="A106" s="234" t="s">
        <v>17</v>
      </c>
      <c r="B106" s="209" t="s">
        <v>14</v>
      </c>
      <c r="C106" s="210" t="s">
        <v>17</v>
      </c>
      <c r="D106" s="1835" t="s">
        <v>294</v>
      </c>
      <c r="E106" s="1085" t="s">
        <v>2</v>
      </c>
      <c r="F106" s="1018" t="s">
        <v>15</v>
      </c>
      <c r="G106" s="1178">
        <v>1727.5</v>
      </c>
      <c r="H106" s="1179">
        <f>4822.1+310+20</f>
        <v>5152.1000000000004</v>
      </c>
      <c r="I106" s="1192">
        <f>3314.5+370+9.9</f>
        <v>3694.4</v>
      </c>
      <c r="J106" s="1012"/>
      <c r="K106" s="520"/>
      <c r="L106" s="1087"/>
      <c r="M106" s="203"/>
      <c r="N106" s="240"/>
    </row>
    <row r="107" spans="1:14" ht="14.25" customHeight="1" x14ac:dyDescent="0.2">
      <c r="A107" s="198"/>
      <c r="B107" s="199"/>
      <c r="C107" s="200"/>
      <c r="D107" s="1836"/>
      <c r="E107" s="238"/>
      <c r="F107" s="1018" t="s">
        <v>87</v>
      </c>
      <c r="G107" s="1180">
        <f>4239.2-20</f>
        <v>4219.2</v>
      </c>
      <c r="H107" s="841"/>
      <c r="I107" s="1193"/>
      <c r="J107" s="1000"/>
      <c r="L107" s="1088"/>
      <c r="M107" s="1009"/>
      <c r="N107" s="240"/>
    </row>
    <row r="108" spans="1:14" ht="14.25" customHeight="1" x14ac:dyDescent="0.2">
      <c r="A108" s="198"/>
      <c r="B108" s="199"/>
      <c r="C108" s="200"/>
      <c r="D108" s="1836"/>
      <c r="E108" s="238"/>
      <c r="F108" s="1018" t="s">
        <v>89</v>
      </c>
      <c r="G108" s="1180">
        <v>558.4</v>
      </c>
      <c r="H108" s="841"/>
      <c r="I108" s="1193"/>
      <c r="J108" s="1000"/>
      <c r="L108" s="1088"/>
      <c r="M108" s="1009"/>
      <c r="N108" s="240"/>
    </row>
    <row r="109" spans="1:14" ht="14.25" customHeight="1" x14ac:dyDescent="0.2">
      <c r="A109" s="198"/>
      <c r="B109" s="199"/>
      <c r="C109" s="200"/>
      <c r="D109" s="1836"/>
      <c r="E109" s="238"/>
      <c r="F109" s="1018" t="s">
        <v>221</v>
      </c>
      <c r="G109" s="1181">
        <v>43.8</v>
      </c>
      <c r="H109" s="841"/>
      <c r="I109" s="1193"/>
      <c r="J109" s="1000"/>
      <c r="L109" s="1088"/>
      <c r="M109" s="1009"/>
      <c r="N109" s="240"/>
    </row>
    <row r="110" spans="1:14" ht="14.25" customHeight="1" x14ac:dyDescent="0.2">
      <c r="A110" s="198"/>
      <c r="B110" s="199"/>
      <c r="C110" s="200"/>
      <c r="D110" s="1836"/>
      <c r="E110" s="238"/>
      <c r="F110" s="1018" t="s">
        <v>18</v>
      </c>
      <c r="G110" s="1181">
        <v>169.3</v>
      </c>
      <c r="H110" s="841"/>
      <c r="I110" s="1193"/>
      <c r="J110" s="1000"/>
      <c r="L110" s="1088"/>
      <c r="M110" s="1009"/>
      <c r="N110" s="240"/>
    </row>
    <row r="111" spans="1:14" ht="14.25" customHeight="1" x14ac:dyDescent="0.2">
      <c r="A111" s="198"/>
      <c r="B111" s="199"/>
      <c r="C111" s="200"/>
      <c r="D111" s="1836"/>
      <c r="E111" s="238"/>
      <c r="F111" s="1018" t="s">
        <v>222</v>
      </c>
      <c r="G111" s="1181">
        <v>3.6</v>
      </c>
      <c r="H111" s="841"/>
      <c r="I111" s="1193"/>
      <c r="J111" s="1000"/>
      <c r="L111" s="1088"/>
      <c r="M111" s="1009"/>
      <c r="N111" s="240"/>
    </row>
    <row r="112" spans="1:14" ht="14.25" customHeight="1" x14ac:dyDescent="0.2">
      <c r="A112" s="198"/>
      <c r="B112" s="199"/>
      <c r="C112" s="200"/>
      <c r="D112" s="1836"/>
      <c r="E112" s="238"/>
      <c r="F112" s="1172" t="s">
        <v>155</v>
      </c>
      <c r="G112" s="1181">
        <f>SUMIF(F117:F152,"sb(p)",G117:G152)</f>
        <v>0</v>
      </c>
      <c r="H112" s="841">
        <v>2900</v>
      </c>
      <c r="I112" s="1193"/>
      <c r="J112" s="1000"/>
      <c r="L112" s="1088"/>
      <c r="M112" s="1009"/>
      <c r="N112" s="240"/>
    </row>
    <row r="113" spans="1:19" ht="14.25" customHeight="1" x14ac:dyDescent="0.2">
      <c r="A113" s="198"/>
      <c r="B113" s="199"/>
      <c r="C113" s="200"/>
      <c r="D113" s="1836"/>
      <c r="E113" s="238"/>
      <c r="F113" s="1018" t="s">
        <v>3</v>
      </c>
      <c r="G113" s="1181">
        <v>191.6</v>
      </c>
      <c r="H113" s="841"/>
      <c r="I113" s="1193"/>
      <c r="J113" s="1000"/>
      <c r="L113" s="1088"/>
      <c r="M113" s="1009"/>
      <c r="N113" s="240"/>
    </row>
    <row r="114" spans="1:19" ht="14.25" customHeight="1" x14ac:dyDescent="0.2">
      <c r="A114" s="198"/>
      <c r="B114" s="199"/>
      <c r="C114" s="200"/>
      <c r="D114" s="1836"/>
      <c r="E114" s="238"/>
      <c r="F114" s="1173" t="s">
        <v>304</v>
      </c>
      <c r="G114" s="1181">
        <v>692.9</v>
      </c>
      <c r="H114" s="841">
        <v>551</v>
      </c>
      <c r="I114" s="1193"/>
      <c r="J114" s="1000"/>
      <c r="L114" s="1088"/>
      <c r="M114" s="1009"/>
      <c r="N114" s="240"/>
    </row>
    <row r="115" spans="1:19" ht="14.25" customHeight="1" x14ac:dyDescent="0.2">
      <c r="A115" s="198"/>
      <c r="B115" s="199"/>
      <c r="C115" s="200"/>
      <c r="D115" s="1836"/>
      <c r="E115" s="238"/>
      <c r="F115" s="1173" t="s">
        <v>4</v>
      </c>
      <c r="G115" s="1181">
        <v>1026.7</v>
      </c>
      <c r="H115" s="841">
        <v>381</v>
      </c>
      <c r="I115" s="1193"/>
      <c r="J115" s="1000"/>
      <c r="L115" s="1088"/>
      <c r="M115" s="1009"/>
      <c r="N115" s="240"/>
    </row>
    <row r="116" spans="1:19" ht="15.75" customHeight="1" x14ac:dyDescent="0.2">
      <c r="A116" s="198"/>
      <c r="B116" s="199"/>
      <c r="C116" s="200"/>
      <c r="D116" s="1836"/>
      <c r="E116" s="238"/>
      <c r="F116" s="1173" t="s">
        <v>292</v>
      </c>
      <c r="G116" s="1182">
        <v>89.9</v>
      </c>
      <c r="H116" s="1189">
        <f>SUMIF(F117:F152,"kt",H117:H152)</f>
        <v>0</v>
      </c>
      <c r="I116" s="1194"/>
      <c r="J116" s="1000"/>
      <c r="L116" s="1088"/>
      <c r="M116" s="1009"/>
      <c r="N116" s="240"/>
    </row>
    <row r="117" spans="1:19" ht="22.5" customHeight="1" x14ac:dyDescent="0.2">
      <c r="A117" s="198"/>
      <c r="B117" s="199"/>
      <c r="C117" s="200"/>
      <c r="D117" s="1837" t="s">
        <v>126</v>
      </c>
      <c r="E117" s="238"/>
      <c r="F117" s="1190"/>
      <c r="G117" s="1191"/>
      <c r="H117" s="1004"/>
      <c r="I117" s="1089"/>
      <c r="J117" s="1000"/>
      <c r="L117" s="1088"/>
      <c r="M117" s="1009"/>
      <c r="N117" s="240"/>
    </row>
    <row r="118" spans="1:19" ht="22.5" customHeight="1" x14ac:dyDescent="0.2">
      <c r="A118" s="198"/>
      <c r="B118" s="199"/>
      <c r="C118" s="200"/>
      <c r="D118" s="1838"/>
      <c r="E118" s="238"/>
      <c r="F118" s="1190"/>
      <c r="G118" s="1191"/>
      <c r="H118" s="1086"/>
      <c r="I118" s="1195"/>
      <c r="J118" s="1000"/>
      <c r="L118" s="1088"/>
      <c r="M118" s="1009"/>
      <c r="N118" s="240"/>
    </row>
    <row r="119" spans="1:19" ht="16.5" customHeight="1" x14ac:dyDescent="0.2">
      <c r="A119" s="198"/>
      <c r="B119" s="199"/>
      <c r="C119" s="200"/>
      <c r="D119" s="1773" t="s">
        <v>178</v>
      </c>
      <c r="E119" s="1234" t="s">
        <v>262</v>
      </c>
      <c r="F119" s="247"/>
      <c r="G119" s="247"/>
      <c r="H119" s="1086"/>
      <c r="I119" s="1089"/>
      <c r="J119" s="1964" t="s">
        <v>90</v>
      </c>
      <c r="K119" s="699">
        <v>2</v>
      </c>
      <c r="L119" s="1083"/>
      <c r="M119" s="534"/>
      <c r="N119" s="278"/>
      <c r="O119" s="1841"/>
      <c r="P119" s="1841"/>
    </row>
    <row r="120" spans="1:19" ht="16.5" customHeight="1" x14ac:dyDescent="0.2">
      <c r="A120" s="198"/>
      <c r="B120" s="199"/>
      <c r="C120" s="200"/>
      <c r="D120" s="1774"/>
      <c r="E120" s="1235"/>
      <c r="F120" s="247"/>
      <c r="G120" s="247"/>
      <c r="H120" s="1086"/>
      <c r="I120" s="1089"/>
      <c r="J120" s="1969"/>
      <c r="K120" s="521"/>
      <c r="L120" s="1084"/>
      <c r="M120" s="529"/>
      <c r="N120" s="278"/>
    </row>
    <row r="121" spans="1:19" ht="15" customHeight="1" x14ac:dyDescent="0.2">
      <c r="A121" s="198"/>
      <c r="B121" s="199"/>
      <c r="C121" s="200"/>
      <c r="D121" s="1774"/>
      <c r="E121" s="1235"/>
      <c r="F121" s="1174"/>
      <c r="G121" s="1183"/>
      <c r="H121" s="1004"/>
      <c r="I121" s="1089"/>
      <c r="J121" s="1964" t="s">
        <v>127</v>
      </c>
      <c r="K121" s="513">
        <v>2</v>
      </c>
      <c r="L121" s="522"/>
      <c r="M121" s="530"/>
      <c r="N121" s="278"/>
    </row>
    <row r="122" spans="1:19" ht="15" customHeight="1" x14ac:dyDescent="0.2">
      <c r="A122" s="198"/>
      <c r="B122" s="199"/>
      <c r="C122" s="200"/>
      <c r="D122" s="1774"/>
      <c r="E122" s="1235"/>
      <c r="F122" s="1175"/>
      <c r="G122" s="1184"/>
      <c r="H122" s="1004"/>
      <c r="I122" s="73"/>
      <c r="J122" s="1965"/>
      <c r="K122" s="858"/>
      <c r="L122" s="989"/>
      <c r="M122" s="1005"/>
      <c r="N122" s="278"/>
    </row>
    <row r="123" spans="1:19" ht="15" customHeight="1" x14ac:dyDescent="0.2">
      <c r="A123" s="198"/>
      <c r="B123" s="199"/>
      <c r="C123" s="200"/>
      <c r="D123" s="1774"/>
      <c r="E123" s="1235"/>
      <c r="F123" s="1175"/>
      <c r="G123" s="1184"/>
      <c r="H123" s="1004"/>
      <c r="I123" s="73"/>
      <c r="J123" s="1228"/>
      <c r="K123" s="981"/>
      <c r="L123" s="11"/>
      <c r="M123" s="1005"/>
      <c r="N123" s="278"/>
    </row>
    <row r="124" spans="1:19" ht="15.75" customHeight="1" x14ac:dyDescent="0.2">
      <c r="A124" s="198"/>
      <c r="B124" s="199"/>
      <c r="C124" s="200"/>
      <c r="D124" s="1773" t="s">
        <v>226</v>
      </c>
      <c r="E124" s="1058" t="s">
        <v>262</v>
      </c>
      <c r="F124" s="1176"/>
      <c r="G124" s="1185"/>
      <c r="H124" s="1127"/>
      <c r="I124" s="1128"/>
      <c r="J124" s="901" t="s">
        <v>57</v>
      </c>
      <c r="K124" s="544">
        <v>35</v>
      </c>
      <c r="L124" s="695">
        <v>100</v>
      </c>
      <c r="M124" s="533"/>
      <c r="N124" s="278"/>
      <c r="O124" s="1841"/>
      <c r="P124" s="1841"/>
      <c r="Q124" s="1841"/>
      <c r="R124" s="1841"/>
      <c r="S124" s="1841"/>
    </row>
    <row r="125" spans="1:19" ht="15.75" customHeight="1" x14ac:dyDescent="0.2">
      <c r="A125" s="198"/>
      <c r="B125" s="199"/>
      <c r="C125" s="200"/>
      <c r="D125" s="1774"/>
      <c r="E125" s="1059"/>
      <c r="F125" s="1176"/>
      <c r="G125" s="1185"/>
      <c r="H125" s="1126"/>
      <c r="I125" s="1129"/>
      <c r="J125" s="586"/>
      <c r="K125" s="539"/>
      <c r="L125" s="523"/>
      <c r="M125" s="386"/>
      <c r="N125" s="278"/>
      <c r="O125" s="1229"/>
      <c r="P125" s="1229"/>
      <c r="Q125" s="1229"/>
      <c r="R125" s="1229"/>
      <c r="S125" s="1229"/>
    </row>
    <row r="126" spans="1:19" ht="19.5" customHeight="1" x14ac:dyDescent="0.2">
      <c r="A126" s="198"/>
      <c r="B126" s="199"/>
      <c r="C126" s="197"/>
      <c r="D126" s="1773" t="s">
        <v>305</v>
      </c>
      <c r="E126" s="1230"/>
      <c r="F126" s="1177"/>
      <c r="G126" s="1187"/>
      <c r="H126" s="1127"/>
      <c r="I126" s="1128"/>
      <c r="J126" s="381" t="s">
        <v>151</v>
      </c>
      <c r="K126" s="1244">
        <v>2</v>
      </c>
      <c r="L126" s="38">
        <v>1</v>
      </c>
      <c r="M126" s="1247">
        <v>1</v>
      </c>
      <c r="N126" s="371"/>
      <c r="O126" s="1858"/>
      <c r="P126" s="1858"/>
      <c r="Q126" s="1858"/>
      <c r="R126" s="1858"/>
    </row>
    <row r="127" spans="1:19" ht="21.75" customHeight="1" x14ac:dyDescent="0.2">
      <c r="A127" s="198"/>
      <c r="B127" s="199"/>
      <c r="C127" s="197"/>
      <c r="D127" s="1774"/>
      <c r="E127" s="701"/>
      <c r="F127" s="1177"/>
      <c r="G127" s="1183"/>
      <c r="H127" s="1130"/>
      <c r="I127" s="1131"/>
      <c r="J127" s="1906" t="s">
        <v>141</v>
      </c>
      <c r="K127" s="1244">
        <v>1</v>
      </c>
      <c r="L127" s="38"/>
      <c r="M127" s="1247">
        <v>1</v>
      </c>
      <c r="N127" s="240"/>
    </row>
    <row r="128" spans="1:19" ht="15" customHeight="1" x14ac:dyDescent="0.2">
      <c r="A128" s="198"/>
      <c r="B128" s="199"/>
      <c r="C128" s="197"/>
      <c r="D128" s="1774"/>
      <c r="E128" s="701"/>
      <c r="F128" s="1177"/>
      <c r="G128" s="1183"/>
      <c r="H128" s="1130"/>
      <c r="I128" s="1131"/>
      <c r="J128" s="1908"/>
      <c r="K128" s="858"/>
      <c r="L128" s="981"/>
      <c r="M128" s="634"/>
      <c r="N128" s="240"/>
    </row>
    <row r="129" spans="1:16" ht="21" customHeight="1" x14ac:dyDescent="0.2">
      <c r="A129" s="198"/>
      <c r="B129" s="199"/>
      <c r="C129" s="184"/>
      <c r="D129" s="1816" t="s">
        <v>129</v>
      </c>
      <c r="E129" s="187"/>
      <c r="F129" s="996"/>
      <c r="G129" s="1183"/>
      <c r="H129" s="1004"/>
      <c r="I129" s="73"/>
      <c r="J129" s="1951" t="s">
        <v>112</v>
      </c>
      <c r="K129" s="812">
        <v>100</v>
      </c>
      <c r="L129" s="813"/>
      <c r="M129" s="814"/>
      <c r="N129" s="170"/>
    </row>
    <row r="130" spans="1:16" ht="21" customHeight="1" x14ac:dyDescent="0.2">
      <c r="A130" s="1397"/>
      <c r="B130" s="1398"/>
      <c r="C130" s="1399"/>
      <c r="D130" s="1860"/>
      <c r="E130" s="1400"/>
      <c r="F130" s="850"/>
      <c r="G130" s="1401"/>
      <c r="H130" s="265"/>
      <c r="I130" s="354"/>
      <c r="J130" s="1952"/>
      <c r="K130" s="816"/>
      <c r="L130" s="817"/>
      <c r="M130" s="818"/>
      <c r="N130" s="170"/>
    </row>
    <row r="131" spans="1:16" ht="42.75" customHeight="1" x14ac:dyDescent="0.2">
      <c r="A131" s="198"/>
      <c r="B131" s="199"/>
      <c r="C131" s="200"/>
      <c r="D131" s="1393" t="s">
        <v>301</v>
      </c>
      <c r="E131" s="1060"/>
      <c r="F131" s="996"/>
      <c r="G131" s="1183"/>
      <c r="H131" s="1004"/>
      <c r="I131" s="73"/>
      <c r="J131" s="1394" t="s">
        <v>302</v>
      </c>
      <c r="K131" s="1395">
        <v>100</v>
      </c>
      <c r="L131" s="1396"/>
      <c r="M131" s="598"/>
      <c r="O131" s="111"/>
    </row>
    <row r="132" spans="1:16" s="111" customFormat="1" ht="29.25" customHeight="1" x14ac:dyDescent="0.2">
      <c r="A132" s="198"/>
      <c r="B132" s="199"/>
      <c r="C132" s="249"/>
      <c r="D132" s="1773" t="s">
        <v>334</v>
      </c>
      <c r="E132" s="1234" t="s">
        <v>262</v>
      </c>
      <c r="F132" s="996"/>
      <c r="G132" s="1105"/>
      <c r="H132" s="1004"/>
      <c r="I132" s="73"/>
      <c r="J132" s="1219" t="s">
        <v>56</v>
      </c>
      <c r="K132" s="1244">
        <v>1</v>
      </c>
      <c r="L132" s="38"/>
      <c r="M132" s="1247"/>
      <c r="N132" s="989"/>
    </row>
    <row r="133" spans="1:16" s="111" customFormat="1" ht="28.5" customHeight="1" x14ac:dyDescent="0.2">
      <c r="A133" s="198"/>
      <c r="B133" s="199"/>
      <c r="C133" s="249"/>
      <c r="D133" s="1775"/>
      <c r="E133" s="1060"/>
      <c r="F133" s="996"/>
      <c r="G133" s="1105"/>
      <c r="H133" s="1004"/>
      <c r="I133" s="73"/>
      <c r="J133" s="1219" t="s">
        <v>313</v>
      </c>
      <c r="K133" s="1244"/>
      <c r="L133" s="38">
        <v>1</v>
      </c>
      <c r="M133" s="1247">
        <v>1</v>
      </c>
      <c r="N133" s="989"/>
    </row>
    <row r="134" spans="1:16" ht="14.25" customHeight="1" x14ac:dyDescent="0.2">
      <c r="A134" s="198"/>
      <c r="B134" s="199"/>
      <c r="C134" s="200"/>
      <c r="D134" s="1773" t="s">
        <v>296</v>
      </c>
      <c r="E134" s="1854" t="s">
        <v>262</v>
      </c>
      <c r="F134" s="1175"/>
      <c r="G134" s="1187"/>
      <c r="H134" s="1127"/>
      <c r="I134" s="1128"/>
      <c r="J134" s="1964" t="s">
        <v>52</v>
      </c>
      <c r="K134" s="1970">
        <v>1</v>
      </c>
      <c r="L134" s="1038"/>
      <c r="M134" s="534"/>
      <c r="N134" s="156"/>
      <c r="O134" s="1841"/>
      <c r="P134" s="1841"/>
    </row>
    <row r="135" spans="1:16" ht="12.75" customHeight="1" x14ac:dyDescent="0.2">
      <c r="A135" s="198"/>
      <c r="B135" s="199"/>
      <c r="C135" s="200"/>
      <c r="D135" s="1774"/>
      <c r="E135" s="1855"/>
      <c r="F135" s="1175"/>
      <c r="G135" s="1187"/>
      <c r="H135" s="1127"/>
      <c r="I135" s="1186"/>
      <c r="J135" s="1965"/>
      <c r="K135" s="1971"/>
      <c r="L135" s="524"/>
      <c r="M135" s="530"/>
      <c r="N135" s="156"/>
      <c r="O135" s="170"/>
    </row>
    <row r="136" spans="1:16" ht="14.25" customHeight="1" thickBot="1" x14ac:dyDescent="0.25">
      <c r="A136" s="198"/>
      <c r="B136" s="199"/>
      <c r="C136" s="573"/>
      <c r="D136" s="1798"/>
      <c r="E136" s="217"/>
      <c r="F136" s="1198"/>
      <c r="G136" s="1199"/>
      <c r="H136" s="327"/>
      <c r="I136" s="328"/>
      <c r="J136" s="1965"/>
      <c r="K136" s="1197"/>
      <c r="L136" s="889"/>
      <c r="M136" s="890"/>
    </row>
    <row r="137" spans="1:16" ht="16.5" customHeight="1" x14ac:dyDescent="0.2">
      <c r="A137" s="198"/>
      <c r="B137" s="199"/>
      <c r="C137" s="184"/>
      <c r="D137" s="1838" t="s">
        <v>130</v>
      </c>
      <c r="E137" s="1231" t="s">
        <v>2</v>
      </c>
      <c r="F137" s="392"/>
      <c r="G137" s="333"/>
      <c r="H137" s="64"/>
      <c r="I137" s="807"/>
      <c r="J137" s="1241"/>
      <c r="L137" s="1088"/>
      <c r="M137" s="1009"/>
      <c r="N137" s="240"/>
    </row>
    <row r="138" spans="1:16" ht="16.5" customHeight="1" x14ac:dyDescent="0.2">
      <c r="A138" s="198"/>
      <c r="B138" s="199"/>
      <c r="C138" s="184"/>
      <c r="D138" s="1838"/>
      <c r="E138" s="1231"/>
      <c r="F138" s="392"/>
      <c r="G138" s="333"/>
      <c r="H138" s="64"/>
      <c r="I138" s="807"/>
      <c r="J138" s="1241"/>
      <c r="L138" s="1088"/>
      <c r="M138" s="1009"/>
      <c r="N138" s="240"/>
    </row>
    <row r="139" spans="1:16" ht="15" customHeight="1" x14ac:dyDescent="0.2">
      <c r="A139" s="198"/>
      <c r="B139" s="199"/>
      <c r="C139" s="184"/>
      <c r="D139" s="1773" t="s">
        <v>211</v>
      </c>
      <c r="E139" s="366" t="s">
        <v>262</v>
      </c>
      <c r="F139" s="392"/>
      <c r="G139" s="443"/>
      <c r="H139" s="408"/>
      <c r="I139" s="393"/>
      <c r="J139" s="1967" t="s">
        <v>52</v>
      </c>
      <c r="K139" s="1094">
        <v>1</v>
      </c>
      <c r="L139" s="1246"/>
      <c r="M139" s="868"/>
    </row>
    <row r="140" spans="1:16" ht="15" customHeight="1" x14ac:dyDescent="0.2">
      <c r="A140" s="198"/>
      <c r="B140" s="199"/>
      <c r="C140" s="184"/>
      <c r="D140" s="1774"/>
      <c r="E140" s="1061"/>
      <c r="F140" s="392"/>
      <c r="G140" s="443"/>
      <c r="H140" s="408"/>
      <c r="I140" s="393"/>
      <c r="J140" s="1968"/>
      <c r="K140" s="1095"/>
      <c r="L140" s="994"/>
      <c r="M140" s="825"/>
    </row>
    <row r="141" spans="1:16" ht="15" customHeight="1" x14ac:dyDescent="0.2">
      <c r="A141" s="198"/>
      <c r="B141" s="199"/>
      <c r="C141" s="184"/>
      <c r="D141" s="1774"/>
      <c r="E141" s="1061"/>
      <c r="F141" s="392"/>
      <c r="G141" s="443"/>
      <c r="H141" s="408"/>
      <c r="I141" s="393"/>
      <c r="J141" s="1232" t="s">
        <v>99</v>
      </c>
      <c r="K141" s="1094">
        <v>65</v>
      </c>
      <c r="L141" s="1246">
        <v>100</v>
      </c>
      <c r="M141" s="868"/>
    </row>
    <row r="142" spans="1:16" ht="15" customHeight="1" x14ac:dyDescent="0.2">
      <c r="A142" s="198"/>
      <c r="B142" s="199"/>
      <c r="C142" s="184"/>
      <c r="D142" s="1774"/>
      <c r="E142" s="1061"/>
      <c r="F142" s="392"/>
      <c r="G142" s="443"/>
      <c r="H142" s="408"/>
      <c r="I142" s="393"/>
      <c r="J142" s="1233"/>
      <c r="K142" s="1096"/>
      <c r="L142" s="985"/>
      <c r="M142" s="531"/>
    </row>
    <row r="143" spans="1:16" ht="15" customHeight="1" x14ac:dyDescent="0.2">
      <c r="A143" s="198"/>
      <c r="B143" s="199"/>
      <c r="C143" s="184"/>
      <c r="D143" s="1207"/>
      <c r="E143" s="1061"/>
      <c r="F143" s="392"/>
      <c r="G143" s="443"/>
      <c r="H143" s="408"/>
      <c r="I143" s="393"/>
      <c r="J143" s="826"/>
      <c r="K143" s="1095"/>
      <c r="L143" s="994"/>
      <c r="M143" s="825"/>
    </row>
    <row r="144" spans="1:16" ht="29.25" customHeight="1" x14ac:dyDescent="0.2">
      <c r="A144" s="198"/>
      <c r="B144" s="199"/>
      <c r="C144" s="200"/>
      <c r="D144" s="1867" t="s">
        <v>298</v>
      </c>
      <c r="E144" s="1863" t="s">
        <v>262</v>
      </c>
      <c r="F144" s="392"/>
      <c r="G144" s="459"/>
      <c r="H144" s="1092"/>
      <c r="I144" s="393"/>
      <c r="J144" s="1206" t="s">
        <v>52</v>
      </c>
      <c r="K144" s="540">
        <v>1</v>
      </c>
      <c r="L144" s="93"/>
      <c r="M144" s="13"/>
      <c r="N144" s="278"/>
    </row>
    <row r="145" spans="1:18" ht="29.25" customHeight="1" x14ac:dyDescent="0.2">
      <c r="A145" s="198"/>
      <c r="B145" s="199"/>
      <c r="C145" s="200"/>
      <c r="D145" s="1868"/>
      <c r="E145" s="1827"/>
      <c r="F145" s="392"/>
      <c r="G145" s="443"/>
      <c r="H145" s="408"/>
      <c r="I145" s="393"/>
      <c r="J145" s="462" t="s">
        <v>83</v>
      </c>
      <c r="K145" s="540"/>
      <c r="L145" s="93"/>
      <c r="M145" s="13"/>
      <c r="N145" s="278"/>
    </row>
    <row r="146" spans="1:18" ht="31.5" customHeight="1" x14ac:dyDescent="0.2">
      <c r="A146" s="198"/>
      <c r="B146" s="199"/>
      <c r="C146" s="46"/>
      <c r="D146" s="1209" t="s">
        <v>318</v>
      </c>
      <c r="E146" s="1062"/>
      <c r="F146" s="1196"/>
      <c r="G146" s="134"/>
      <c r="H146" s="130"/>
      <c r="I146" s="15"/>
      <c r="J146" s="1204" t="s">
        <v>319</v>
      </c>
      <c r="K146" s="565">
        <v>100</v>
      </c>
      <c r="L146" s="38"/>
      <c r="M146" s="567"/>
      <c r="N146" s="240"/>
      <c r="P146" s="1841"/>
      <c r="Q146" s="1841"/>
    </row>
    <row r="147" spans="1:18" ht="29.25" customHeight="1" x14ac:dyDescent="0.2">
      <c r="A147" s="198"/>
      <c r="B147" s="199"/>
      <c r="C147" s="200"/>
      <c r="D147" s="1149" t="s">
        <v>212</v>
      </c>
      <c r="E147" s="1863" t="s">
        <v>262</v>
      </c>
      <c r="F147" s="392"/>
      <c r="G147" s="443"/>
      <c r="H147" s="408"/>
      <c r="I147" s="1093"/>
      <c r="J147" s="806" t="s">
        <v>52</v>
      </c>
      <c r="K147" s="543"/>
      <c r="L147" s="526"/>
      <c r="M147" s="532">
        <v>1</v>
      </c>
      <c r="O147" s="1858"/>
      <c r="P147" s="1858"/>
    </row>
    <row r="148" spans="1:18" ht="30.75" customHeight="1" x14ac:dyDescent="0.2">
      <c r="A148" s="198"/>
      <c r="B148" s="199"/>
      <c r="C148" s="200"/>
      <c r="D148" s="1774" t="s">
        <v>320</v>
      </c>
      <c r="E148" s="1827"/>
      <c r="F148" s="392"/>
      <c r="G148" s="443"/>
      <c r="H148" s="408"/>
      <c r="I148" s="393"/>
      <c r="J148" s="1227" t="s">
        <v>58</v>
      </c>
      <c r="K148" s="544"/>
      <c r="L148" s="527"/>
      <c r="M148" s="533">
        <v>10</v>
      </c>
      <c r="O148" s="1864"/>
      <c r="P148" s="1864"/>
      <c r="Q148" s="1864"/>
    </row>
    <row r="149" spans="1:18" ht="21.75" customHeight="1" x14ac:dyDescent="0.2">
      <c r="A149" s="198"/>
      <c r="B149" s="199"/>
      <c r="C149" s="241"/>
      <c r="D149" s="1775"/>
      <c r="E149" s="111"/>
      <c r="F149" s="1200"/>
      <c r="G149" s="1201"/>
      <c r="H149" s="1130"/>
      <c r="I149" s="1188"/>
      <c r="J149" s="1228"/>
      <c r="K149" s="858"/>
      <c r="L149" s="989"/>
      <c r="M149" s="1005"/>
      <c r="N149" s="240"/>
      <c r="O149" s="111"/>
      <c r="P149" s="111"/>
    </row>
    <row r="150" spans="1:18" ht="42" customHeight="1" x14ac:dyDescent="0.2">
      <c r="A150" s="198"/>
      <c r="B150" s="199"/>
      <c r="C150" s="200"/>
      <c r="D150" s="1207" t="s">
        <v>335</v>
      </c>
      <c r="E150" s="1230" t="s">
        <v>262</v>
      </c>
      <c r="F150" s="1200"/>
      <c r="G150" s="1201"/>
      <c r="H150" s="130"/>
      <c r="I150" s="138"/>
      <c r="J150" s="1227" t="s">
        <v>259</v>
      </c>
      <c r="K150" s="1244"/>
      <c r="L150" s="93">
        <v>1</v>
      </c>
      <c r="M150" s="13">
        <v>1</v>
      </c>
      <c r="N150" s="240"/>
      <c r="O150" s="111"/>
      <c r="P150" s="111"/>
    </row>
    <row r="151" spans="1:18" ht="15.75" customHeight="1" x14ac:dyDescent="0.2">
      <c r="A151" s="198"/>
      <c r="B151" s="199"/>
      <c r="C151" s="200"/>
      <c r="D151" s="1837" t="s">
        <v>131</v>
      </c>
      <c r="E151" s="1234" t="s">
        <v>2</v>
      </c>
      <c r="F151" s="1098"/>
      <c r="G151" s="459"/>
      <c r="H151" s="1092"/>
      <c r="I151" s="393"/>
      <c r="J151" s="1148"/>
      <c r="K151" s="536"/>
      <c r="M151" s="1009"/>
      <c r="O151" s="111"/>
      <c r="P151" s="111"/>
    </row>
    <row r="152" spans="1:18" ht="15.75" customHeight="1" x14ac:dyDescent="0.2">
      <c r="A152" s="198"/>
      <c r="B152" s="199"/>
      <c r="C152" s="200"/>
      <c r="D152" s="1838"/>
      <c r="E152" s="1235"/>
      <c r="F152" s="1098"/>
      <c r="G152" s="459"/>
      <c r="H152" s="1092"/>
      <c r="I152" s="393"/>
      <c r="J152" s="1148"/>
      <c r="K152" s="536"/>
      <c r="M152" s="1009"/>
      <c r="O152" s="111"/>
      <c r="P152" s="111"/>
    </row>
    <row r="153" spans="1:18" ht="27.75" customHeight="1" x14ac:dyDescent="0.2">
      <c r="A153" s="198"/>
      <c r="B153" s="199"/>
      <c r="C153" s="200"/>
      <c r="D153" s="1809" t="s">
        <v>132</v>
      </c>
      <c r="E153" s="1234" t="s">
        <v>262</v>
      </c>
      <c r="F153" s="1097"/>
      <c r="G153" s="459"/>
      <c r="H153" s="1092"/>
      <c r="I153" s="393"/>
      <c r="J153" s="516" t="s">
        <v>82</v>
      </c>
      <c r="K153" s="385">
        <v>80</v>
      </c>
      <c r="L153" s="385">
        <v>100</v>
      </c>
      <c r="M153" s="13"/>
      <c r="O153" s="111"/>
      <c r="P153" s="111"/>
    </row>
    <row r="154" spans="1:18" ht="15.75" customHeight="1" x14ac:dyDescent="0.2">
      <c r="A154" s="198"/>
      <c r="B154" s="199"/>
      <c r="C154" s="248"/>
      <c r="D154" s="1810"/>
      <c r="E154" s="1235"/>
      <c r="F154" s="1097"/>
      <c r="G154" s="459"/>
      <c r="H154" s="1092"/>
      <c r="I154" s="393"/>
      <c r="J154" s="516" t="s">
        <v>98</v>
      </c>
      <c r="K154" s="383">
        <v>80</v>
      </c>
      <c r="L154" s="809">
        <v>100</v>
      </c>
      <c r="M154" s="13"/>
      <c r="O154" s="111"/>
      <c r="P154" s="111"/>
    </row>
    <row r="155" spans="1:18" ht="15.75" customHeight="1" x14ac:dyDescent="0.2">
      <c r="A155" s="198"/>
      <c r="B155" s="199"/>
      <c r="C155" s="248"/>
      <c r="D155" s="1810"/>
      <c r="E155" s="1235"/>
      <c r="F155" s="1098"/>
      <c r="G155" s="459"/>
      <c r="H155" s="1092"/>
      <c r="I155" s="393"/>
      <c r="J155" s="689"/>
      <c r="K155" s="981"/>
      <c r="L155" s="985"/>
      <c r="M155" s="1005"/>
      <c r="O155" s="111"/>
      <c r="P155" s="111"/>
    </row>
    <row r="156" spans="1:18" ht="18" customHeight="1" x14ac:dyDescent="0.2">
      <c r="A156" s="198"/>
      <c r="B156" s="199"/>
      <c r="C156" s="200"/>
      <c r="D156" s="1809" t="s">
        <v>133</v>
      </c>
      <c r="E156" s="1234" t="s">
        <v>262</v>
      </c>
      <c r="F156" s="1091"/>
      <c r="G156" s="443"/>
      <c r="H156" s="408"/>
      <c r="I156" s="1093"/>
      <c r="J156" s="1964" t="s">
        <v>83</v>
      </c>
      <c r="K156" s="546"/>
      <c r="L156" s="528"/>
      <c r="M156" s="534">
        <v>30</v>
      </c>
      <c r="O156" s="1864"/>
      <c r="P156" s="1864"/>
      <c r="Q156" s="1864"/>
      <c r="R156" s="1864"/>
    </row>
    <row r="157" spans="1:18" ht="15.75" customHeight="1" x14ac:dyDescent="0.2">
      <c r="A157" s="198"/>
      <c r="B157" s="199"/>
      <c r="C157" s="248"/>
      <c r="D157" s="1810"/>
      <c r="E157" s="201"/>
      <c r="F157" s="1202"/>
      <c r="G157" s="1201"/>
      <c r="H157" s="1130"/>
      <c r="I157" s="1188"/>
      <c r="J157" s="1965"/>
      <c r="K157" s="522"/>
      <c r="L157" s="929"/>
      <c r="M157" s="530"/>
    </row>
    <row r="158" spans="1:18" ht="15.75" customHeight="1" thickBot="1" x14ac:dyDescent="0.25">
      <c r="A158" s="216"/>
      <c r="B158" s="213"/>
      <c r="C158" s="214"/>
      <c r="D158" s="1811"/>
      <c r="E158" s="1871" t="s">
        <v>50</v>
      </c>
      <c r="F158" s="1877"/>
      <c r="G158" s="35">
        <f>SUM(G106:G116)</f>
        <v>8722.9</v>
      </c>
      <c r="H158" s="62">
        <f>SUM(H106:H116)</f>
        <v>8984.1</v>
      </c>
      <c r="I158" s="132">
        <f t="shared" ref="I158" si="4">SUM(I106:I116)</f>
        <v>3694.4</v>
      </c>
      <c r="J158" s="1966"/>
      <c r="K158" s="1245"/>
      <c r="L158" s="267"/>
      <c r="M158" s="43"/>
      <c r="N158" s="240"/>
    </row>
    <row r="159" spans="1:18" ht="29.25" customHeight="1" x14ac:dyDescent="0.2">
      <c r="A159" s="234" t="s">
        <v>17</v>
      </c>
      <c r="B159" s="209" t="s">
        <v>14</v>
      </c>
      <c r="C159" s="210" t="s">
        <v>19</v>
      </c>
      <c r="D159" s="1237" t="s">
        <v>84</v>
      </c>
      <c r="E159" s="71"/>
      <c r="F159" s="1012" t="s">
        <v>15</v>
      </c>
      <c r="G159" s="422">
        <v>308.3</v>
      </c>
      <c r="H159" s="399">
        <v>422.1</v>
      </c>
      <c r="I159" s="428">
        <v>375.6</v>
      </c>
      <c r="J159" s="995"/>
      <c r="K159" s="535"/>
      <c r="L159" s="520"/>
      <c r="M159" s="203"/>
    </row>
    <row r="160" spans="1:18" ht="21" customHeight="1" x14ac:dyDescent="0.2">
      <c r="A160" s="198"/>
      <c r="B160" s="199"/>
      <c r="C160" s="197"/>
      <c r="D160" s="1809" t="s">
        <v>213</v>
      </c>
      <c r="E160" s="92"/>
      <c r="F160" s="1000"/>
      <c r="G160" s="1099"/>
      <c r="H160" s="130"/>
      <c r="I160" s="138"/>
      <c r="J160" s="1206" t="s">
        <v>100</v>
      </c>
      <c r="K160" s="38">
        <v>15</v>
      </c>
      <c r="L160" s="28">
        <v>14</v>
      </c>
      <c r="M160" s="1247">
        <v>13</v>
      </c>
      <c r="O160" s="1832"/>
      <c r="P160" s="1832"/>
    </row>
    <row r="161" spans="1:66" ht="21" customHeight="1" x14ac:dyDescent="0.2">
      <c r="A161" s="198"/>
      <c r="B161" s="199"/>
      <c r="C161" s="197"/>
      <c r="D161" s="1878"/>
      <c r="E161" s="92"/>
      <c r="F161" s="987"/>
      <c r="G161" s="425"/>
      <c r="H161" s="1004"/>
      <c r="I161" s="41"/>
      <c r="J161" s="600"/>
      <c r="K161" s="545"/>
      <c r="L161" s="518"/>
      <c r="M161" s="18"/>
    </row>
    <row r="162" spans="1:66" ht="30" customHeight="1" x14ac:dyDescent="0.2">
      <c r="A162" s="198"/>
      <c r="B162" s="199"/>
      <c r="C162" s="249"/>
      <c r="D162" s="1205" t="s">
        <v>214</v>
      </c>
      <c r="E162" s="95"/>
      <c r="F162" s="987"/>
      <c r="G162" s="1255"/>
      <c r="H162" s="1256"/>
      <c r="I162" s="999"/>
      <c r="J162" s="1148" t="s">
        <v>100</v>
      </c>
      <c r="K162" s="548">
        <v>21</v>
      </c>
      <c r="L162" s="19">
        <v>21</v>
      </c>
      <c r="M162" s="118">
        <v>21</v>
      </c>
    </row>
    <row r="163" spans="1:66" s="9" customFormat="1" ht="30" customHeight="1" thickBot="1" x14ac:dyDescent="0.25">
      <c r="A163" s="1211"/>
      <c r="B163" s="1002"/>
      <c r="C163" s="454"/>
      <c r="D163" s="1205" t="s">
        <v>235</v>
      </c>
      <c r="E163" s="372"/>
      <c r="F163" s="987"/>
      <c r="G163" s="1255"/>
      <c r="H163" s="1256"/>
      <c r="I163" s="999"/>
      <c r="J163" s="1206" t="s">
        <v>100</v>
      </c>
      <c r="K163" s="1243">
        <v>7</v>
      </c>
      <c r="L163" s="30">
        <v>3</v>
      </c>
      <c r="M163" s="10">
        <v>3</v>
      </c>
    </row>
    <row r="164" spans="1:66" s="603" customFormat="1" ht="30" customHeight="1" thickBot="1" x14ac:dyDescent="0.25">
      <c r="A164" s="1211"/>
      <c r="B164" s="1002"/>
      <c r="C164" s="642"/>
      <c r="D164" s="683" t="s">
        <v>263</v>
      </c>
      <c r="E164" s="369"/>
      <c r="F164" s="987"/>
      <c r="G164" s="1255"/>
      <c r="H164" s="1256"/>
      <c r="I164" s="999"/>
      <c r="J164" s="455" t="s">
        <v>250</v>
      </c>
      <c r="K164" s="1243"/>
      <c r="L164" s="30">
        <v>1</v>
      </c>
      <c r="M164" s="10"/>
      <c r="N164" s="9"/>
      <c r="O164" s="93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s="9" customFormat="1" ht="28.5" customHeight="1" x14ac:dyDescent="0.2">
      <c r="A165" s="1211"/>
      <c r="B165" s="1002"/>
      <c r="C165" s="51"/>
      <c r="D165" s="1809" t="s">
        <v>336</v>
      </c>
      <c r="E165" s="95"/>
      <c r="F165" s="987"/>
      <c r="G165" s="1255"/>
      <c r="H165" s="1256"/>
      <c r="I165" s="998"/>
      <c r="J165" s="1953" t="s">
        <v>254</v>
      </c>
      <c r="K165" s="114"/>
      <c r="L165" s="4">
        <v>1</v>
      </c>
      <c r="M165" s="1006">
        <v>1</v>
      </c>
      <c r="O165" s="930"/>
    </row>
    <row r="166" spans="1:66" ht="15" customHeight="1" thickBot="1" x14ac:dyDescent="0.25">
      <c r="A166" s="198"/>
      <c r="B166" s="199"/>
      <c r="C166" s="248"/>
      <c r="D166" s="1811"/>
      <c r="E166" s="1871" t="s">
        <v>50</v>
      </c>
      <c r="F166" s="1872"/>
      <c r="G166" s="35">
        <f>SUM(G159:G165)</f>
        <v>308.3</v>
      </c>
      <c r="H166" s="62">
        <f>SUM(H159:H165)</f>
        <v>422.1</v>
      </c>
      <c r="I166" s="132">
        <f>SUM(I159:I165)</f>
        <v>375.6</v>
      </c>
      <c r="J166" s="1954"/>
      <c r="K166" s="538"/>
      <c r="L166" s="992"/>
      <c r="M166" s="43"/>
    </row>
    <row r="167" spans="1:66" ht="15.75" customHeight="1" thickBot="1" x14ac:dyDescent="0.25">
      <c r="A167" s="229" t="s">
        <v>17</v>
      </c>
      <c r="B167" s="230" t="s">
        <v>14</v>
      </c>
      <c r="C167" s="1843" t="s">
        <v>20</v>
      </c>
      <c r="D167" s="1844"/>
      <c r="E167" s="1844"/>
      <c r="F167" s="1844"/>
      <c r="G167" s="343">
        <f>+G166+G158+G105</f>
        <v>9308.6999999999989</v>
      </c>
      <c r="H167" s="344">
        <f>+H166+H158+H105</f>
        <v>9477.9000000000015</v>
      </c>
      <c r="I167" s="345">
        <f>+I166+I158+I105</f>
        <v>4141.7</v>
      </c>
      <c r="J167" s="231"/>
      <c r="K167" s="232"/>
      <c r="L167" s="232"/>
      <c r="M167" s="233"/>
    </row>
    <row r="168" spans="1:66" ht="17.25" customHeight="1" thickBot="1" x14ac:dyDescent="0.25">
      <c r="A168" s="198" t="s">
        <v>17</v>
      </c>
      <c r="B168" s="230" t="s">
        <v>17</v>
      </c>
      <c r="C168" s="1873" t="s">
        <v>65</v>
      </c>
      <c r="D168" s="1851"/>
      <c r="E168" s="1851"/>
      <c r="F168" s="1851"/>
      <c r="G168" s="1851"/>
      <c r="H168" s="1851"/>
      <c r="I168" s="1851"/>
      <c r="J168" s="1851"/>
      <c r="K168" s="1851"/>
      <c r="L168" s="1851"/>
      <c r="M168" s="1874"/>
    </row>
    <row r="169" spans="1:66" ht="18" customHeight="1" x14ac:dyDescent="0.2">
      <c r="A169" s="234" t="s">
        <v>17</v>
      </c>
      <c r="B169" s="209" t="s">
        <v>17</v>
      </c>
      <c r="C169" s="252" t="s">
        <v>14</v>
      </c>
      <c r="D169" s="1237" t="s">
        <v>75</v>
      </c>
      <c r="E169" s="368"/>
      <c r="F169" s="1003" t="s">
        <v>15</v>
      </c>
      <c r="G169" s="422">
        <v>50</v>
      </c>
      <c r="H169" s="75">
        <v>49.4</v>
      </c>
      <c r="I169" s="122"/>
      <c r="J169" s="1001"/>
      <c r="K169" s="1133"/>
      <c r="L169" s="1087"/>
      <c r="M169" s="1138"/>
    </row>
    <row r="170" spans="1:66" ht="28.5" customHeight="1" x14ac:dyDescent="0.2">
      <c r="A170" s="1397"/>
      <c r="B170" s="1398"/>
      <c r="C170" s="1404"/>
      <c r="D170" s="1729" t="s">
        <v>279</v>
      </c>
      <c r="E170" s="1405"/>
      <c r="F170" s="1100"/>
      <c r="G170" s="222"/>
      <c r="H170" s="1406"/>
      <c r="I170" s="1407"/>
      <c r="J170" s="1731" t="s">
        <v>111</v>
      </c>
      <c r="K170" s="915">
        <v>573</v>
      </c>
      <c r="L170" s="1141"/>
      <c r="M170" s="1732"/>
    </row>
    <row r="171" spans="1:66" ht="16.149999999999999" customHeight="1" x14ac:dyDescent="0.2">
      <c r="A171" s="198"/>
      <c r="B171" s="199"/>
      <c r="C171" s="197"/>
      <c r="D171" s="1775" t="s">
        <v>134</v>
      </c>
      <c r="E171" s="59"/>
      <c r="F171" s="1100"/>
      <c r="G171" s="222"/>
      <c r="H171" s="265"/>
      <c r="I171" s="1101"/>
      <c r="J171" s="997" t="s">
        <v>100</v>
      </c>
      <c r="K171" s="1402"/>
      <c r="L171" s="923">
        <v>11</v>
      </c>
      <c r="M171" s="1403"/>
      <c r="O171" s="1801"/>
      <c r="P171" s="1801"/>
      <c r="Q171" s="1801"/>
    </row>
    <row r="172" spans="1:66" ht="17.45" customHeight="1" x14ac:dyDescent="0.2">
      <c r="A172" s="198"/>
      <c r="B172" s="199"/>
      <c r="C172" s="197"/>
      <c r="D172" s="1875"/>
      <c r="E172" s="59"/>
      <c r="F172" s="1036" t="s">
        <v>16</v>
      </c>
      <c r="G172" s="579">
        <f>SUM(G169:G171)</f>
        <v>50</v>
      </c>
      <c r="H172" s="580">
        <f>SUM(H169:H171)</f>
        <v>49.4</v>
      </c>
      <c r="I172" s="847">
        <f>SUM(I169:I171)</f>
        <v>0</v>
      </c>
      <c r="J172" s="86" t="s">
        <v>135</v>
      </c>
      <c r="K172" s="1222">
        <v>436</v>
      </c>
      <c r="L172" s="1142">
        <v>200</v>
      </c>
      <c r="M172" s="1223">
        <v>200</v>
      </c>
    </row>
    <row r="173" spans="1:66" s="9" customFormat="1" ht="17.45" customHeight="1" x14ac:dyDescent="0.2">
      <c r="A173" s="1211"/>
      <c r="B173" s="1002"/>
      <c r="C173" s="2"/>
      <c r="D173" s="1809" t="s">
        <v>79</v>
      </c>
      <c r="E173" s="95"/>
      <c r="F173" s="1037" t="s">
        <v>15</v>
      </c>
      <c r="G173" s="1255">
        <v>53</v>
      </c>
      <c r="H173" s="844"/>
      <c r="I173" s="845"/>
      <c r="J173" s="997" t="s">
        <v>100</v>
      </c>
      <c r="K173" s="1134">
        <v>13</v>
      </c>
      <c r="L173" s="1143"/>
      <c r="M173" s="991"/>
      <c r="N173" s="648"/>
      <c r="O173" s="1801"/>
      <c r="P173" s="1801"/>
      <c r="Q173" s="1801"/>
    </row>
    <row r="174" spans="1:66" s="9" customFormat="1" ht="16.899999999999999" customHeight="1" thickBot="1" x14ac:dyDescent="0.25">
      <c r="A174" s="1211"/>
      <c r="B174" s="1002"/>
      <c r="C174" s="2"/>
      <c r="D174" s="1810"/>
      <c r="E174" s="95"/>
      <c r="F174" s="574" t="s">
        <v>16</v>
      </c>
      <c r="G174" s="320">
        <f>G173</f>
        <v>53</v>
      </c>
      <c r="H174" s="423">
        <f>H173</f>
        <v>0</v>
      </c>
      <c r="I174" s="430">
        <f>I173</f>
        <v>0</v>
      </c>
      <c r="J174" s="76" t="s">
        <v>62</v>
      </c>
      <c r="K174" s="1135">
        <v>19</v>
      </c>
      <c r="L174" s="988">
        <v>15</v>
      </c>
      <c r="M174" s="271">
        <v>15</v>
      </c>
      <c r="N174" s="57"/>
    </row>
    <row r="175" spans="1:66" s="9" customFormat="1" ht="21" customHeight="1" x14ac:dyDescent="0.2">
      <c r="A175" s="1236" t="s">
        <v>17</v>
      </c>
      <c r="B175" s="969" t="s">
        <v>17</v>
      </c>
      <c r="C175" s="970" t="s">
        <v>17</v>
      </c>
      <c r="D175" s="1835" t="s">
        <v>215</v>
      </c>
      <c r="E175" s="316"/>
      <c r="F175" s="506" t="s">
        <v>15</v>
      </c>
      <c r="G175" s="668">
        <v>163</v>
      </c>
      <c r="H175" s="1104">
        <v>281.2</v>
      </c>
      <c r="I175" s="1103">
        <v>213.9</v>
      </c>
      <c r="J175" s="1108"/>
      <c r="K175" s="1136"/>
      <c r="L175" s="1144"/>
      <c r="M175" s="1139"/>
      <c r="N175" s="57"/>
    </row>
    <row r="176" spans="1:66" s="9" customFormat="1" ht="21" customHeight="1" x14ac:dyDescent="0.2">
      <c r="A176" s="1211"/>
      <c r="B176" s="1002"/>
      <c r="C176" s="2"/>
      <c r="D176" s="1868"/>
      <c r="E176" s="1225"/>
      <c r="F176" s="830" t="s">
        <v>87</v>
      </c>
      <c r="G176" s="669">
        <v>151</v>
      </c>
      <c r="H176" s="129"/>
      <c r="I176" s="24"/>
      <c r="J176" s="1102"/>
      <c r="K176" s="1137"/>
      <c r="L176" s="1106"/>
      <c r="M176" s="1107"/>
      <c r="N176" s="57"/>
    </row>
    <row r="177" spans="1:14" s="9" customFormat="1" ht="15.75" customHeight="1" x14ac:dyDescent="0.2">
      <c r="A177" s="1211"/>
      <c r="B177" s="1002"/>
      <c r="C177" s="2"/>
      <c r="D177" s="1809" t="s">
        <v>176</v>
      </c>
      <c r="E177" s="1889" t="s">
        <v>262</v>
      </c>
      <c r="F177" s="987"/>
      <c r="G177" s="1255"/>
      <c r="H177" s="1256"/>
      <c r="I177" s="999"/>
      <c r="J177" s="462" t="s">
        <v>106</v>
      </c>
      <c r="K177" s="12">
        <v>1</v>
      </c>
      <c r="L177" s="1145">
        <v>12</v>
      </c>
      <c r="M177" s="1140">
        <v>7</v>
      </c>
      <c r="N177" s="57"/>
    </row>
    <row r="178" spans="1:14" s="9" customFormat="1" ht="15" customHeight="1" x14ac:dyDescent="0.2">
      <c r="A178" s="1211"/>
      <c r="B178" s="1002"/>
      <c r="C178" s="2"/>
      <c r="D178" s="1810"/>
      <c r="E178" s="1890"/>
      <c r="F178" s="996"/>
      <c r="G178" s="1105"/>
      <c r="H178" s="1106"/>
      <c r="I178" s="1107"/>
      <c r="J178" s="462" t="s">
        <v>100</v>
      </c>
      <c r="K178" s="12">
        <v>10</v>
      </c>
      <c r="L178" s="4">
        <v>14</v>
      </c>
      <c r="M178" s="1140">
        <v>6</v>
      </c>
      <c r="N178" s="57"/>
    </row>
    <row r="179" spans="1:14" s="9" customFormat="1" ht="15" customHeight="1" x14ac:dyDescent="0.2">
      <c r="A179" s="1211"/>
      <c r="B179" s="1002"/>
      <c r="C179" s="2"/>
      <c r="D179" s="1810"/>
      <c r="E179" s="1890"/>
      <c r="F179" s="996"/>
      <c r="G179" s="1255"/>
      <c r="H179" s="1256"/>
      <c r="I179" s="999"/>
      <c r="J179" s="455" t="s">
        <v>252</v>
      </c>
      <c r="K179" s="1222">
        <v>5</v>
      </c>
      <c r="L179" s="1146">
        <v>60</v>
      </c>
      <c r="M179" s="1223">
        <v>35</v>
      </c>
      <c r="N179" s="57"/>
    </row>
    <row r="180" spans="1:14" s="9" customFormat="1" ht="15.75" customHeight="1" x14ac:dyDescent="0.2">
      <c r="A180" s="1211"/>
      <c r="B180" s="1002"/>
      <c r="C180" s="2"/>
      <c r="D180" s="1809" t="s">
        <v>216</v>
      </c>
      <c r="E180" s="1224" t="s">
        <v>262</v>
      </c>
      <c r="F180" s="996"/>
      <c r="G180" s="1255"/>
      <c r="H180" s="1256"/>
      <c r="I180" s="999"/>
      <c r="J180" s="1958" t="s">
        <v>100</v>
      </c>
      <c r="K180" s="1960"/>
      <c r="L180" s="1883"/>
      <c r="M180" s="1962">
        <v>52</v>
      </c>
      <c r="N180" s="57"/>
    </row>
    <row r="181" spans="1:14" s="9" customFormat="1" ht="15.75" customHeight="1" thickBot="1" x14ac:dyDescent="0.25">
      <c r="A181" s="1212"/>
      <c r="B181" s="678"/>
      <c r="C181" s="637"/>
      <c r="D181" s="1811"/>
      <c r="E181" s="1063"/>
      <c r="F181" s="8" t="s">
        <v>16</v>
      </c>
      <c r="G181" s="16">
        <f>SUM(G175:G180)</f>
        <v>314</v>
      </c>
      <c r="H181" s="63">
        <f t="shared" ref="H181:I181" si="5">SUM(H175:H180)</f>
        <v>281.2</v>
      </c>
      <c r="I181" s="1109">
        <f t="shared" si="5"/>
        <v>213.9</v>
      </c>
      <c r="J181" s="1959"/>
      <c r="K181" s="1961"/>
      <c r="L181" s="1884"/>
      <c r="M181" s="1963"/>
      <c r="N181" s="648"/>
    </row>
    <row r="182" spans="1:14" ht="15.75" customHeight="1" thickBot="1" x14ac:dyDescent="0.25">
      <c r="A182" s="229" t="s">
        <v>17</v>
      </c>
      <c r="B182" s="213" t="s">
        <v>17</v>
      </c>
      <c r="C182" s="1900" t="s">
        <v>20</v>
      </c>
      <c r="D182" s="1901"/>
      <c r="E182" s="1901"/>
      <c r="F182" s="1901"/>
      <c r="G182" s="394">
        <f>G172+G174+G181</f>
        <v>417</v>
      </c>
      <c r="H182" s="424">
        <f>H172+H174+H181</f>
        <v>330.59999999999997</v>
      </c>
      <c r="I182" s="431">
        <f>I172+I174+I181</f>
        <v>213.9</v>
      </c>
      <c r="J182" s="608"/>
      <c r="K182" s="273"/>
      <c r="L182" s="273"/>
      <c r="M182" s="274"/>
    </row>
    <row r="183" spans="1:14" ht="15.75" customHeight="1" thickBot="1" x14ac:dyDescent="0.25">
      <c r="A183" s="229" t="s">
        <v>17</v>
      </c>
      <c r="B183" s="253" t="s">
        <v>19</v>
      </c>
      <c r="C183" s="1873" t="s">
        <v>33</v>
      </c>
      <c r="D183" s="1851"/>
      <c r="E183" s="1851"/>
      <c r="F183" s="1851"/>
      <c r="G183" s="1851"/>
      <c r="H183" s="1851"/>
      <c r="I183" s="1851"/>
      <c r="J183" s="1851"/>
      <c r="K183" s="1851"/>
      <c r="L183" s="1851"/>
      <c r="M183" s="1874"/>
    </row>
    <row r="184" spans="1:14" ht="15.75" customHeight="1" x14ac:dyDescent="0.2">
      <c r="A184" s="234" t="s">
        <v>17</v>
      </c>
      <c r="B184" s="209" t="s">
        <v>19</v>
      </c>
      <c r="C184" s="210" t="s">
        <v>14</v>
      </c>
      <c r="D184" s="1902" t="s">
        <v>34</v>
      </c>
      <c r="E184" s="1208"/>
      <c r="F184" s="5" t="s">
        <v>15</v>
      </c>
      <c r="G184" s="702">
        <f>1980.8+115</f>
        <v>2095.8000000000002</v>
      </c>
      <c r="H184" s="703">
        <f>2471.8-310</f>
        <v>2161.8000000000002</v>
      </c>
      <c r="I184" s="1112">
        <f>2431.8-370</f>
        <v>2061.8000000000002</v>
      </c>
      <c r="J184" s="1250"/>
      <c r="K184" s="705"/>
      <c r="L184" s="706"/>
      <c r="M184" s="707"/>
    </row>
    <row r="185" spans="1:14" ht="15.75" customHeight="1" x14ac:dyDescent="0.2">
      <c r="A185" s="198"/>
      <c r="B185" s="199"/>
      <c r="C185" s="200"/>
      <c r="D185" s="1903"/>
      <c r="E185" s="1214"/>
      <c r="F185" s="990" t="s">
        <v>87</v>
      </c>
      <c r="G185" s="1111">
        <f>89.4+200</f>
        <v>289.39999999999998</v>
      </c>
      <c r="H185" s="1114">
        <f>SUMIF(F187:F205,F185,H187:H205)</f>
        <v>0</v>
      </c>
      <c r="I185" s="1113">
        <f>SUMIF(F187:F205,F185,I187:I205)</f>
        <v>0</v>
      </c>
      <c r="J185" s="1251"/>
      <c r="K185" s="712"/>
      <c r="L185" s="242"/>
      <c r="M185" s="713"/>
    </row>
    <row r="186" spans="1:14" ht="15.75" customHeight="1" x14ac:dyDescent="0.2">
      <c r="A186" s="198"/>
      <c r="B186" s="199"/>
      <c r="C186" s="200"/>
      <c r="D186" s="1903"/>
      <c r="E186" s="1214"/>
      <c r="F186" s="5" t="s">
        <v>18</v>
      </c>
      <c r="G186" s="1110">
        <v>2.6</v>
      </c>
      <c r="H186" s="1115">
        <v>2.6</v>
      </c>
      <c r="I186" s="1116">
        <v>2.6</v>
      </c>
      <c r="J186" s="1251"/>
      <c r="K186" s="712"/>
      <c r="L186" s="242"/>
      <c r="M186" s="713"/>
    </row>
    <row r="187" spans="1:14" ht="30.75" customHeight="1" x14ac:dyDescent="0.2">
      <c r="A187" s="198"/>
      <c r="B187" s="199"/>
      <c r="C187" s="241"/>
      <c r="D187" s="1904" t="s">
        <v>337</v>
      </c>
      <c r="E187" s="1214"/>
      <c r="F187" s="708"/>
      <c r="G187" s="134"/>
      <c r="H187" s="130"/>
      <c r="I187" s="15"/>
      <c r="J187" s="1219" t="s">
        <v>136</v>
      </c>
      <c r="K187" s="565">
        <v>20</v>
      </c>
      <c r="L187" s="566">
        <v>18</v>
      </c>
      <c r="M187" s="567">
        <v>18</v>
      </c>
    </row>
    <row r="188" spans="1:14" ht="75" customHeight="1" x14ac:dyDescent="0.2">
      <c r="A188" s="198"/>
      <c r="B188" s="199"/>
      <c r="C188" s="241"/>
      <c r="D188" s="1905"/>
      <c r="E188" s="1214"/>
      <c r="F188" s="708"/>
      <c r="G188" s="134"/>
      <c r="H188" s="130"/>
      <c r="I188" s="15"/>
      <c r="J188" s="1220"/>
      <c r="K188" s="727"/>
      <c r="L188" s="728"/>
      <c r="M188" s="418"/>
    </row>
    <row r="189" spans="1:14" s="57" customFormat="1" ht="16.5" customHeight="1" x14ac:dyDescent="0.2">
      <c r="A189" s="198"/>
      <c r="B189" s="199"/>
      <c r="C189" s="241"/>
      <c r="D189" s="1904" t="s">
        <v>77</v>
      </c>
      <c r="E189" s="1214"/>
      <c r="F189" s="708"/>
      <c r="G189" s="134"/>
      <c r="H189" s="130"/>
      <c r="I189" s="15"/>
      <c r="J189" s="1219" t="s">
        <v>100</v>
      </c>
      <c r="K189" s="565">
        <v>93</v>
      </c>
      <c r="L189" s="717">
        <v>93</v>
      </c>
      <c r="M189" s="567">
        <v>93</v>
      </c>
    </row>
    <row r="190" spans="1:14" s="57" customFormat="1" ht="16.5" customHeight="1" x14ac:dyDescent="0.2">
      <c r="A190" s="198"/>
      <c r="B190" s="199"/>
      <c r="C190" s="241"/>
      <c r="D190" s="1905"/>
      <c r="E190" s="1214"/>
      <c r="F190" s="708"/>
      <c r="G190" s="134"/>
      <c r="H190" s="130"/>
      <c r="I190" s="15"/>
      <c r="J190" s="1221"/>
      <c r="K190" s="718"/>
      <c r="L190" s="719"/>
      <c r="M190" s="583"/>
    </row>
    <row r="191" spans="1:14" ht="28.5" customHeight="1" x14ac:dyDescent="0.2">
      <c r="A191" s="198"/>
      <c r="B191" s="199"/>
      <c r="C191" s="241"/>
      <c r="D191" s="720" t="s">
        <v>38</v>
      </c>
      <c r="E191" s="1214"/>
      <c r="F191" s="708"/>
      <c r="G191" s="134"/>
      <c r="H191" s="130"/>
      <c r="I191" s="15"/>
      <c r="J191" s="1221" t="s">
        <v>137</v>
      </c>
      <c r="K191" s="718">
        <v>30</v>
      </c>
      <c r="L191" s="719">
        <v>30</v>
      </c>
      <c r="M191" s="583">
        <v>30</v>
      </c>
    </row>
    <row r="192" spans="1:14" ht="29.25" customHeight="1" x14ac:dyDescent="0.2">
      <c r="A192" s="198"/>
      <c r="B192" s="199"/>
      <c r="C192" s="241"/>
      <c r="D192" s="720" t="s">
        <v>40</v>
      </c>
      <c r="E192" s="1214"/>
      <c r="F192" s="708"/>
      <c r="G192" s="134"/>
      <c r="H192" s="130"/>
      <c r="I192" s="15"/>
      <c r="J192" s="1221" t="s">
        <v>138</v>
      </c>
      <c r="K192" s="718">
        <v>4</v>
      </c>
      <c r="L192" s="719">
        <v>4</v>
      </c>
      <c r="M192" s="583">
        <v>4</v>
      </c>
    </row>
    <row r="193" spans="1:16" ht="18" customHeight="1" x14ac:dyDescent="0.2">
      <c r="A193" s="198"/>
      <c r="B193" s="199"/>
      <c r="C193" s="241"/>
      <c r="D193" s="714" t="s">
        <v>37</v>
      </c>
      <c r="E193" s="1214"/>
      <c r="F193" s="708"/>
      <c r="G193" s="1099"/>
      <c r="H193" s="1117"/>
      <c r="I193" s="1118"/>
      <c r="J193" s="724" t="s">
        <v>41</v>
      </c>
      <c r="K193" s="725">
        <v>37.700000000000003</v>
      </c>
      <c r="L193" s="670">
        <f>+K193</f>
        <v>37.700000000000003</v>
      </c>
      <c r="M193" s="726">
        <f>+L193</f>
        <v>37.700000000000003</v>
      </c>
      <c r="N193" s="57"/>
    </row>
    <row r="194" spans="1:16" ht="14.25" customHeight="1" x14ac:dyDescent="0.2">
      <c r="A194" s="198"/>
      <c r="B194" s="199"/>
      <c r="C194" s="200"/>
      <c r="D194" s="1217" t="s">
        <v>39</v>
      </c>
      <c r="E194" s="1214"/>
      <c r="F194" s="708"/>
      <c r="G194" s="134"/>
      <c r="H194" s="130"/>
      <c r="I194" s="15"/>
      <c r="J194" s="1906" t="s">
        <v>140</v>
      </c>
      <c r="K194" s="727">
        <v>101</v>
      </c>
      <c r="L194" s="728">
        <v>101</v>
      </c>
      <c r="M194" s="418">
        <v>101</v>
      </c>
      <c r="N194" s="57"/>
    </row>
    <row r="195" spans="1:16" ht="14.25" customHeight="1" x14ac:dyDescent="0.2">
      <c r="A195" s="198"/>
      <c r="B195" s="199"/>
      <c r="C195" s="200"/>
      <c r="D195" s="729"/>
      <c r="E195" s="1214"/>
      <c r="F195" s="708"/>
      <c r="G195" s="134"/>
      <c r="H195" s="130"/>
      <c r="I195" s="15"/>
      <c r="J195" s="1907"/>
      <c r="K195" s="727"/>
      <c r="L195" s="728"/>
      <c r="M195" s="418"/>
      <c r="N195" s="57"/>
    </row>
    <row r="196" spans="1:16" ht="14.25" customHeight="1" x14ac:dyDescent="0.2">
      <c r="A196" s="198"/>
      <c r="B196" s="199"/>
      <c r="C196" s="200"/>
      <c r="D196" s="1218"/>
      <c r="E196" s="1214"/>
      <c r="F196" s="1119"/>
      <c r="G196" s="1099"/>
      <c r="H196" s="1117"/>
      <c r="I196" s="1118"/>
      <c r="J196" s="1908"/>
      <c r="K196" s="727"/>
      <c r="L196" s="728"/>
      <c r="M196" s="418"/>
      <c r="N196" s="57"/>
    </row>
    <row r="197" spans="1:16" ht="27" customHeight="1" x14ac:dyDescent="0.2">
      <c r="A197" s="198"/>
      <c r="B197" s="199"/>
      <c r="C197" s="241"/>
      <c r="D197" s="731" t="s">
        <v>48</v>
      </c>
      <c r="E197" s="985"/>
      <c r="F197" s="1119"/>
      <c r="G197" s="134"/>
      <c r="H197" s="130"/>
      <c r="I197" s="15"/>
      <c r="J197" s="733" t="s">
        <v>100</v>
      </c>
      <c r="K197" s="561">
        <v>11</v>
      </c>
      <c r="L197" s="716">
        <v>12</v>
      </c>
      <c r="M197" s="6">
        <v>12</v>
      </c>
      <c r="N197" s="989"/>
    </row>
    <row r="198" spans="1:16" ht="31.5" customHeight="1" x14ac:dyDescent="0.2">
      <c r="A198" s="198"/>
      <c r="B198" s="199"/>
      <c r="C198" s="241"/>
      <c r="D198" s="1226" t="s">
        <v>308</v>
      </c>
      <c r="E198" s="985"/>
      <c r="F198" s="584"/>
      <c r="G198" s="134"/>
      <c r="H198" s="130"/>
      <c r="I198" s="15"/>
      <c r="J198" s="733" t="s">
        <v>100</v>
      </c>
      <c r="K198" s="718">
        <v>9</v>
      </c>
      <c r="L198" s="719">
        <v>9</v>
      </c>
      <c r="M198" s="583">
        <v>9</v>
      </c>
    </row>
    <row r="199" spans="1:16" ht="18" customHeight="1" x14ac:dyDescent="0.2">
      <c r="A199" s="198"/>
      <c r="B199" s="199"/>
      <c r="C199" s="241"/>
      <c r="D199" s="1216" t="s">
        <v>71</v>
      </c>
      <c r="E199" s="994"/>
      <c r="F199" s="1119"/>
      <c r="G199" s="134"/>
      <c r="H199" s="130"/>
      <c r="I199" s="138"/>
      <c r="J199" s="733" t="s">
        <v>100</v>
      </c>
      <c r="K199" s="718">
        <v>9</v>
      </c>
      <c r="L199" s="719">
        <v>11</v>
      </c>
      <c r="M199" s="583">
        <v>11</v>
      </c>
    </row>
    <row r="200" spans="1:16" ht="27.75" customHeight="1" x14ac:dyDescent="0.2">
      <c r="A200" s="198"/>
      <c r="B200" s="199"/>
      <c r="C200" s="200"/>
      <c r="D200" s="1773" t="s">
        <v>338</v>
      </c>
      <c r="E200" s="1956" t="s">
        <v>47</v>
      </c>
      <c r="F200" s="708"/>
      <c r="G200" s="134"/>
      <c r="H200" s="130"/>
      <c r="I200" s="1120"/>
      <c r="J200" s="1220" t="s">
        <v>142</v>
      </c>
      <c r="K200" s="718">
        <v>1</v>
      </c>
      <c r="L200" s="719">
        <v>1</v>
      </c>
      <c r="M200" s="583">
        <v>1</v>
      </c>
      <c r="O200" s="1203"/>
    </row>
    <row r="201" spans="1:16" ht="27.75" customHeight="1" x14ac:dyDescent="0.2">
      <c r="A201" s="198"/>
      <c r="B201" s="199"/>
      <c r="C201" s="200"/>
      <c r="D201" s="1775"/>
      <c r="E201" s="1957"/>
      <c r="F201" s="708"/>
      <c r="G201" s="134"/>
      <c r="H201" s="130"/>
      <c r="I201" s="15"/>
      <c r="J201" s="715" t="s">
        <v>150</v>
      </c>
      <c r="K201" s="565">
        <v>4</v>
      </c>
      <c r="L201" s="566">
        <v>3</v>
      </c>
      <c r="M201" s="567">
        <v>3</v>
      </c>
    </row>
    <row r="202" spans="1:16" ht="28.5" customHeight="1" x14ac:dyDescent="0.2">
      <c r="A202" s="198"/>
      <c r="B202" s="199"/>
      <c r="C202" s="200"/>
      <c r="D202" s="461" t="s">
        <v>118</v>
      </c>
      <c r="E202" s="1147"/>
      <c r="F202" s="56"/>
      <c r="G202" s="134"/>
      <c r="H202" s="130"/>
      <c r="I202" s="15"/>
      <c r="J202" s="1219" t="s">
        <v>100</v>
      </c>
      <c r="K202" s="565">
        <v>33</v>
      </c>
      <c r="L202" s="566">
        <v>33</v>
      </c>
      <c r="M202" s="567">
        <v>33</v>
      </c>
    </row>
    <row r="203" spans="1:16" ht="16.5" customHeight="1" x14ac:dyDescent="0.2">
      <c r="A203" s="198"/>
      <c r="B203" s="199"/>
      <c r="C203" s="200"/>
      <c r="D203" s="1893" t="s">
        <v>339</v>
      </c>
      <c r="E203" s="735"/>
      <c r="F203" s="1241"/>
      <c r="G203" s="134"/>
      <c r="H203" s="130"/>
      <c r="I203" s="138"/>
      <c r="J203" s="381" t="s">
        <v>100</v>
      </c>
      <c r="K203" s="565">
        <v>3</v>
      </c>
      <c r="L203" s="717"/>
      <c r="M203" s="567"/>
    </row>
    <row r="204" spans="1:16" ht="14.25" customHeight="1" x14ac:dyDescent="0.2">
      <c r="A204" s="198"/>
      <c r="B204" s="199"/>
      <c r="C204" s="200"/>
      <c r="D204" s="1894"/>
      <c r="E204" s="735"/>
      <c r="F204" s="1241"/>
      <c r="G204" s="134"/>
      <c r="H204" s="130"/>
      <c r="I204" s="15"/>
      <c r="J204" s="1220"/>
      <c r="K204" s="727"/>
      <c r="L204" s="728"/>
      <c r="M204" s="418"/>
    </row>
    <row r="205" spans="1:16" ht="29.25" customHeight="1" x14ac:dyDescent="0.2">
      <c r="A205" s="198"/>
      <c r="B205" s="199"/>
      <c r="C205" s="241"/>
      <c r="D205" s="461" t="s">
        <v>207</v>
      </c>
      <c r="E205" s="985"/>
      <c r="F205" s="1119"/>
      <c r="G205" s="134"/>
      <c r="H205" s="130"/>
      <c r="I205" s="15"/>
      <c r="J205" s="381" t="s">
        <v>100</v>
      </c>
      <c r="K205" s="565"/>
      <c r="L205" s="566">
        <v>1</v>
      </c>
      <c r="M205" s="567"/>
      <c r="N205" s="989"/>
      <c r="O205" s="1801"/>
      <c r="P205" s="1801"/>
    </row>
    <row r="206" spans="1:16" ht="18" customHeight="1" x14ac:dyDescent="0.2">
      <c r="A206" s="198"/>
      <c r="B206" s="199"/>
      <c r="C206" s="200"/>
      <c r="D206" s="1773" t="s">
        <v>342</v>
      </c>
      <c r="E206" s="985"/>
      <c r="F206" s="1119"/>
      <c r="G206" s="134"/>
      <c r="H206" s="130"/>
      <c r="I206" s="138"/>
      <c r="J206" s="381"/>
      <c r="K206" s="565"/>
      <c r="L206" s="566"/>
      <c r="M206" s="567"/>
      <c r="N206" s="989"/>
      <c r="O206" s="1419"/>
      <c r="P206" s="1419"/>
    </row>
    <row r="207" spans="1:16" ht="14.25" customHeight="1" thickBot="1" x14ac:dyDescent="0.25">
      <c r="A207" s="216"/>
      <c r="B207" s="213"/>
      <c r="C207" s="214"/>
      <c r="D207" s="1798"/>
      <c r="E207" s="1215"/>
      <c r="F207" s="68" t="s">
        <v>16</v>
      </c>
      <c r="G207" s="320">
        <f>SUM(G184:G205)</f>
        <v>2387.8000000000002</v>
      </c>
      <c r="H207" s="423">
        <f>SUM(H184:H205)</f>
        <v>2164.4</v>
      </c>
      <c r="I207" s="355">
        <f>SUM(I184:I205)</f>
        <v>2064.4</v>
      </c>
      <c r="J207" s="1252"/>
      <c r="K207" s="740"/>
      <c r="L207" s="741"/>
      <c r="M207" s="742"/>
    </row>
    <row r="208" spans="1:16" s="9" customFormat="1" ht="18" customHeight="1" x14ac:dyDescent="0.2">
      <c r="A208" s="1818" t="s">
        <v>17</v>
      </c>
      <c r="B208" s="1914" t="s">
        <v>19</v>
      </c>
      <c r="C208" s="2" t="s">
        <v>17</v>
      </c>
      <c r="D208" s="1797" t="s">
        <v>251</v>
      </c>
      <c r="E208" s="1916"/>
      <c r="F208" s="743" t="s">
        <v>15</v>
      </c>
      <c r="G208" s="744">
        <v>31.3</v>
      </c>
      <c r="H208" s="81">
        <v>31.3</v>
      </c>
      <c r="I208" s="79">
        <v>31.3</v>
      </c>
      <c r="J208" s="1799" t="s">
        <v>206</v>
      </c>
      <c r="K208" s="1039">
        <v>300</v>
      </c>
      <c r="L208" s="747">
        <v>300</v>
      </c>
      <c r="M208" s="748">
        <v>300</v>
      </c>
    </row>
    <row r="209" spans="1:17" s="9" customFormat="1" ht="16.5" customHeight="1" thickBot="1" x14ac:dyDescent="0.25">
      <c r="A209" s="1819"/>
      <c r="B209" s="1915"/>
      <c r="C209" s="50"/>
      <c r="D209" s="1798"/>
      <c r="E209" s="1917"/>
      <c r="F209" s="68" t="s">
        <v>16</v>
      </c>
      <c r="G209" s="749">
        <f t="shared" ref="G209:I209" si="6">SUM(G208:G208)</f>
        <v>31.3</v>
      </c>
      <c r="H209" s="750">
        <f t="shared" si="6"/>
        <v>31.3</v>
      </c>
      <c r="I209" s="751">
        <f t="shared" si="6"/>
        <v>31.3</v>
      </c>
      <c r="J209" s="1918"/>
      <c r="K209" s="1040"/>
      <c r="L209" s="754"/>
      <c r="M209" s="755"/>
    </row>
    <row r="210" spans="1:17" ht="19.5" customHeight="1" x14ac:dyDescent="0.2">
      <c r="A210" s="234" t="s">
        <v>17</v>
      </c>
      <c r="B210" s="209" t="s">
        <v>19</v>
      </c>
      <c r="C210" s="252" t="s">
        <v>19</v>
      </c>
      <c r="D210" s="1797" t="s">
        <v>117</v>
      </c>
      <c r="E210" s="1919" t="s">
        <v>45</v>
      </c>
      <c r="F210" s="52" t="s">
        <v>15</v>
      </c>
      <c r="G210" s="403">
        <v>30</v>
      </c>
      <c r="H210" s="404">
        <v>30</v>
      </c>
      <c r="I210" s="405">
        <v>30</v>
      </c>
      <c r="J210" s="501" t="s">
        <v>143</v>
      </c>
      <c r="K210" s="1041">
        <v>3</v>
      </c>
      <c r="L210" s="706">
        <v>3</v>
      </c>
      <c r="M210" s="707">
        <v>3</v>
      </c>
    </row>
    <row r="211" spans="1:17" ht="19.5" customHeight="1" x14ac:dyDescent="0.2">
      <c r="A211" s="198"/>
      <c r="B211" s="199"/>
      <c r="C211" s="245"/>
      <c r="D211" s="1774"/>
      <c r="E211" s="1920"/>
      <c r="F211" s="708"/>
      <c r="G211" s="99"/>
      <c r="H211" s="121"/>
      <c r="I211" s="363"/>
      <c r="J211" s="152"/>
      <c r="K211" s="1042"/>
      <c r="L211" s="242"/>
      <c r="M211" s="713"/>
    </row>
    <row r="212" spans="1:17" ht="15" customHeight="1" thickBot="1" x14ac:dyDescent="0.25">
      <c r="A212" s="216"/>
      <c r="B212" s="213"/>
      <c r="C212" s="254"/>
      <c r="D212" s="1728"/>
      <c r="E212" s="90" t="s">
        <v>152</v>
      </c>
      <c r="F212" s="68" t="s">
        <v>16</v>
      </c>
      <c r="G212" s="320">
        <f t="shared" ref="G212:I212" si="7">+G210</f>
        <v>30</v>
      </c>
      <c r="H212" s="423">
        <f t="shared" si="7"/>
        <v>30</v>
      </c>
      <c r="I212" s="430">
        <f t="shared" si="7"/>
        <v>30</v>
      </c>
      <c r="J212" s="466"/>
      <c r="K212" s="1737"/>
      <c r="L212" s="1738"/>
      <c r="M212" s="1739"/>
    </row>
    <row r="213" spans="1:17" ht="17.25" customHeight="1" x14ac:dyDescent="0.2">
      <c r="A213" s="198" t="s">
        <v>17</v>
      </c>
      <c r="B213" s="199" t="s">
        <v>19</v>
      </c>
      <c r="C213" s="241" t="s">
        <v>21</v>
      </c>
      <c r="D213" s="1803" t="s">
        <v>80</v>
      </c>
      <c r="E213" s="59"/>
      <c r="F213" s="1736" t="s">
        <v>15</v>
      </c>
      <c r="G213" s="333">
        <v>47.8</v>
      </c>
      <c r="H213" s="64">
        <v>25.5</v>
      </c>
      <c r="I213" s="119">
        <v>25.5</v>
      </c>
      <c r="J213" s="1148"/>
      <c r="K213" s="1043"/>
      <c r="L213" s="1730"/>
      <c r="M213" s="1009"/>
      <c r="N213" s="1203"/>
    </row>
    <row r="214" spans="1:17" ht="17.25" customHeight="1" x14ac:dyDescent="0.2">
      <c r="A214" s="198"/>
      <c r="B214" s="199"/>
      <c r="C214" s="241"/>
      <c r="D214" s="1803"/>
      <c r="E214" s="59"/>
      <c r="F214" s="772" t="s">
        <v>87</v>
      </c>
      <c r="G214" s="96">
        <v>7.2</v>
      </c>
      <c r="H214" s="84">
        <f>SUMIF(F217:F223,F214,H217:H223)</f>
        <v>0</v>
      </c>
      <c r="I214" s="413">
        <f>SUMIF(F217:F223,F214,I217:I223)</f>
        <v>0</v>
      </c>
      <c r="J214" s="1148"/>
      <c r="K214" s="1043"/>
      <c r="L214" s="1375"/>
      <c r="M214" s="1009"/>
      <c r="N214" s="1203"/>
    </row>
    <row r="215" spans="1:17" ht="17.25" customHeight="1" x14ac:dyDescent="0.2">
      <c r="A215" s="198"/>
      <c r="B215" s="199"/>
      <c r="C215" s="241"/>
      <c r="D215" s="1393"/>
      <c r="E215" s="1405"/>
      <c r="F215" s="772" t="s">
        <v>3</v>
      </c>
      <c r="G215" s="96">
        <v>140.5</v>
      </c>
      <c r="H215" s="84">
        <v>36</v>
      </c>
      <c r="I215" s="325">
        <v>36</v>
      </c>
      <c r="J215" s="1409"/>
      <c r="K215" s="1410"/>
      <c r="L215" s="1411"/>
      <c r="M215" s="1412"/>
      <c r="N215" s="1203"/>
    </row>
    <row r="216" spans="1:17" s="257" customFormat="1" ht="41.25" customHeight="1" x14ac:dyDescent="0.2">
      <c r="A216" s="198"/>
      <c r="B216" s="199"/>
      <c r="C216" s="46"/>
      <c r="D216" s="1374" t="s">
        <v>76</v>
      </c>
      <c r="E216" s="760"/>
      <c r="F216" s="776"/>
      <c r="G216" s="134"/>
      <c r="H216" s="130"/>
      <c r="I216" s="15"/>
      <c r="J216" s="787" t="s">
        <v>145</v>
      </c>
      <c r="K216" s="1047">
        <v>79</v>
      </c>
      <c r="L216" s="728">
        <v>79</v>
      </c>
      <c r="M216" s="418">
        <v>79</v>
      </c>
      <c r="N216" s="256"/>
      <c r="O216" s="256"/>
      <c r="P216" s="256"/>
      <c r="Q216" s="256"/>
    </row>
    <row r="217" spans="1:17" s="257" customFormat="1" ht="31.5" customHeight="1" x14ac:dyDescent="0.2">
      <c r="A217" s="198"/>
      <c r="B217" s="196"/>
      <c r="C217" s="46"/>
      <c r="D217" s="1909" t="s">
        <v>340</v>
      </c>
      <c r="E217" s="760"/>
      <c r="F217" s="1124"/>
      <c r="G217" s="134"/>
      <c r="H217" s="130"/>
      <c r="I217" s="15"/>
      <c r="J217" s="1121" t="s">
        <v>147</v>
      </c>
      <c r="K217" s="104">
        <v>2</v>
      </c>
      <c r="L217" s="150">
        <v>1</v>
      </c>
      <c r="M217" s="6">
        <v>1</v>
      </c>
      <c r="N217" s="256"/>
      <c r="O217" s="256"/>
      <c r="P217" s="256"/>
      <c r="Q217" s="256"/>
    </row>
    <row r="218" spans="1:17" s="257" customFormat="1" ht="20.25" customHeight="1" x14ac:dyDescent="0.2">
      <c r="A218" s="198"/>
      <c r="B218" s="196"/>
      <c r="C218" s="46"/>
      <c r="D218" s="1910"/>
      <c r="E218" s="760"/>
      <c r="F218" s="776"/>
      <c r="G218" s="134"/>
      <c r="H218" s="130"/>
      <c r="I218" s="15"/>
      <c r="J218" s="1955" t="s">
        <v>179</v>
      </c>
      <c r="K218" s="1046">
        <v>1</v>
      </c>
      <c r="L218" s="981">
        <v>1</v>
      </c>
      <c r="M218" s="418">
        <v>1</v>
      </c>
      <c r="N218" s="256"/>
      <c r="O218" s="256"/>
      <c r="P218" s="256"/>
      <c r="Q218" s="256"/>
    </row>
    <row r="219" spans="1:17" s="257" customFormat="1" ht="20.25" customHeight="1" x14ac:dyDescent="0.2">
      <c r="A219" s="198"/>
      <c r="B219" s="196"/>
      <c r="C219" s="46"/>
      <c r="D219" s="1910"/>
      <c r="E219" s="760"/>
      <c r="F219" s="776"/>
      <c r="G219" s="134"/>
      <c r="H219" s="130"/>
      <c r="I219" s="15"/>
      <c r="J219" s="1955"/>
      <c r="K219" s="1047"/>
      <c r="L219" s="981"/>
      <c r="M219" s="418"/>
      <c r="N219" s="256"/>
      <c r="O219" s="256"/>
      <c r="P219" s="256"/>
      <c r="Q219" s="256"/>
    </row>
    <row r="220" spans="1:17" ht="41.25" customHeight="1" x14ac:dyDescent="0.2">
      <c r="A220" s="198"/>
      <c r="B220" s="196"/>
      <c r="C220" s="46"/>
      <c r="D220" s="1910"/>
      <c r="E220" s="758"/>
      <c r="F220" s="776"/>
      <c r="G220" s="134"/>
      <c r="H220" s="130"/>
      <c r="I220" s="15"/>
      <c r="J220" s="1122" t="s">
        <v>208</v>
      </c>
      <c r="K220" s="104">
        <v>2</v>
      </c>
      <c r="L220" s="150">
        <v>1</v>
      </c>
      <c r="M220" s="778">
        <v>1</v>
      </c>
    </row>
    <row r="221" spans="1:17" ht="42.75" customHeight="1" x14ac:dyDescent="0.2">
      <c r="A221" s="198"/>
      <c r="B221" s="196"/>
      <c r="C221" s="46"/>
      <c r="D221" s="1210"/>
      <c r="E221" s="760"/>
      <c r="F221" s="1124"/>
      <c r="G221" s="134"/>
      <c r="H221" s="130"/>
      <c r="I221" s="15"/>
      <c r="J221" s="779" t="s">
        <v>179</v>
      </c>
      <c r="K221" s="1045"/>
      <c r="L221" s="38">
        <v>1</v>
      </c>
      <c r="M221" s="567"/>
    </row>
    <row r="222" spans="1:17" ht="25.5" customHeight="1" x14ac:dyDescent="0.2">
      <c r="A222" s="198"/>
      <c r="B222" s="196"/>
      <c r="C222" s="46"/>
      <c r="D222" s="1210"/>
      <c r="E222" s="760"/>
      <c r="F222" s="1124"/>
      <c r="G222" s="452"/>
      <c r="H222" s="127"/>
      <c r="I222" s="495"/>
      <c r="J222" s="1951" t="s">
        <v>208</v>
      </c>
      <c r="K222" s="1045">
        <v>1</v>
      </c>
      <c r="L222" s="547"/>
      <c r="M222" s="567"/>
      <c r="N222" s="247"/>
    </row>
    <row r="223" spans="1:17" ht="18" customHeight="1" thickBot="1" x14ac:dyDescent="0.25">
      <c r="A223" s="198"/>
      <c r="B223" s="199"/>
      <c r="C223" s="47"/>
      <c r="D223" s="1210"/>
      <c r="E223" s="760"/>
      <c r="F223" s="786" t="s">
        <v>16</v>
      </c>
      <c r="G223" s="320">
        <f>SUM(G213:G222)</f>
        <v>195.5</v>
      </c>
      <c r="H223" s="423">
        <f>SUM(H213:H222)</f>
        <v>61.5</v>
      </c>
      <c r="I223" s="355">
        <f t="shared" ref="I223" si="8">SUM(I213:I222)</f>
        <v>61.5</v>
      </c>
      <c r="J223" s="1952"/>
      <c r="K223" s="137"/>
      <c r="L223" s="981"/>
      <c r="M223" s="634"/>
    </row>
    <row r="224" spans="1:17" s="170" customFormat="1" ht="15.75" customHeight="1" x14ac:dyDescent="0.2">
      <c r="A224" s="234" t="s">
        <v>17</v>
      </c>
      <c r="B224" s="209" t="s">
        <v>19</v>
      </c>
      <c r="C224" s="311" t="s">
        <v>22</v>
      </c>
      <c r="D224" s="1797" t="s">
        <v>306</v>
      </c>
      <c r="E224" s="955"/>
      <c r="F224" s="1240" t="s">
        <v>15</v>
      </c>
      <c r="G224" s="44">
        <v>1951.3</v>
      </c>
      <c r="H224" s="219">
        <v>2301.3000000000002</v>
      </c>
      <c r="I224" s="671">
        <v>2301.3000000000002</v>
      </c>
      <c r="J224" s="462" t="s">
        <v>100</v>
      </c>
      <c r="K224" s="830">
        <v>92</v>
      </c>
      <c r="L224" s="373">
        <v>92</v>
      </c>
      <c r="M224" s="13">
        <v>92</v>
      </c>
    </row>
    <row r="225" spans="1:14" ht="15.75" customHeight="1" x14ac:dyDescent="0.2">
      <c r="A225" s="198"/>
      <c r="B225" s="199"/>
      <c r="C225" s="200"/>
      <c r="D225" s="1774"/>
      <c r="E225" s="956"/>
      <c r="F225" s="5" t="s">
        <v>87</v>
      </c>
      <c r="G225" s="72">
        <v>350</v>
      </c>
      <c r="H225" s="1004"/>
      <c r="I225" s="73"/>
      <c r="J225" s="76"/>
      <c r="K225" s="996"/>
      <c r="L225" s="29"/>
      <c r="M225" s="1005"/>
    </row>
    <row r="226" spans="1:14" ht="18" hidden="1" customHeight="1" x14ac:dyDescent="0.2">
      <c r="A226" s="198"/>
      <c r="B226" s="199"/>
      <c r="C226" s="200"/>
      <c r="D226" s="1774"/>
      <c r="E226" s="956"/>
      <c r="F226" s="562" t="s">
        <v>15</v>
      </c>
      <c r="G226" s="275"/>
      <c r="H226" s="276"/>
      <c r="I226" s="351"/>
      <c r="J226" s="76"/>
      <c r="K226" s="996"/>
      <c r="L226" s="29"/>
      <c r="M226" s="1005"/>
    </row>
    <row r="227" spans="1:14" ht="18" customHeight="1" thickBot="1" x14ac:dyDescent="0.25">
      <c r="A227" s="198"/>
      <c r="B227" s="199"/>
      <c r="C227" s="47"/>
      <c r="D227" s="1213"/>
      <c r="E227" s="760"/>
      <c r="F227" s="786" t="s">
        <v>16</v>
      </c>
      <c r="G227" s="320">
        <f>SUM(G224:G226)</f>
        <v>2301.3000000000002</v>
      </c>
      <c r="H227" s="423">
        <f t="shared" ref="H227:I227" si="9">SUM(H224:H226)</f>
        <v>2301.3000000000002</v>
      </c>
      <c r="I227" s="355">
        <f t="shared" si="9"/>
        <v>2301.3000000000002</v>
      </c>
      <c r="J227" s="1123"/>
      <c r="K227" s="157"/>
      <c r="L227" s="147"/>
      <c r="M227" s="1248"/>
    </row>
    <row r="228" spans="1:14" s="260" customFormat="1" ht="14.25" customHeight="1" thickBot="1" x14ac:dyDescent="0.25">
      <c r="A228" s="259" t="s">
        <v>17</v>
      </c>
      <c r="B228" s="250" t="s">
        <v>19</v>
      </c>
      <c r="C228" s="1843" t="s">
        <v>20</v>
      </c>
      <c r="D228" s="1844"/>
      <c r="E228" s="1844"/>
      <c r="F228" s="1844"/>
      <c r="G228" s="343">
        <f>G209+G212+G223+G207+G227</f>
        <v>4945.9000000000005</v>
      </c>
      <c r="H228" s="344">
        <f>H209+H212+H223+H207+H227</f>
        <v>4588.5</v>
      </c>
      <c r="I228" s="345">
        <f>I209+I212+I223+I207+I227</f>
        <v>4488.5</v>
      </c>
      <c r="J228" s="231"/>
      <c r="K228" s="232"/>
      <c r="L228" s="232"/>
      <c r="M228" s="233"/>
    </row>
    <row r="229" spans="1:14" s="164" customFormat="1" ht="14.25" customHeight="1" thickBot="1" x14ac:dyDescent="0.25">
      <c r="A229" s="259" t="s">
        <v>17</v>
      </c>
      <c r="B229" s="1845" t="s">
        <v>6</v>
      </c>
      <c r="C229" s="1846"/>
      <c r="D229" s="1846"/>
      <c r="E229" s="1846"/>
      <c r="F229" s="1846"/>
      <c r="G229" s="395">
        <f>G228+G182+G167</f>
        <v>14671.599999999999</v>
      </c>
      <c r="H229" s="358">
        <f>H228+H182+H167</f>
        <v>14397.000000000002</v>
      </c>
      <c r="I229" s="359">
        <f>I228+I182+I167</f>
        <v>8844.0999999999985</v>
      </c>
      <c r="J229" s="160"/>
      <c r="K229" s="160"/>
      <c r="L229" s="160"/>
      <c r="M229" s="161"/>
    </row>
    <row r="230" spans="1:14" s="164" customFormat="1" ht="14.25" customHeight="1" thickBot="1" x14ac:dyDescent="0.25">
      <c r="A230" s="261" t="s">
        <v>5</v>
      </c>
      <c r="B230" s="1927" t="s">
        <v>7</v>
      </c>
      <c r="C230" s="1928"/>
      <c r="D230" s="1928"/>
      <c r="E230" s="1928"/>
      <c r="F230" s="1928"/>
      <c r="G230" s="396">
        <f>G229+G99</f>
        <v>106510.69999999998</v>
      </c>
      <c r="H230" s="360">
        <f>H229+H99</f>
        <v>104387.49999999999</v>
      </c>
      <c r="I230" s="361">
        <f>I229+I99</f>
        <v>98664.599999999977</v>
      </c>
      <c r="J230" s="262"/>
      <c r="K230" s="262"/>
      <c r="L230" s="262"/>
      <c r="M230" s="263"/>
    </row>
    <row r="231" spans="1:14" s="164" customFormat="1" ht="23.25" customHeight="1" thickBot="1" x14ac:dyDescent="0.25">
      <c r="A231" s="1929" t="s">
        <v>0</v>
      </c>
      <c r="B231" s="1929"/>
      <c r="C231" s="1929"/>
      <c r="D231" s="1929"/>
      <c r="E231" s="1929"/>
      <c r="F231" s="1929"/>
      <c r="G231" s="1929"/>
      <c r="H231" s="1929"/>
      <c r="I231" s="1929"/>
      <c r="J231" s="569"/>
      <c r="K231" s="569"/>
      <c r="L231" s="569"/>
      <c r="M231" s="569"/>
    </row>
    <row r="232" spans="1:14" s="164" customFormat="1" ht="44.25" customHeight="1" thickBot="1" x14ac:dyDescent="0.25">
      <c r="A232" s="1930" t="s">
        <v>1</v>
      </c>
      <c r="B232" s="1931"/>
      <c r="C232" s="1931"/>
      <c r="D232" s="1931"/>
      <c r="E232" s="1931"/>
      <c r="F232" s="1932"/>
      <c r="G232" s="1733" t="s">
        <v>355</v>
      </c>
      <c r="H232" s="1734" t="s">
        <v>181</v>
      </c>
      <c r="I232" s="1735" t="s">
        <v>231</v>
      </c>
      <c r="J232" s="665"/>
      <c r="K232" s="162"/>
      <c r="L232" s="162"/>
      <c r="M232" s="162"/>
    </row>
    <row r="233" spans="1:14" s="164" customFormat="1" ht="13.5" customHeight="1" x14ac:dyDescent="0.2">
      <c r="A233" s="1933" t="s">
        <v>24</v>
      </c>
      <c r="B233" s="1934"/>
      <c r="C233" s="1934"/>
      <c r="D233" s="1934"/>
      <c r="E233" s="1934"/>
      <c r="F233" s="1934"/>
      <c r="G233" s="159">
        <f ca="1">+G234+G241+G242+G243+G244</f>
        <v>104243.20000000003</v>
      </c>
      <c r="H233" s="282">
        <f ca="1">+H234+H241+H242+H243+H244</f>
        <v>103419.5</v>
      </c>
      <c r="I233" s="473">
        <f ca="1">+I234+I241+I242+I243+I244</f>
        <v>98628.6</v>
      </c>
      <c r="J233" s="665"/>
      <c r="K233" s="162"/>
      <c r="L233" s="162"/>
      <c r="M233" s="162"/>
    </row>
    <row r="234" spans="1:14" s="164" customFormat="1" ht="13.5" customHeight="1" x14ac:dyDescent="0.2">
      <c r="A234" s="1935" t="s">
        <v>220</v>
      </c>
      <c r="B234" s="1936"/>
      <c r="C234" s="1936"/>
      <c r="D234" s="1936"/>
      <c r="E234" s="1936"/>
      <c r="F234" s="1936"/>
      <c r="G234" s="432">
        <f>SUM(G235:G240)</f>
        <v>98091.900000000023</v>
      </c>
      <c r="H234" s="941">
        <f t="shared" ref="H234:I234" si="10">SUM(H235:H240)</f>
        <v>103419.5</v>
      </c>
      <c r="I234" s="447">
        <f t="shared" si="10"/>
        <v>98628.6</v>
      </c>
      <c r="J234" s="665"/>
      <c r="K234" s="162"/>
      <c r="L234" s="162"/>
      <c r="M234" s="162"/>
    </row>
    <row r="235" spans="1:14" s="164" customFormat="1" ht="14.25" customHeight="1" x14ac:dyDescent="0.2">
      <c r="A235" s="1921" t="s">
        <v>27</v>
      </c>
      <c r="B235" s="1922"/>
      <c r="C235" s="1922"/>
      <c r="D235" s="1922"/>
      <c r="E235" s="1922"/>
      <c r="F235" s="1922"/>
      <c r="G235" s="53">
        <f>SUMIF(F14:F226,"sb",G14:G226)</f>
        <v>44854.000000000015</v>
      </c>
      <c r="H235" s="65">
        <f>SUMIF(F14:F226,"sb",H14:H226)</f>
        <v>48761.3</v>
      </c>
      <c r="I235" s="1090">
        <f>SUMIF(F14:F226,"sb",I14:I226)</f>
        <v>46942.900000000009</v>
      </c>
      <c r="J235" s="120"/>
      <c r="K235" s="162"/>
      <c r="L235" s="162"/>
      <c r="M235" s="162"/>
    </row>
    <row r="236" spans="1:14" s="164" customFormat="1" ht="15.75" customHeight="1" x14ac:dyDescent="0.2">
      <c r="A236" s="1921" t="s">
        <v>31</v>
      </c>
      <c r="B236" s="1922"/>
      <c r="C236" s="1922"/>
      <c r="D236" s="1922"/>
      <c r="E236" s="1922"/>
      <c r="F236" s="1922"/>
      <c r="G236" s="53">
        <f>SUMIF(F14:F225,"sb(sp)",G14:G225)</f>
        <v>5390</v>
      </c>
      <c r="H236" s="65">
        <f>SUMIF(F14:F225,"sb(sp)",H14:H225)</f>
        <v>5390</v>
      </c>
      <c r="I236" s="1090">
        <f>SUMIF(F14:F225,"sb(sp)",I14:I225)</f>
        <v>5390</v>
      </c>
      <c r="J236" s="251"/>
      <c r="K236" s="162"/>
      <c r="L236" s="162"/>
      <c r="M236" s="162"/>
    </row>
    <row r="237" spans="1:14" s="164" customFormat="1" ht="15.75" customHeight="1" x14ac:dyDescent="0.2">
      <c r="A237" s="1921" t="s">
        <v>156</v>
      </c>
      <c r="B237" s="1922"/>
      <c r="C237" s="1922"/>
      <c r="D237" s="1922"/>
      <c r="E237" s="1922"/>
      <c r="F237" s="1922"/>
      <c r="G237" s="53">
        <f>SUMIF(F14:F225,"sb(p)",G14:G225)</f>
        <v>0</v>
      </c>
      <c r="H237" s="65">
        <f>SUMIF(F14:F225,"sb(p)",H14:H225)</f>
        <v>2900</v>
      </c>
      <c r="I237" s="1090">
        <f>SUMIF(F14:F225,"sb(p)",I14:I225)</f>
        <v>0</v>
      </c>
      <c r="J237" s="251"/>
      <c r="K237" s="162"/>
      <c r="L237" s="162"/>
      <c r="M237" s="162"/>
    </row>
    <row r="238" spans="1:14" s="164" customFormat="1" ht="15.75" customHeight="1" x14ac:dyDescent="0.2">
      <c r="A238" s="1923" t="s">
        <v>28</v>
      </c>
      <c r="B238" s="1924"/>
      <c r="C238" s="1924"/>
      <c r="D238" s="1924"/>
      <c r="E238" s="1924"/>
      <c r="F238" s="1924"/>
      <c r="G238" s="53">
        <f>SUMIF(F14:F225,"sb(vb)",G14:G225)</f>
        <v>45993.3</v>
      </c>
      <c r="H238" s="65">
        <f>SUMIF(F14:F225,"sb(vb)",H14:H225)</f>
        <v>45566.299999999996</v>
      </c>
      <c r="I238" s="1090">
        <f>SUMIF(F14:F225,"sb(vb)",I14:I225)</f>
        <v>45565.399999999994</v>
      </c>
      <c r="J238" s="251"/>
      <c r="K238" s="162"/>
      <c r="L238" s="162"/>
      <c r="M238" s="162"/>
    </row>
    <row r="239" spans="1:14" ht="30" customHeight="1" x14ac:dyDescent="0.2">
      <c r="A239" s="1921" t="s">
        <v>149</v>
      </c>
      <c r="B239" s="1922"/>
      <c r="C239" s="1922"/>
      <c r="D239" s="1922"/>
      <c r="E239" s="1922"/>
      <c r="F239" s="1922"/>
      <c r="G239" s="53">
        <f>SUMIF(F14:F226,"sb(esa)",G14:G226)</f>
        <v>46.5</v>
      </c>
      <c r="H239" s="65">
        <f>SUMIF(F14:F226,"sb(esa)",H14:H226)</f>
        <v>0</v>
      </c>
      <c r="I239" s="1090">
        <f>SUMIF(F14:F226,"sb(esa)",I14:I226)</f>
        <v>0</v>
      </c>
      <c r="J239" s="251"/>
      <c r="K239" s="162"/>
      <c r="L239" s="162"/>
      <c r="M239" s="162"/>
      <c r="N239" s="164"/>
    </row>
    <row r="240" spans="1:14" ht="30.75" customHeight="1" x14ac:dyDescent="0.2">
      <c r="A240" s="1925" t="s">
        <v>218</v>
      </c>
      <c r="B240" s="1926"/>
      <c r="C240" s="1926"/>
      <c r="D240" s="1926"/>
      <c r="E240" s="1926"/>
      <c r="F240" s="1926"/>
      <c r="G240" s="53">
        <f>SUMIF(F14:F225,"sb(es)",G14:G225)</f>
        <v>1808.1</v>
      </c>
      <c r="H240" s="65">
        <f>SUMIF(F14:F225,"sb(es)",H14:H225)</f>
        <v>801.9</v>
      </c>
      <c r="I240" s="1090">
        <f>SUMIF(F14:F225,"sb(es)",I14:I225)</f>
        <v>730.3</v>
      </c>
      <c r="J240" s="251"/>
      <c r="K240" s="162"/>
      <c r="L240" s="162"/>
      <c r="M240" s="162"/>
      <c r="N240" s="164"/>
    </row>
    <row r="241" spans="1:14" ht="15.75" customHeight="1" x14ac:dyDescent="0.2">
      <c r="A241" s="1945" t="s">
        <v>88</v>
      </c>
      <c r="B241" s="1945"/>
      <c r="C241" s="1945"/>
      <c r="D241" s="1945"/>
      <c r="E241" s="1945"/>
      <c r="F241" s="1946"/>
      <c r="G241" s="450">
        <f>SUMIF(F14:F226,"sb(l)",G14:G226)</f>
        <v>5240.4999999999991</v>
      </c>
      <c r="H241" s="449">
        <f>SUMIF(F14:F226,"sb(l)",H14:H226)</f>
        <v>0</v>
      </c>
      <c r="I241" s="1132">
        <f>SUMIF(F14:F226,"sb(l)",I14:I226)</f>
        <v>0</v>
      </c>
      <c r="J241" s="251"/>
      <c r="K241" s="162"/>
      <c r="L241" s="162"/>
      <c r="M241" s="162"/>
      <c r="N241" s="164"/>
    </row>
    <row r="242" spans="1:14" ht="27.75" customHeight="1" x14ac:dyDescent="0.2">
      <c r="A242" s="1945" t="s">
        <v>219</v>
      </c>
      <c r="B242" s="1945"/>
      <c r="C242" s="1945"/>
      <c r="D242" s="1945"/>
      <c r="E242" s="1945"/>
      <c r="F242" s="1946"/>
      <c r="G242" s="450">
        <f ca="1">SUMIF(F14:F226,"sb(esl)",G14:G225)</f>
        <v>491.8</v>
      </c>
      <c r="H242" s="449">
        <f ca="1">SUMIF(F14:F226,"sb(esl)",H14:H225)</f>
        <v>0</v>
      </c>
      <c r="I242" s="1132">
        <f ca="1">SUMIF(F14:F226,"sb(esl)",I14:I225)</f>
        <v>0</v>
      </c>
      <c r="J242" s="251"/>
      <c r="K242" s="162"/>
      <c r="L242" s="162"/>
      <c r="M242" s="162"/>
      <c r="N242" s="164"/>
    </row>
    <row r="243" spans="1:14" ht="16.5" customHeight="1" x14ac:dyDescent="0.2">
      <c r="A243" s="1945" t="s">
        <v>63</v>
      </c>
      <c r="B243" s="1945"/>
      <c r="C243" s="1945"/>
      <c r="D243" s="1945"/>
      <c r="E243" s="1945"/>
      <c r="F243" s="1946"/>
      <c r="G243" s="450">
        <f>SUMIF(F14:F227,"sb(spl)",G14:G227)</f>
        <v>415.4</v>
      </c>
      <c r="H243" s="449">
        <f>SUMIF(F14:F222,"sb(spl)",H14:H222)</f>
        <v>0</v>
      </c>
      <c r="I243" s="1132"/>
      <c r="J243" s="251"/>
      <c r="K243" s="162"/>
      <c r="L243" s="162"/>
      <c r="M243" s="162"/>
      <c r="N243" s="164"/>
    </row>
    <row r="244" spans="1:14" ht="16.5" customHeight="1" x14ac:dyDescent="0.2">
      <c r="A244" s="1945" t="s">
        <v>225</v>
      </c>
      <c r="B244" s="1945"/>
      <c r="C244" s="1945"/>
      <c r="D244" s="1945"/>
      <c r="E244" s="1945"/>
      <c r="F244" s="1946"/>
      <c r="G244" s="476">
        <f>SUMIF(F14:F225,"sb(vbl)",G14:G225)</f>
        <v>3.6</v>
      </c>
      <c r="H244" s="449">
        <f>SUMIF(F12:F222,"sb(vbl)",H12:H222)</f>
        <v>0</v>
      </c>
      <c r="I244" s="475">
        <f>SUMIF(F23:F229,"sb(vbl)",I23:I229)</f>
        <v>0</v>
      </c>
      <c r="J244" s="251"/>
      <c r="K244" s="162"/>
      <c r="L244" s="162"/>
      <c r="M244" s="162"/>
      <c r="N244" s="164"/>
    </row>
    <row r="245" spans="1:14" ht="17.25" customHeight="1" thickBot="1" x14ac:dyDescent="0.25">
      <c r="A245" s="1947" t="s">
        <v>25</v>
      </c>
      <c r="B245" s="1948"/>
      <c r="C245" s="1948"/>
      <c r="D245" s="1948"/>
      <c r="E245" s="1948"/>
      <c r="F245" s="1948"/>
      <c r="G245" s="947">
        <f ca="1">SUM(G246:G249)</f>
        <v>2267.5000000000005</v>
      </c>
      <c r="H245" s="948">
        <f>SUM(H246:H248)</f>
        <v>968</v>
      </c>
      <c r="I245" s="949">
        <f t="shared" ref="I245" si="11">SUM(I246:I248)</f>
        <v>36</v>
      </c>
      <c r="J245" s="665"/>
      <c r="K245" s="162"/>
      <c r="L245" s="162"/>
      <c r="M245" s="162"/>
      <c r="N245" s="164"/>
    </row>
    <row r="246" spans="1:14" ht="15" customHeight="1" x14ac:dyDescent="0.2">
      <c r="A246" s="1949" t="s">
        <v>91</v>
      </c>
      <c r="B246" s="1950"/>
      <c r="C246" s="1950"/>
      <c r="D246" s="1950"/>
      <c r="E246" s="1950"/>
      <c r="F246" s="1950"/>
      <c r="G246" s="944">
        <f ca="1">SUMIF(F14:F226,"lrvb",G14:G225)</f>
        <v>332.1</v>
      </c>
      <c r="H246" s="945">
        <f>SUMIF(F23:F222,"lrvb",H23:H222)</f>
        <v>36</v>
      </c>
      <c r="I246" s="946">
        <f>SUMIF(F14:F222,"lrvb",I14:I222)</f>
        <v>36</v>
      </c>
      <c r="J246" s="251"/>
      <c r="K246" s="162"/>
      <c r="L246" s="162"/>
      <c r="M246" s="162"/>
    </row>
    <row r="247" spans="1:14" ht="27.75" customHeight="1" x14ac:dyDescent="0.2">
      <c r="A247" s="1922" t="s">
        <v>303</v>
      </c>
      <c r="B247" s="1922"/>
      <c r="C247" s="1922"/>
      <c r="D247" s="1922"/>
      <c r="E247" s="1922"/>
      <c r="F247" s="1937"/>
      <c r="G247" s="362">
        <f>SUMIF(F14:F225,"pfm",G14:G225)</f>
        <v>692.9</v>
      </c>
      <c r="H247" s="65">
        <f>SUMIF(F23:F222,"pfm",H23:H222)</f>
        <v>551</v>
      </c>
      <c r="I247" s="474">
        <f>SUMIF(F23:F222,"pfm",I23:I222)</f>
        <v>0</v>
      </c>
      <c r="J247" s="251"/>
      <c r="K247" s="162"/>
      <c r="L247" s="162"/>
      <c r="M247" s="162"/>
      <c r="N247" s="164"/>
    </row>
    <row r="248" spans="1:14" ht="15" customHeight="1" x14ac:dyDescent="0.2">
      <c r="A248" s="1938" t="s">
        <v>209</v>
      </c>
      <c r="B248" s="1939"/>
      <c r="C248" s="1939"/>
      <c r="D248" s="1939"/>
      <c r="E248" s="1939"/>
      <c r="F248" s="1939"/>
      <c r="G248" s="943">
        <f>SUMIF(F14:F225,"es",G14:G225)</f>
        <v>1152.6000000000001</v>
      </c>
      <c r="H248" s="942">
        <f>SUMIF(F14:F222,"es",H14:H222)</f>
        <v>381</v>
      </c>
      <c r="I248" s="437">
        <f>SUMIF(F23:F223,"es",I23:I223)</f>
        <v>0</v>
      </c>
      <c r="J248" s="251"/>
      <c r="K248" s="162"/>
      <c r="L248" s="162"/>
      <c r="M248" s="162"/>
    </row>
    <row r="249" spans="1:14" ht="15" customHeight="1" x14ac:dyDescent="0.2">
      <c r="A249" s="1938" t="s">
        <v>293</v>
      </c>
      <c r="B249" s="1939"/>
      <c r="C249" s="1939"/>
      <c r="D249" s="1939"/>
      <c r="E249" s="1939"/>
      <c r="F249" s="1940"/>
      <c r="G249" s="943">
        <f>SUMIF(F21:F225,"kt",G21:G225)</f>
        <v>89.9</v>
      </c>
      <c r="H249" s="942"/>
      <c r="I249" s="437"/>
      <c r="J249" s="251"/>
      <c r="K249" s="162"/>
      <c r="L249" s="162"/>
      <c r="M249" s="162"/>
    </row>
    <row r="250" spans="1:14" ht="16.5" customHeight="1" thickBot="1" x14ac:dyDescent="0.25">
      <c r="A250" s="1941" t="s">
        <v>26</v>
      </c>
      <c r="B250" s="1942"/>
      <c r="C250" s="1942"/>
      <c r="D250" s="1942"/>
      <c r="E250" s="1942"/>
      <c r="F250" s="1942"/>
      <c r="G250" s="80">
        <f ca="1">G245+G233</f>
        <v>106510.70000000003</v>
      </c>
      <c r="H250" s="423">
        <f ca="1">H245+H233</f>
        <v>104387.5</v>
      </c>
      <c r="I250" s="133">
        <f ca="1">I245+I233</f>
        <v>98664.6</v>
      </c>
      <c r="J250" s="665"/>
    </row>
    <row r="251" spans="1:14" ht="22.5" customHeight="1" x14ac:dyDescent="0.2">
      <c r="A251" s="1943" t="s">
        <v>157</v>
      </c>
      <c r="B251" s="1943"/>
      <c r="C251" s="1943"/>
      <c r="D251" s="1943"/>
      <c r="E251" s="1943"/>
      <c r="F251" s="1943"/>
      <c r="G251" s="1943"/>
      <c r="H251" s="1943"/>
      <c r="I251" s="1943"/>
      <c r="J251" s="1943"/>
      <c r="K251" s="1943"/>
      <c r="L251" s="1943"/>
      <c r="M251" s="1943"/>
    </row>
    <row r="252" spans="1:14" x14ac:dyDescent="0.2">
      <c r="D252" s="167"/>
      <c r="E252" s="1203"/>
      <c r="F252" s="989"/>
      <c r="G252" s="1257"/>
      <c r="H252" s="1257"/>
      <c r="I252" s="1257"/>
      <c r="J252" s="111"/>
    </row>
    <row r="253" spans="1:14" x14ac:dyDescent="0.2">
      <c r="D253" s="167"/>
      <c r="E253" s="1203"/>
      <c r="F253" s="372"/>
      <c r="G253" s="1258"/>
      <c r="H253" s="1257"/>
      <c r="I253" s="1944"/>
      <c r="J253" s="1944"/>
    </row>
    <row r="254" spans="1:14" x14ac:dyDescent="0.2">
      <c r="D254" s="167"/>
      <c r="E254" s="1203"/>
      <c r="F254" s="1203"/>
      <c r="G254" s="258"/>
      <c r="H254" s="258"/>
      <c r="I254" s="258"/>
    </row>
    <row r="255" spans="1:14" x14ac:dyDescent="0.2">
      <c r="D255" s="167"/>
      <c r="E255" s="1203"/>
      <c r="F255" s="242"/>
      <c r="G255" s="863"/>
      <c r="H255" s="863"/>
      <c r="I255" s="863"/>
      <c r="J255" s="864"/>
      <c r="K255" s="167"/>
      <c r="L255" s="167"/>
      <c r="M255" s="167"/>
    </row>
    <row r="256" spans="1:14" x14ac:dyDescent="0.2">
      <c r="D256" s="167"/>
      <c r="E256" s="1203"/>
      <c r="F256" s="242"/>
      <c r="G256" s="863"/>
      <c r="H256" s="863"/>
      <c r="I256" s="863"/>
      <c r="J256" s="864"/>
      <c r="K256" s="167"/>
      <c r="L256" s="167"/>
      <c r="M256" s="167"/>
    </row>
    <row r="257" spans="1:13" x14ac:dyDescent="0.2">
      <c r="D257" s="167"/>
      <c r="E257" s="1203"/>
      <c r="F257" s="242"/>
      <c r="G257" s="258"/>
      <c r="H257" s="258"/>
      <c r="I257" s="258"/>
      <c r="K257" s="167"/>
      <c r="L257" s="167"/>
      <c r="M257" s="167"/>
    </row>
    <row r="258" spans="1:13" x14ac:dyDescent="0.2">
      <c r="D258" s="167"/>
      <c r="E258" s="1203"/>
      <c r="F258" s="242"/>
      <c r="G258" s="258"/>
      <c r="H258" s="258"/>
      <c r="I258" s="258"/>
      <c r="K258" s="167"/>
      <c r="L258" s="167"/>
      <c r="M258" s="167"/>
    </row>
    <row r="259" spans="1:13" x14ac:dyDescent="0.2">
      <c r="D259" s="167"/>
      <c r="E259" s="1203"/>
      <c r="F259" s="242"/>
      <c r="G259" s="258"/>
      <c r="H259" s="258"/>
      <c r="I259" s="258"/>
      <c r="K259" s="167"/>
      <c r="L259" s="167"/>
      <c r="M259" s="167"/>
    </row>
    <row r="260" spans="1:13" x14ac:dyDescent="0.2">
      <c r="A260" s="246"/>
      <c r="B260" s="246"/>
      <c r="C260" s="246"/>
      <c r="D260" s="167"/>
      <c r="E260" s="1203"/>
      <c r="F260" s="242"/>
      <c r="G260" s="258"/>
      <c r="H260" s="258"/>
      <c r="I260" s="258"/>
      <c r="J260" s="167"/>
      <c r="K260" s="167"/>
      <c r="L260" s="167"/>
      <c r="M260" s="167"/>
    </row>
    <row r="261" spans="1:13" x14ac:dyDescent="0.2">
      <c r="A261" s="246"/>
      <c r="B261" s="246"/>
      <c r="C261" s="246"/>
      <c r="D261" s="167"/>
      <c r="E261" s="1203"/>
      <c r="F261" s="242"/>
      <c r="G261" s="258"/>
      <c r="H261" s="258"/>
      <c r="I261" s="258"/>
      <c r="J261" s="167"/>
      <c r="K261" s="167"/>
      <c r="L261" s="167"/>
      <c r="M261" s="167"/>
    </row>
    <row r="262" spans="1:13" x14ac:dyDescent="0.2">
      <c r="A262" s="246"/>
      <c r="B262" s="246"/>
      <c r="C262" s="246"/>
      <c r="D262" s="167"/>
      <c r="E262" s="1203"/>
      <c r="F262" s="242"/>
      <c r="G262" s="258"/>
      <c r="H262" s="258"/>
      <c r="I262" s="258"/>
      <c r="J262" s="167"/>
      <c r="K262" s="167"/>
      <c r="L262" s="167"/>
      <c r="M262" s="167"/>
    </row>
    <row r="263" spans="1:13" x14ac:dyDescent="0.2">
      <c r="A263" s="246"/>
      <c r="B263" s="246"/>
      <c r="C263" s="246"/>
      <c r="D263" s="167"/>
      <c r="E263" s="1203"/>
      <c r="F263" s="242"/>
      <c r="G263" s="258"/>
      <c r="H263" s="258"/>
      <c r="I263" s="258"/>
      <c r="J263" s="167"/>
      <c r="K263" s="167"/>
      <c r="L263" s="167"/>
      <c r="M263" s="167"/>
    </row>
    <row r="264" spans="1:13" x14ac:dyDescent="0.2">
      <c r="A264" s="246"/>
      <c r="B264" s="246"/>
      <c r="C264" s="246"/>
      <c r="D264" s="167"/>
      <c r="E264" s="1203"/>
      <c r="F264" s="242"/>
      <c r="G264" s="258"/>
      <c r="H264" s="258"/>
      <c r="I264" s="258"/>
      <c r="J264" s="167"/>
      <c r="K264" s="167"/>
      <c r="L264" s="167"/>
      <c r="M264" s="167"/>
    </row>
    <row r="265" spans="1:13" x14ac:dyDescent="0.2">
      <c r="A265" s="246"/>
      <c r="B265" s="246"/>
      <c r="C265" s="246"/>
      <c r="D265" s="167"/>
      <c r="E265" s="1203"/>
      <c r="F265" s="242"/>
      <c r="G265" s="258"/>
      <c r="H265" s="258"/>
      <c r="I265" s="258"/>
      <c r="J265" s="167"/>
      <c r="K265" s="167"/>
      <c r="L265" s="167"/>
      <c r="M265" s="167"/>
    </row>
    <row r="266" spans="1:13" x14ac:dyDescent="0.2">
      <c r="A266" s="246"/>
      <c r="B266" s="246"/>
      <c r="C266" s="246"/>
      <c r="D266" s="167"/>
      <c r="E266" s="1203"/>
      <c r="F266" s="242"/>
      <c r="G266" s="258"/>
      <c r="H266" s="258"/>
      <c r="I266" s="258"/>
      <c r="J266" s="167"/>
      <c r="K266" s="167"/>
      <c r="L266" s="167"/>
      <c r="M266" s="167"/>
    </row>
    <row r="267" spans="1:13" x14ac:dyDescent="0.2">
      <c r="A267" s="246"/>
      <c r="B267" s="246"/>
      <c r="C267" s="246"/>
      <c r="D267" s="167"/>
      <c r="E267" s="1203"/>
      <c r="F267" s="242"/>
      <c r="G267" s="258"/>
      <c r="H267" s="258"/>
      <c r="I267" s="258"/>
      <c r="J267" s="167"/>
      <c r="K267" s="167"/>
      <c r="L267" s="167"/>
      <c r="M267" s="167"/>
    </row>
    <row r="268" spans="1:13" x14ac:dyDescent="0.2">
      <c r="A268" s="246"/>
      <c r="B268" s="246"/>
      <c r="C268" s="246"/>
      <c r="D268" s="167"/>
      <c r="E268" s="1203"/>
      <c r="F268" s="242"/>
      <c r="G268" s="258"/>
      <c r="H268" s="258"/>
      <c r="I268" s="258"/>
      <c r="J268" s="167"/>
      <c r="K268" s="167"/>
      <c r="L268" s="167"/>
      <c r="M268" s="167"/>
    </row>
    <row r="269" spans="1:13" x14ac:dyDescent="0.2">
      <c r="A269" s="246"/>
      <c r="B269" s="246"/>
      <c r="C269" s="246"/>
      <c r="D269" s="167"/>
      <c r="E269" s="1203"/>
      <c r="F269" s="242"/>
      <c r="G269" s="258"/>
      <c r="H269" s="258"/>
      <c r="I269" s="258"/>
      <c r="J269" s="167"/>
      <c r="K269" s="167"/>
      <c r="L269" s="167"/>
      <c r="M269" s="167"/>
    </row>
    <row r="270" spans="1:13" x14ac:dyDescent="0.2">
      <c r="A270" s="246"/>
      <c r="B270" s="246"/>
      <c r="C270" s="246"/>
      <c r="D270" s="167"/>
      <c r="E270" s="1203"/>
      <c r="F270" s="242"/>
      <c r="G270" s="258"/>
      <c r="H270" s="258"/>
      <c r="I270" s="258"/>
      <c r="J270" s="167"/>
      <c r="K270" s="167"/>
      <c r="L270" s="167"/>
      <c r="M270" s="167"/>
    </row>
    <row r="271" spans="1:13" x14ac:dyDescent="0.2">
      <c r="A271" s="246"/>
      <c r="B271" s="246"/>
      <c r="C271" s="246"/>
      <c r="D271" s="167"/>
      <c r="E271" s="1203"/>
      <c r="F271" s="242"/>
      <c r="G271" s="258"/>
      <c r="H271" s="258"/>
      <c r="I271" s="258"/>
      <c r="J271" s="167"/>
      <c r="K271" s="167"/>
      <c r="L271" s="167"/>
      <c r="M271" s="167"/>
    </row>
    <row r="272" spans="1:13" x14ac:dyDescent="0.2">
      <c r="A272" s="246"/>
      <c r="B272" s="246"/>
      <c r="C272" s="246"/>
      <c r="D272" s="167"/>
      <c r="E272" s="1203"/>
      <c r="F272" s="242"/>
      <c r="G272" s="258"/>
      <c r="H272" s="258"/>
      <c r="I272" s="258"/>
      <c r="J272" s="167"/>
      <c r="K272" s="167"/>
      <c r="L272" s="167"/>
      <c r="M272" s="167"/>
    </row>
  </sheetData>
  <mergeCells count="167">
    <mergeCell ref="D117:D118"/>
    <mergeCell ref="D106:D116"/>
    <mergeCell ref="D175:D176"/>
    <mergeCell ref="J1:M1"/>
    <mergeCell ref="A3:M3"/>
    <mergeCell ref="A4:M4"/>
    <mergeCell ref="A5:M5"/>
    <mergeCell ref="K6:M6"/>
    <mergeCell ref="A7:A9"/>
    <mergeCell ref="B7:B9"/>
    <mergeCell ref="C7:C9"/>
    <mergeCell ref="D82:D83"/>
    <mergeCell ref="A10:M10"/>
    <mergeCell ref="A11:M11"/>
    <mergeCell ref="B12:M12"/>
    <mergeCell ref="C13:M13"/>
    <mergeCell ref="D23:D25"/>
    <mergeCell ref="G7:G9"/>
    <mergeCell ref="H7:H9"/>
    <mergeCell ref="I7:I9"/>
    <mergeCell ref="J7:M7"/>
    <mergeCell ref="J8:J9"/>
    <mergeCell ref="K8:M8"/>
    <mergeCell ref="D7:D9"/>
    <mergeCell ref="E7:E9"/>
    <mergeCell ref="F7:F9"/>
    <mergeCell ref="D41:D42"/>
    <mergeCell ref="D44:D45"/>
    <mergeCell ref="D46:D47"/>
    <mergeCell ref="J46:J47"/>
    <mergeCell ref="O46:P46"/>
    <mergeCell ref="D48:D54"/>
    <mergeCell ref="D26:D27"/>
    <mergeCell ref="D28:D30"/>
    <mergeCell ref="D31:D33"/>
    <mergeCell ref="D34:D35"/>
    <mergeCell ref="D36:D38"/>
    <mergeCell ref="O40:P40"/>
    <mergeCell ref="D68:D70"/>
    <mergeCell ref="D76:D77"/>
    <mergeCell ref="O78:P78"/>
    <mergeCell ref="D55:D56"/>
    <mergeCell ref="O55:Q55"/>
    <mergeCell ref="D58:D60"/>
    <mergeCell ref="D61:D62"/>
    <mergeCell ref="J61:J62"/>
    <mergeCell ref="D66:D67"/>
    <mergeCell ref="D74:D75"/>
    <mergeCell ref="J92:J93"/>
    <mergeCell ref="O92:P92"/>
    <mergeCell ref="D94:D95"/>
    <mergeCell ref="O94:P94"/>
    <mergeCell ref="D96:D97"/>
    <mergeCell ref="D90:D91"/>
    <mergeCell ref="D92:D93"/>
    <mergeCell ref="E83:F83"/>
    <mergeCell ref="C101:M101"/>
    <mergeCell ref="D87:D89"/>
    <mergeCell ref="J88:J89"/>
    <mergeCell ref="A102:A105"/>
    <mergeCell ref="B102:B105"/>
    <mergeCell ref="C102:C105"/>
    <mergeCell ref="D102:D105"/>
    <mergeCell ref="E102:E105"/>
    <mergeCell ref="J102:J103"/>
    <mergeCell ref="C98:F98"/>
    <mergeCell ref="B99:F99"/>
    <mergeCell ref="B100:M100"/>
    <mergeCell ref="O119:P119"/>
    <mergeCell ref="J121:J122"/>
    <mergeCell ref="D124:D125"/>
    <mergeCell ref="O124:S124"/>
    <mergeCell ref="D126:D128"/>
    <mergeCell ref="O126:R126"/>
    <mergeCell ref="D119:D123"/>
    <mergeCell ref="J119:J120"/>
    <mergeCell ref="D137:D138"/>
    <mergeCell ref="E134:E135"/>
    <mergeCell ref="K134:K135"/>
    <mergeCell ref="O134:P134"/>
    <mergeCell ref="D134:D136"/>
    <mergeCell ref="J134:J136"/>
    <mergeCell ref="J127:J128"/>
    <mergeCell ref="D129:D130"/>
    <mergeCell ref="J129:J130"/>
    <mergeCell ref="D132:D133"/>
    <mergeCell ref="D148:D149"/>
    <mergeCell ref="P146:Q146"/>
    <mergeCell ref="E147:E148"/>
    <mergeCell ref="O147:P147"/>
    <mergeCell ref="O148:Q148"/>
    <mergeCell ref="D139:D142"/>
    <mergeCell ref="J139:J140"/>
    <mergeCell ref="D144:D145"/>
    <mergeCell ref="E144:E145"/>
    <mergeCell ref="E166:F166"/>
    <mergeCell ref="O156:R156"/>
    <mergeCell ref="E158:F158"/>
    <mergeCell ref="D160:D161"/>
    <mergeCell ref="O160:P160"/>
    <mergeCell ref="J156:J158"/>
    <mergeCell ref="D151:D152"/>
    <mergeCell ref="D153:D155"/>
    <mergeCell ref="D156:D158"/>
    <mergeCell ref="D177:D179"/>
    <mergeCell ref="E177:E179"/>
    <mergeCell ref="D180:D181"/>
    <mergeCell ref="C167:F167"/>
    <mergeCell ref="C168:M168"/>
    <mergeCell ref="D171:D172"/>
    <mergeCell ref="O171:Q171"/>
    <mergeCell ref="D173:D174"/>
    <mergeCell ref="O173:Q173"/>
    <mergeCell ref="O205:P205"/>
    <mergeCell ref="C183:M183"/>
    <mergeCell ref="D184:D186"/>
    <mergeCell ref="D187:D188"/>
    <mergeCell ref="D189:D190"/>
    <mergeCell ref="J194:J196"/>
    <mergeCell ref="J180:J181"/>
    <mergeCell ref="K180:K181"/>
    <mergeCell ref="L180:L181"/>
    <mergeCell ref="M180:M181"/>
    <mergeCell ref="C182:F182"/>
    <mergeCell ref="A208:A209"/>
    <mergeCell ref="B208:B209"/>
    <mergeCell ref="D208:D209"/>
    <mergeCell ref="E208:E209"/>
    <mergeCell ref="J208:J209"/>
    <mergeCell ref="D200:D201"/>
    <mergeCell ref="E200:E201"/>
    <mergeCell ref="D203:D204"/>
    <mergeCell ref="C228:F228"/>
    <mergeCell ref="D206:D207"/>
    <mergeCell ref="B230:F230"/>
    <mergeCell ref="A231:I231"/>
    <mergeCell ref="A232:F232"/>
    <mergeCell ref="J218:J219"/>
    <mergeCell ref="D224:D226"/>
    <mergeCell ref="D210:D211"/>
    <mergeCell ref="E210:E211"/>
    <mergeCell ref="D217:D220"/>
    <mergeCell ref="D213:D214"/>
    <mergeCell ref="A251:M251"/>
    <mergeCell ref="I253:J253"/>
    <mergeCell ref="J222:J223"/>
    <mergeCell ref="D165:D166"/>
    <mergeCell ref="J165:J166"/>
    <mergeCell ref="A245:F245"/>
    <mergeCell ref="A246:F246"/>
    <mergeCell ref="A247:F247"/>
    <mergeCell ref="A248:F248"/>
    <mergeCell ref="A249:F249"/>
    <mergeCell ref="A250:F250"/>
    <mergeCell ref="A239:F239"/>
    <mergeCell ref="A240:F240"/>
    <mergeCell ref="A241:F241"/>
    <mergeCell ref="A242:F242"/>
    <mergeCell ref="A243:F243"/>
    <mergeCell ref="A244:F244"/>
    <mergeCell ref="A233:F233"/>
    <mergeCell ref="A234:F234"/>
    <mergeCell ref="A235:F235"/>
    <mergeCell ref="A236:F236"/>
    <mergeCell ref="A237:F237"/>
    <mergeCell ref="A238:F238"/>
    <mergeCell ref="B229:F229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78" orientation="portrait" r:id="rId1"/>
  <rowBreaks count="4" manualBreakCount="4">
    <brk id="47" max="12" man="1"/>
    <brk id="130" max="12" man="1"/>
    <brk id="170" max="12" man="1"/>
    <brk id="212" max="12" man="1"/>
  </rowBreaks>
  <colBreaks count="1" manualBreakCount="1">
    <brk id="14" max="2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92"/>
  <sheetViews>
    <sheetView zoomScaleNormal="100" zoomScaleSheetLayoutView="50" workbookViewId="0"/>
  </sheetViews>
  <sheetFormatPr defaultColWidth="9.140625" defaultRowHeight="12.75" x14ac:dyDescent="0.2"/>
  <cols>
    <col min="1" max="3" width="2.7109375" style="163" customWidth="1"/>
    <col min="4" max="4" width="3.140625" style="283" customWidth="1"/>
    <col min="5" max="5" width="2.7109375" style="305" customWidth="1"/>
    <col min="6" max="6" width="32.28515625" style="164" customWidth="1"/>
    <col min="7" max="7" width="3" style="162" customWidth="1"/>
    <col min="8" max="8" width="3" style="162" hidden="1" customWidth="1"/>
    <col min="9" max="9" width="12.5703125" style="165" customWidth="1"/>
    <col min="10" max="10" width="8" style="165" customWidth="1"/>
    <col min="11" max="14" width="8.85546875" style="166" customWidth="1"/>
    <col min="15" max="15" width="23.5703125" style="164" customWidth="1"/>
    <col min="16" max="19" width="6.42578125" style="1307" customWidth="1"/>
    <col min="20" max="20" width="14.5703125" style="167" hidden="1" customWidth="1"/>
    <col min="21" max="21" width="102.5703125" style="167" customWidth="1"/>
    <col min="22" max="16384" width="9.140625" style="167"/>
  </cols>
  <sheetData>
    <row r="1" spans="1:22" ht="29.25" customHeight="1" x14ac:dyDescent="0.2">
      <c r="A1" s="163" t="s">
        <v>300</v>
      </c>
      <c r="O1" s="2032" t="s">
        <v>182</v>
      </c>
      <c r="P1" s="2032"/>
      <c r="Q1" s="2032"/>
      <c r="R1" s="2032"/>
      <c r="S1" s="2032"/>
    </row>
    <row r="2" spans="1:22" s="168" customFormat="1" ht="15.75" x14ac:dyDescent="0.2">
      <c r="A2" s="1741" t="s">
        <v>229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  <c r="R2" s="1741"/>
      <c r="S2" s="1741"/>
    </row>
    <row r="3" spans="1:22" s="168" customFormat="1" ht="19.5" customHeight="1" x14ac:dyDescent="0.2">
      <c r="A3" s="1742" t="s">
        <v>29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742"/>
      <c r="R3" s="1742"/>
      <c r="S3" s="1742"/>
    </row>
    <row r="4" spans="1:22" s="168" customFormat="1" ht="19.5" customHeight="1" x14ac:dyDescent="0.2">
      <c r="A4" s="1743" t="s">
        <v>51</v>
      </c>
      <c r="B4" s="1743"/>
      <c r="C4" s="1743"/>
      <c r="D4" s="1743"/>
      <c r="E4" s="1743"/>
      <c r="F4" s="1743"/>
      <c r="G4" s="1743"/>
      <c r="H4" s="1743"/>
      <c r="I4" s="1743"/>
      <c r="J4" s="1743"/>
      <c r="K4" s="1743"/>
      <c r="L4" s="1743"/>
      <c r="M4" s="1743"/>
      <c r="N4" s="1743"/>
      <c r="O4" s="1743"/>
      <c r="P4" s="1743"/>
      <c r="Q4" s="1743"/>
      <c r="R4" s="1743"/>
      <c r="S4" s="1743"/>
    </row>
    <row r="5" spans="1:22" ht="15.75" customHeight="1" thickBot="1" x14ac:dyDescent="0.25">
      <c r="A5" s="14"/>
      <c r="B5" s="14"/>
      <c r="F5" s="1261"/>
      <c r="G5" s="1261"/>
      <c r="H5" s="1261"/>
      <c r="I5" s="1261"/>
      <c r="J5" s="268"/>
      <c r="K5" s="1261"/>
      <c r="L5" s="1261"/>
      <c r="M5" s="1261"/>
      <c r="N5" s="1261"/>
      <c r="O5" s="1261"/>
      <c r="P5" s="924"/>
      <c r="Q5" s="1744" t="s">
        <v>67</v>
      </c>
      <c r="R5" s="1744"/>
      <c r="S5" s="1744"/>
    </row>
    <row r="6" spans="1:22" ht="21" customHeight="1" x14ac:dyDescent="0.2">
      <c r="A6" s="1745" t="s">
        <v>8</v>
      </c>
      <c r="B6" s="1748" t="s">
        <v>9</v>
      </c>
      <c r="C6" s="1751" t="s">
        <v>10</v>
      </c>
      <c r="D6" s="1751" t="s">
        <v>194</v>
      </c>
      <c r="E6" s="1751" t="s">
        <v>195</v>
      </c>
      <c r="F6" s="1754" t="s">
        <v>94</v>
      </c>
      <c r="G6" s="1757" t="s">
        <v>11</v>
      </c>
      <c r="H6" s="1792" t="s">
        <v>12</v>
      </c>
      <c r="I6" s="2037" t="s">
        <v>172</v>
      </c>
      <c r="J6" s="1792" t="s">
        <v>13</v>
      </c>
      <c r="K6" s="2034" t="s">
        <v>236</v>
      </c>
      <c r="L6" s="1974" t="s">
        <v>95</v>
      </c>
      <c r="M6" s="1977" t="s">
        <v>158</v>
      </c>
      <c r="N6" s="1977" t="s">
        <v>230</v>
      </c>
      <c r="O6" s="1980" t="s">
        <v>96</v>
      </c>
      <c r="P6" s="1981"/>
      <c r="Q6" s="1981"/>
      <c r="R6" s="1981"/>
      <c r="S6" s="1982"/>
    </row>
    <row r="7" spans="1:22" ht="15.75" customHeight="1" x14ac:dyDescent="0.2">
      <c r="A7" s="1746"/>
      <c r="B7" s="1749"/>
      <c r="C7" s="1752"/>
      <c r="D7" s="1752"/>
      <c r="E7" s="1752"/>
      <c r="F7" s="1755"/>
      <c r="G7" s="1758"/>
      <c r="H7" s="1793"/>
      <c r="I7" s="2038"/>
      <c r="J7" s="1793"/>
      <c r="K7" s="2035"/>
      <c r="L7" s="1975"/>
      <c r="M7" s="1978"/>
      <c r="N7" s="1978"/>
      <c r="O7" s="1983" t="s">
        <v>23</v>
      </c>
      <c r="P7" s="2033" t="s">
        <v>55</v>
      </c>
      <c r="Q7" s="1985"/>
      <c r="R7" s="1985"/>
      <c r="S7" s="1986"/>
    </row>
    <row r="8" spans="1:22" ht="93.75" customHeight="1" thickBot="1" x14ac:dyDescent="0.25">
      <c r="A8" s="1747"/>
      <c r="B8" s="1750"/>
      <c r="C8" s="1753"/>
      <c r="D8" s="1753"/>
      <c r="E8" s="1753"/>
      <c r="F8" s="1756"/>
      <c r="G8" s="1759"/>
      <c r="H8" s="1794"/>
      <c r="I8" s="2039"/>
      <c r="J8" s="1794"/>
      <c r="K8" s="2036"/>
      <c r="L8" s="1976"/>
      <c r="M8" s="1979"/>
      <c r="N8" s="1979"/>
      <c r="O8" s="1984"/>
      <c r="P8" s="564" t="s">
        <v>69</v>
      </c>
      <c r="Q8" s="563" t="s">
        <v>93</v>
      </c>
      <c r="R8" s="83" t="s">
        <v>159</v>
      </c>
      <c r="S8" s="480" t="s">
        <v>232</v>
      </c>
    </row>
    <row r="9" spans="1:22" ht="15.75" customHeight="1" thickBot="1" x14ac:dyDescent="0.25">
      <c r="A9" s="1760" t="s">
        <v>60</v>
      </c>
      <c r="B9" s="1761"/>
      <c r="C9" s="1761"/>
      <c r="D9" s="1761"/>
      <c r="E9" s="1761"/>
      <c r="F9" s="1761"/>
      <c r="G9" s="1761"/>
      <c r="H9" s="1761"/>
      <c r="I9" s="1761"/>
      <c r="J9" s="1761"/>
      <c r="K9" s="1761"/>
      <c r="L9" s="1761"/>
      <c r="M9" s="1761"/>
      <c r="N9" s="1761"/>
      <c r="O9" s="1761"/>
      <c r="P9" s="1761"/>
      <c r="Q9" s="1761"/>
      <c r="R9" s="1761"/>
      <c r="S9" s="1762"/>
    </row>
    <row r="10" spans="1:22" s="170" customFormat="1" ht="15.75" customHeight="1" thickBot="1" x14ac:dyDescent="0.25">
      <c r="A10" s="1763" t="s">
        <v>30</v>
      </c>
      <c r="B10" s="1764"/>
      <c r="C10" s="1764"/>
      <c r="D10" s="1764"/>
      <c r="E10" s="1764"/>
      <c r="F10" s="1764"/>
      <c r="G10" s="1764"/>
      <c r="H10" s="1764"/>
      <c r="I10" s="1764"/>
      <c r="J10" s="1764"/>
      <c r="K10" s="1764"/>
      <c r="L10" s="1764"/>
      <c r="M10" s="1764"/>
      <c r="N10" s="1764"/>
      <c r="O10" s="1764"/>
      <c r="P10" s="1764"/>
      <c r="Q10" s="1764"/>
      <c r="R10" s="1764"/>
      <c r="S10" s="1765"/>
      <c r="T10" s="169"/>
    </row>
    <row r="11" spans="1:22" s="170" customFormat="1" ht="15.75" customHeight="1" thickBot="1" x14ac:dyDescent="0.25">
      <c r="A11" s="171" t="s">
        <v>14</v>
      </c>
      <c r="B11" s="1766" t="s">
        <v>35</v>
      </c>
      <c r="C11" s="1767"/>
      <c r="D11" s="1767"/>
      <c r="E11" s="1767"/>
      <c r="F11" s="1767"/>
      <c r="G11" s="1767"/>
      <c r="H11" s="1767"/>
      <c r="I11" s="1767"/>
      <c r="J11" s="1767"/>
      <c r="K11" s="1767"/>
      <c r="L11" s="1767"/>
      <c r="M11" s="1767"/>
      <c r="N11" s="1767"/>
      <c r="O11" s="1767"/>
      <c r="P11" s="1767"/>
      <c r="Q11" s="1767"/>
      <c r="R11" s="1767"/>
      <c r="S11" s="1768"/>
    </row>
    <row r="12" spans="1:22" s="170" customFormat="1" ht="15.75" customHeight="1" thickBot="1" x14ac:dyDescent="0.25">
      <c r="A12" s="172" t="s">
        <v>14</v>
      </c>
      <c r="B12" s="173" t="s">
        <v>14</v>
      </c>
      <c r="C12" s="1769" t="s">
        <v>64</v>
      </c>
      <c r="D12" s="1770"/>
      <c r="E12" s="1770"/>
      <c r="F12" s="1770"/>
      <c r="G12" s="1770"/>
      <c r="H12" s="1770"/>
      <c r="I12" s="1770"/>
      <c r="J12" s="1770"/>
      <c r="K12" s="1770"/>
      <c r="L12" s="1770"/>
      <c r="M12" s="1770"/>
      <c r="N12" s="1770"/>
      <c r="O12" s="1770"/>
      <c r="P12" s="1770"/>
      <c r="Q12" s="1770"/>
      <c r="R12" s="1770"/>
      <c r="S12" s="1772"/>
    </row>
    <row r="13" spans="1:22" s="170" customFormat="1" ht="16.5" customHeight="1" thickBot="1" x14ac:dyDescent="0.25">
      <c r="A13" s="174" t="s">
        <v>14</v>
      </c>
      <c r="B13" s="175" t="s">
        <v>14</v>
      </c>
      <c r="C13" s="176" t="s">
        <v>14</v>
      </c>
      <c r="D13" s="290"/>
      <c r="E13" s="290"/>
      <c r="F13" s="978" t="s">
        <v>43</v>
      </c>
      <c r="G13" s="980" t="s">
        <v>152</v>
      </c>
      <c r="H13" s="410">
        <v>2</v>
      </c>
      <c r="I13" s="2040" t="s">
        <v>286</v>
      </c>
      <c r="J13" s="38" t="s">
        <v>59</v>
      </c>
      <c r="K13" s="625">
        <v>482.3</v>
      </c>
      <c r="L13" s="487">
        <v>415.4</v>
      </c>
      <c r="M13" s="323"/>
      <c r="N13" s="324"/>
      <c r="O13" s="501"/>
      <c r="P13" s="983"/>
      <c r="Q13" s="58"/>
      <c r="R13" s="910"/>
      <c r="S13" s="477"/>
    </row>
    <row r="14" spans="1:22" s="170" customFormat="1" ht="14.25" customHeight="1" x14ac:dyDescent="0.2">
      <c r="A14" s="177"/>
      <c r="B14" s="178"/>
      <c r="C14" s="179"/>
      <c r="D14" s="293" t="s">
        <v>14</v>
      </c>
      <c r="E14" s="290"/>
      <c r="F14" s="2027" t="s">
        <v>115</v>
      </c>
      <c r="G14" s="792" t="s">
        <v>262</v>
      </c>
      <c r="H14" s="180"/>
      <c r="I14" s="1992"/>
      <c r="J14" s="67" t="s">
        <v>15</v>
      </c>
      <c r="K14" s="773">
        <v>15353.9</v>
      </c>
      <c r="L14" s="496">
        <v>18157.5</v>
      </c>
      <c r="M14" s="94">
        <v>17909.7</v>
      </c>
      <c r="N14" s="61">
        <v>17909.7</v>
      </c>
      <c r="O14" s="976" t="s">
        <v>100</v>
      </c>
      <c r="P14" s="390">
        <v>47</v>
      </c>
      <c r="Q14" s="105">
        <v>47</v>
      </c>
      <c r="R14" s="27">
        <v>47</v>
      </c>
      <c r="S14" s="23">
        <v>47</v>
      </c>
      <c r="T14" s="649"/>
    </row>
    <row r="15" spans="1:22" s="170" customFormat="1" ht="14.25" customHeight="1" x14ac:dyDescent="0.2">
      <c r="A15" s="177"/>
      <c r="B15" s="178"/>
      <c r="C15" s="179"/>
      <c r="D15" s="286"/>
      <c r="E15" s="1338"/>
      <c r="F15" s="2005"/>
      <c r="G15" s="793"/>
      <c r="H15" s="180"/>
      <c r="I15" s="1324"/>
      <c r="J15" s="40" t="s">
        <v>18</v>
      </c>
      <c r="K15" s="618">
        <v>8365.7999999999993</v>
      </c>
      <c r="L15" s="413">
        <v>9184</v>
      </c>
      <c r="M15" s="84">
        <v>9184</v>
      </c>
      <c r="N15" s="331">
        <v>9184</v>
      </c>
      <c r="O15" s="470" t="s">
        <v>101</v>
      </c>
      <c r="P15" s="1315">
        <v>7949</v>
      </c>
      <c r="Q15" s="49">
        <v>7968</v>
      </c>
      <c r="R15" s="373">
        <v>7990</v>
      </c>
      <c r="S15" s="1351">
        <v>7995</v>
      </c>
      <c r="T15" s="666"/>
      <c r="V15" s="169" t="s">
        <v>312</v>
      </c>
    </row>
    <row r="16" spans="1:22" s="170" customFormat="1" ht="16.5" customHeight="1" thickBot="1" x14ac:dyDescent="0.25">
      <c r="A16" s="177"/>
      <c r="B16" s="181"/>
      <c r="C16" s="179"/>
      <c r="D16" s="286"/>
      <c r="E16" s="1338"/>
      <c r="F16" s="2005"/>
      <c r="G16" s="793"/>
      <c r="H16" s="180"/>
      <c r="I16" s="1324"/>
      <c r="J16" s="981" t="s">
        <v>42</v>
      </c>
      <c r="K16" s="482">
        <v>3671.5</v>
      </c>
      <c r="L16" s="384">
        <v>3656.6</v>
      </c>
      <c r="M16" s="334">
        <v>3656.6</v>
      </c>
      <c r="N16" s="938">
        <v>3656.6</v>
      </c>
      <c r="O16" s="365"/>
      <c r="P16" s="503"/>
      <c r="Q16" s="106"/>
      <c r="R16" s="139"/>
      <c r="S16" s="25"/>
      <c r="T16" s="649"/>
    </row>
    <row r="17" spans="1:22" s="170" customFormat="1" ht="42" customHeight="1" x14ac:dyDescent="0.2">
      <c r="A17" s="177"/>
      <c r="B17" s="181"/>
      <c r="C17" s="179"/>
      <c r="D17" s="286"/>
      <c r="E17" s="1338"/>
      <c r="F17" s="2004" t="s">
        <v>266</v>
      </c>
      <c r="G17" s="794" t="s">
        <v>262</v>
      </c>
      <c r="H17" s="180"/>
      <c r="I17" s="1324"/>
      <c r="J17" s="144" t="s">
        <v>15</v>
      </c>
      <c r="K17" s="625"/>
      <c r="L17" s="356">
        <v>198.5</v>
      </c>
      <c r="M17" s="323">
        <f>868.5-119.1</f>
        <v>749.4</v>
      </c>
      <c r="N17" s="324">
        <f>741.5-123.8</f>
        <v>617.70000000000005</v>
      </c>
      <c r="O17" s="1268" t="s">
        <v>267</v>
      </c>
      <c r="P17" s="625">
        <v>1.6</v>
      </c>
      <c r="Q17" s="58">
        <v>2</v>
      </c>
      <c r="R17" s="143">
        <v>2</v>
      </c>
      <c r="S17" s="151">
        <v>2</v>
      </c>
      <c r="T17" s="649"/>
    </row>
    <row r="18" spans="1:22" s="170" customFormat="1" ht="18.75" customHeight="1" x14ac:dyDescent="0.2">
      <c r="A18" s="177"/>
      <c r="B18" s="181"/>
      <c r="C18" s="179"/>
      <c r="D18" s="302"/>
      <c r="E18" s="937"/>
      <c r="F18" s="2009"/>
      <c r="G18" s="795"/>
      <c r="H18" s="180"/>
      <c r="I18" s="1324"/>
      <c r="J18" s="40"/>
      <c r="K18" s="932"/>
      <c r="L18" s="357"/>
      <c r="M18" s="330"/>
      <c r="N18" s="331"/>
      <c r="O18" s="388" t="s">
        <v>272</v>
      </c>
      <c r="P18" s="618"/>
      <c r="Q18" s="67">
        <v>48</v>
      </c>
      <c r="R18" s="27">
        <v>55</v>
      </c>
      <c r="S18" s="23">
        <v>47</v>
      </c>
      <c r="T18" s="649"/>
    </row>
    <row r="19" spans="1:22" s="170" customFormat="1" ht="15.75" customHeight="1" x14ac:dyDescent="0.2">
      <c r="A19" s="177"/>
      <c r="B19" s="181"/>
      <c r="C19" s="179"/>
      <c r="D19" s="286" t="s">
        <v>17</v>
      </c>
      <c r="E19" s="1338"/>
      <c r="F19" s="1774" t="s">
        <v>241</v>
      </c>
      <c r="G19" s="1281"/>
      <c r="H19" s="187"/>
      <c r="I19" s="1316"/>
      <c r="J19" s="981" t="s">
        <v>18</v>
      </c>
      <c r="K19" s="482">
        <v>435.2</v>
      </c>
      <c r="L19" s="119">
        <v>498.5</v>
      </c>
      <c r="M19" s="64">
        <v>498.5</v>
      </c>
      <c r="N19" s="807">
        <v>498.5</v>
      </c>
      <c r="O19" s="982" t="s">
        <v>100</v>
      </c>
      <c r="P19" s="1316">
        <v>7</v>
      </c>
      <c r="Q19" s="56">
        <v>7</v>
      </c>
      <c r="R19" s="29">
        <v>7</v>
      </c>
      <c r="S19" s="634">
        <v>7</v>
      </c>
      <c r="T19" s="650"/>
    </row>
    <row r="20" spans="1:22" s="170" customFormat="1" ht="14.25" customHeight="1" x14ac:dyDescent="0.2">
      <c r="A20" s="177"/>
      <c r="B20" s="178"/>
      <c r="C20" s="179"/>
      <c r="D20" s="286"/>
      <c r="E20" s="1338"/>
      <c r="F20" s="1774"/>
      <c r="G20" s="31"/>
      <c r="H20" s="187"/>
      <c r="I20" s="1316"/>
      <c r="J20" s="981"/>
      <c r="K20" s="963"/>
      <c r="L20" s="401"/>
      <c r="M20" s="327"/>
      <c r="N20" s="328"/>
      <c r="O20" s="470" t="s">
        <v>101</v>
      </c>
      <c r="P20" s="1315">
        <v>340</v>
      </c>
      <c r="Q20" s="49">
        <v>335</v>
      </c>
      <c r="R20" s="373">
        <v>340</v>
      </c>
      <c r="S20" s="1351">
        <v>350</v>
      </c>
    </row>
    <row r="21" spans="1:22" s="170" customFormat="1" ht="15" customHeight="1" thickBot="1" x14ac:dyDescent="0.25">
      <c r="A21" s="177"/>
      <c r="B21" s="181"/>
      <c r="C21" s="179"/>
      <c r="D21" s="286"/>
      <c r="E21" s="1338"/>
      <c r="F21" s="1774"/>
      <c r="G21" s="31"/>
      <c r="H21" s="187"/>
      <c r="I21" s="1316"/>
      <c r="J21" s="981"/>
      <c r="K21" s="482"/>
      <c r="L21" s="119"/>
      <c r="M21" s="64"/>
      <c r="N21" s="807"/>
      <c r="O21" s="486"/>
      <c r="P21" s="1327"/>
      <c r="Q21" s="148"/>
      <c r="R21" s="267"/>
      <c r="S21" s="1352"/>
    </row>
    <row r="22" spans="1:22" s="170" customFormat="1" ht="12.75" customHeight="1" x14ac:dyDescent="0.2">
      <c r="A22" s="182"/>
      <c r="B22" s="181"/>
      <c r="C22" s="183"/>
      <c r="D22" s="290" t="s">
        <v>19</v>
      </c>
      <c r="E22" s="290"/>
      <c r="F22" s="1797" t="s">
        <v>66</v>
      </c>
      <c r="G22" s="31"/>
      <c r="H22" s="187"/>
      <c r="I22" s="1316"/>
      <c r="J22" s="663" t="s">
        <v>15</v>
      </c>
      <c r="K22" s="624">
        <v>1008.8</v>
      </c>
      <c r="L22" s="319">
        <v>1208.2</v>
      </c>
      <c r="M22" s="318">
        <v>1208.2</v>
      </c>
      <c r="N22" s="319">
        <v>1208.2</v>
      </c>
      <c r="O22" s="688" t="s">
        <v>100</v>
      </c>
      <c r="P22" s="1316">
        <v>4</v>
      </c>
      <c r="Q22" s="56">
        <v>4</v>
      </c>
      <c r="R22" s="29">
        <v>4</v>
      </c>
      <c r="S22" s="634">
        <v>4</v>
      </c>
    </row>
    <row r="23" spans="1:22" s="170" customFormat="1" ht="15.75" customHeight="1" x14ac:dyDescent="0.2">
      <c r="A23" s="182"/>
      <c r="B23" s="181"/>
      <c r="C23" s="184"/>
      <c r="D23" s="1338"/>
      <c r="E23" s="1338"/>
      <c r="F23" s="1774"/>
      <c r="G23" s="31"/>
      <c r="H23" s="187"/>
      <c r="I23" s="1316"/>
      <c r="J23" s="40" t="s">
        <v>18</v>
      </c>
      <c r="K23" s="618">
        <v>1527</v>
      </c>
      <c r="L23" s="413">
        <v>1604.7</v>
      </c>
      <c r="M23" s="84">
        <v>1604.7</v>
      </c>
      <c r="N23" s="413">
        <v>1604.7</v>
      </c>
      <c r="O23" s="381" t="s">
        <v>101</v>
      </c>
      <c r="P23" s="1315">
        <v>1301</v>
      </c>
      <c r="Q23" s="49">
        <v>1285</v>
      </c>
      <c r="R23" s="373">
        <v>1285</v>
      </c>
      <c r="S23" s="1351">
        <v>1285</v>
      </c>
    </row>
    <row r="24" spans="1:22" s="170" customFormat="1" ht="15.75" customHeight="1" thickBot="1" x14ac:dyDescent="0.25">
      <c r="A24" s="182"/>
      <c r="B24" s="181"/>
      <c r="C24" s="184"/>
      <c r="D24" s="1338"/>
      <c r="E24" s="1338"/>
      <c r="F24" s="1774"/>
      <c r="G24" s="1413"/>
      <c r="H24" s="187"/>
      <c r="I24" s="1414"/>
      <c r="J24" s="38" t="s">
        <v>42</v>
      </c>
      <c r="K24" s="483">
        <f>367.2+49.2</f>
        <v>416.4</v>
      </c>
      <c r="L24" s="384">
        <v>382.2</v>
      </c>
      <c r="M24" s="334">
        <v>382.2</v>
      </c>
      <c r="N24" s="384">
        <v>382.2</v>
      </c>
      <c r="O24" s="737" t="s">
        <v>203</v>
      </c>
      <c r="P24" s="1316">
        <v>904</v>
      </c>
      <c r="Q24" s="56">
        <v>910</v>
      </c>
      <c r="R24" s="29">
        <v>910</v>
      </c>
      <c r="S24" s="634">
        <v>910</v>
      </c>
    </row>
    <row r="25" spans="1:22" s="170" customFormat="1" ht="18" customHeight="1" x14ac:dyDescent="0.2">
      <c r="A25" s="185"/>
      <c r="B25" s="181"/>
      <c r="C25" s="184"/>
      <c r="D25" s="1416"/>
      <c r="E25" s="284" t="s">
        <v>14</v>
      </c>
      <c r="F25" s="1797" t="s">
        <v>307</v>
      </c>
      <c r="G25" s="31"/>
      <c r="H25" s="187"/>
      <c r="I25" s="1414"/>
      <c r="J25" s="58" t="s">
        <v>18</v>
      </c>
      <c r="K25" s="625"/>
      <c r="L25" s="356">
        <v>89.9</v>
      </c>
      <c r="M25" s="323">
        <v>89.9</v>
      </c>
      <c r="N25" s="356">
        <v>89.9</v>
      </c>
      <c r="O25" s="961" t="s">
        <v>100</v>
      </c>
      <c r="P25" s="983"/>
      <c r="Q25" s="58">
        <v>1</v>
      </c>
      <c r="R25" s="143">
        <v>1</v>
      </c>
      <c r="S25" s="151">
        <v>1</v>
      </c>
    </row>
    <row r="26" spans="1:22" s="170" customFormat="1" ht="18" customHeight="1" thickBot="1" x14ac:dyDescent="0.25">
      <c r="A26" s="185"/>
      <c r="B26" s="181"/>
      <c r="C26" s="184"/>
      <c r="D26" s="298"/>
      <c r="E26" s="287"/>
      <c r="F26" s="1798"/>
      <c r="G26" s="1413"/>
      <c r="H26" s="187"/>
      <c r="I26" s="1414"/>
      <c r="J26" s="147"/>
      <c r="K26" s="964"/>
      <c r="L26" s="488"/>
      <c r="M26" s="326"/>
      <c r="N26" s="488"/>
      <c r="O26" s="962" t="s">
        <v>101</v>
      </c>
      <c r="P26" s="503"/>
      <c r="Q26" s="154">
        <v>50</v>
      </c>
      <c r="R26" s="139">
        <v>50</v>
      </c>
      <c r="S26" s="25">
        <v>50</v>
      </c>
    </row>
    <row r="27" spans="1:22" s="170" customFormat="1" ht="15.75" customHeight="1" x14ac:dyDescent="0.25">
      <c r="A27" s="185"/>
      <c r="B27" s="178"/>
      <c r="C27" s="184"/>
      <c r="D27" s="1338" t="s">
        <v>21</v>
      </c>
      <c r="E27" s="1338"/>
      <c r="F27" s="1894" t="s">
        <v>116</v>
      </c>
      <c r="G27" s="97"/>
      <c r="H27" s="186"/>
      <c r="I27" s="1415"/>
      <c r="J27" s="40" t="s">
        <v>15</v>
      </c>
      <c r="K27" s="933">
        <v>7504.1</v>
      </c>
      <c r="L27" s="490">
        <f>9199</f>
        <v>9199</v>
      </c>
      <c r="M27" s="960">
        <v>8901.7000000000007</v>
      </c>
      <c r="N27" s="866">
        <v>8901.7000000000007</v>
      </c>
      <c r="O27" s="498" t="s">
        <v>100</v>
      </c>
      <c r="P27" s="1329">
        <v>32</v>
      </c>
      <c r="Q27" s="100">
        <v>32</v>
      </c>
      <c r="R27" s="32">
        <v>32</v>
      </c>
      <c r="S27" s="1007">
        <v>32</v>
      </c>
      <c r="V27" s="926"/>
    </row>
    <row r="28" spans="1:22" s="170" customFormat="1" ht="15.75" customHeight="1" x14ac:dyDescent="0.2">
      <c r="A28" s="185"/>
      <c r="B28" s="178"/>
      <c r="C28" s="184"/>
      <c r="D28" s="1338"/>
      <c r="E28" s="1338"/>
      <c r="F28" s="1894"/>
      <c r="G28" s="97"/>
      <c r="H28" s="186"/>
      <c r="I28" s="1355"/>
      <c r="J28" s="40" t="s">
        <v>18</v>
      </c>
      <c r="K28" s="482">
        <f>9646.6+16535.9+111.2</f>
        <v>26293.7</v>
      </c>
      <c r="L28" s="460">
        <f>10916.4+18683.1</f>
        <v>29599.5</v>
      </c>
      <c r="M28" s="94">
        <f t="shared" ref="M28:N28" si="0">10916.4+18683.1</f>
        <v>29599.5</v>
      </c>
      <c r="N28" s="135">
        <f t="shared" si="0"/>
        <v>29599.5</v>
      </c>
      <c r="O28" s="471" t="s">
        <v>101</v>
      </c>
      <c r="P28" s="390">
        <v>17606</v>
      </c>
      <c r="Q28" s="105">
        <v>18020</v>
      </c>
      <c r="R28" s="27">
        <v>18100</v>
      </c>
      <c r="S28" s="1007">
        <v>18150</v>
      </c>
    </row>
    <row r="29" spans="1:22" s="170" customFormat="1" ht="15.75" customHeight="1" x14ac:dyDescent="0.2">
      <c r="A29" s="185"/>
      <c r="B29" s="178"/>
      <c r="C29" s="184"/>
      <c r="D29" s="1338"/>
      <c r="E29" s="1338"/>
      <c r="F29" s="1894"/>
      <c r="G29" s="97"/>
      <c r="H29" s="186"/>
      <c r="I29" s="1355"/>
      <c r="J29" s="150" t="s">
        <v>18</v>
      </c>
      <c r="K29" s="618">
        <v>1056.2</v>
      </c>
      <c r="L29" s="382">
        <v>1104.3</v>
      </c>
      <c r="M29" s="84">
        <v>1104.3</v>
      </c>
      <c r="N29" s="325">
        <v>1104.3</v>
      </c>
      <c r="O29" s="152" t="s">
        <v>120</v>
      </c>
      <c r="P29" s="1316">
        <v>17423</v>
      </c>
      <c r="Q29" s="56">
        <v>17850</v>
      </c>
      <c r="R29" s="29">
        <v>17900</v>
      </c>
      <c r="S29" s="1351">
        <v>17950</v>
      </c>
    </row>
    <row r="30" spans="1:22" s="170" customFormat="1" ht="15.75" customHeight="1" x14ac:dyDescent="0.2">
      <c r="A30" s="185"/>
      <c r="B30" s="178"/>
      <c r="C30" s="184"/>
      <c r="D30" s="1338"/>
      <c r="E30" s="1338"/>
      <c r="F30" s="2044"/>
      <c r="G30" s="97"/>
      <c r="H30" s="186"/>
      <c r="I30" s="1355"/>
      <c r="J30" s="981" t="s">
        <v>42</v>
      </c>
      <c r="K30" s="934">
        <v>1035.4000000000001</v>
      </c>
      <c r="L30" s="119">
        <v>937</v>
      </c>
      <c r="M30" s="64">
        <v>937</v>
      </c>
      <c r="N30" s="807">
        <v>937</v>
      </c>
      <c r="O30" s="470" t="s">
        <v>227</v>
      </c>
      <c r="P30" s="1335">
        <v>2</v>
      </c>
      <c r="Q30" s="614"/>
      <c r="R30" s="615"/>
      <c r="S30" s="479"/>
    </row>
    <row r="31" spans="1:22" s="170" customFormat="1" ht="30" customHeight="1" thickBot="1" x14ac:dyDescent="0.25">
      <c r="A31" s="185"/>
      <c r="B31" s="178"/>
      <c r="C31" s="184"/>
      <c r="D31" s="1338"/>
      <c r="E31" s="1338"/>
      <c r="F31" s="796" t="s">
        <v>271</v>
      </c>
      <c r="G31" s="804" t="s">
        <v>262</v>
      </c>
      <c r="H31" s="186"/>
      <c r="I31" s="1355"/>
      <c r="J31" s="191" t="s">
        <v>223</v>
      </c>
      <c r="K31" s="935">
        <v>161.69999999999999</v>
      </c>
      <c r="L31" s="800">
        <v>326.60000000000002</v>
      </c>
      <c r="M31" s="827">
        <v>326.60000000000002</v>
      </c>
      <c r="N31" s="828">
        <v>326.60000000000002</v>
      </c>
      <c r="O31" s="103" t="s">
        <v>270</v>
      </c>
      <c r="P31" s="364" t="s">
        <v>268</v>
      </c>
      <c r="Q31" s="514" t="s">
        <v>269</v>
      </c>
      <c r="R31" s="829" t="s">
        <v>269</v>
      </c>
      <c r="S31" s="789" t="s">
        <v>269</v>
      </c>
      <c r="U31" s="927"/>
    </row>
    <row r="32" spans="1:22" s="170" customFormat="1" ht="41.45" customHeight="1" thickBot="1" x14ac:dyDescent="0.25">
      <c r="A32" s="185"/>
      <c r="B32" s="178"/>
      <c r="C32" s="184"/>
      <c r="D32" s="1338"/>
      <c r="E32" s="304" t="s">
        <v>14</v>
      </c>
      <c r="F32" s="1294" t="s">
        <v>247</v>
      </c>
      <c r="G32" s="97"/>
      <c r="H32" s="186"/>
      <c r="I32" s="1355"/>
      <c r="J32" s="860" t="s">
        <v>4</v>
      </c>
      <c r="K32" s="601"/>
      <c r="L32" s="799">
        <v>125.9</v>
      </c>
      <c r="M32" s="675"/>
      <c r="N32" s="672"/>
      <c r="O32" s="626" t="s">
        <v>248</v>
      </c>
      <c r="P32" s="588"/>
      <c r="Q32" s="646">
        <v>4</v>
      </c>
      <c r="R32" s="647"/>
      <c r="S32" s="645"/>
      <c r="U32" s="1804"/>
      <c r="V32" s="1804"/>
    </row>
    <row r="33" spans="1:22" s="170" customFormat="1" ht="16.5" customHeight="1" x14ac:dyDescent="0.2">
      <c r="A33" s="185"/>
      <c r="B33" s="178"/>
      <c r="C33" s="184"/>
      <c r="D33" s="1338"/>
      <c r="E33" s="1339" t="s">
        <v>17</v>
      </c>
      <c r="F33" s="1773" t="s">
        <v>242</v>
      </c>
      <c r="G33" s="97"/>
      <c r="H33" s="186"/>
      <c r="I33" s="1355"/>
      <c r="J33" s="981" t="s">
        <v>15</v>
      </c>
      <c r="K33" s="934">
        <v>66.8</v>
      </c>
      <c r="L33" s="138">
        <f>91.7+79.1</f>
        <v>170.8</v>
      </c>
      <c r="M33" s="130">
        <v>12.7</v>
      </c>
      <c r="N33" s="15"/>
      <c r="O33" s="152" t="s">
        <v>100</v>
      </c>
      <c r="P33" s="1316">
        <v>6</v>
      </c>
      <c r="Q33" s="56">
        <v>6</v>
      </c>
      <c r="R33" s="29">
        <v>6</v>
      </c>
      <c r="S33" s="634"/>
    </row>
    <row r="34" spans="1:22" s="170" customFormat="1" ht="16.5" customHeight="1" x14ac:dyDescent="0.2">
      <c r="A34" s="185"/>
      <c r="B34" s="178"/>
      <c r="C34" s="184"/>
      <c r="D34" s="1338"/>
      <c r="E34" s="1338"/>
      <c r="F34" s="1774"/>
      <c r="G34" s="97"/>
      <c r="H34" s="186"/>
      <c r="I34" s="1355"/>
      <c r="J34" s="67" t="s">
        <v>221</v>
      </c>
      <c r="K34" s="773"/>
      <c r="L34" s="496">
        <v>447.8</v>
      </c>
      <c r="M34" s="94"/>
      <c r="N34" s="61"/>
      <c r="O34" s="152"/>
      <c r="P34" s="1316"/>
      <c r="Q34" s="56"/>
      <c r="R34" s="29"/>
      <c r="S34" s="634"/>
    </row>
    <row r="35" spans="1:22" s="170" customFormat="1" ht="16.5" customHeight="1" x14ac:dyDescent="0.2">
      <c r="A35" s="185"/>
      <c r="B35" s="178"/>
      <c r="C35" s="184"/>
      <c r="D35" s="1338"/>
      <c r="E35" s="1338"/>
      <c r="F35" s="1774"/>
      <c r="G35" s="97"/>
      <c r="H35" s="186"/>
      <c r="I35" s="1355"/>
      <c r="J35" s="981" t="s">
        <v>89</v>
      </c>
      <c r="K35" s="934"/>
      <c r="L35" s="138">
        <v>519.4</v>
      </c>
      <c r="M35" s="130">
        <v>71.599999999999994</v>
      </c>
      <c r="N35" s="15"/>
      <c r="O35" s="152"/>
      <c r="P35" s="1316"/>
      <c r="Q35" s="56"/>
      <c r="R35" s="29"/>
      <c r="S35" s="634"/>
    </row>
    <row r="36" spans="1:22" s="170" customFormat="1" ht="16.5" customHeight="1" thickBot="1" x14ac:dyDescent="0.25">
      <c r="A36" s="185"/>
      <c r="B36" s="178"/>
      <c r="C36" s="184"/>
      <c r="D36" s="1338"/>
      <c r="E36" s="1338"/>
      <c r="F36" s="1774"/>
      <c r="G36" s="97"/>
      <c r="H36" s="186"/>
      <c r="I36" s="1355"/>
      <c r="J36" s="38" t="s">
        <v>4</v>
      </c>
      <c r="K36" s="736">
        <v>509.4</v>
      </c>
      <c r="L36" s="33"/>
      <c r="M36" s="129"/>
      <c r="N36" s="24"/>
      <c r="O36" s="152"/>
      <c r="P36" s="1316"/>
      <c r="Q36" s="56"/>
      <c r="R36" s="29"/>
      <c r="S36" s="634"/>
    </row>
    <row r="37" spans="1:22" s="170" customFormat="1" ht="30.75" customHeight="1" thickBot="1" x14ac:dyDescent="0.25">
      <c r="A37" s="185"/>
      <c r="B37" s="178"/>
      <c r="C37" s="184"/>
      <c r="D37" s="1338"/>
      <c r="E37" s="412" t="s">
        <v>19</v>
      </c>
      <c r="F37" s="411" t="s">
        <v>246</v>
      </c>
      <c r="G37" s="97"/>
      <c r="H37" s="186"/>
      <c r="I37" s="1355"/>
      <c r="J37" s="860" t="s">
        <v>15</v>
      </c>
      <c r="K37" s="601"/>
      <c r="L37" s="319">
        <v>22.7</v>
      </c>
      <c r="M37" s="318">
        <v>22.7</v>
      </c>
      <c r="N37" s="367">
        <v>22.7</v>
      </c>
      <c r="O37" s="502" t="s">
        <v>100</v>
      </c>
      <c r="P37" s="402"/>
      <c r="Q37" s="228">
        <v>5</v>
      </c>
      <c r="R37" s="220">
        <v>5</v>
      </c>
      <c r="S37" s="194">
        <v>5</v>
      </c>
    </row>
    <row r="38" spans="1:22" s="170" customFormat="1" ht="21.75" customHeight="1" x14ac:dyDescent="0.2">
      <c r="A38" s="185"/>
      <c r="B38" s="178"/>
      <c r="C38" s="184"/>
      <c r="D38" s="290" t="s">
        <v>22</v>
      </c>
      <c r="E38" s="290"/>
      <c r="F38" s="1797" t="s">
        <v>243</v>
      </c>
      <c r="G38" s="31"/>
      <c r="H38" s="187"/>
      <c r="I38" s="1316"/>
      <c r="J38" s="144" t="s">
        <v>18</v>
      </c>
      <c r="K38" s="625">
        <v>1854.4</v>
      </c>
      <c r="L38" s="356">
        <f>2329.7-89.9</f>
        <v>2239.7999999999997</v>
      </c>
      <c r="M38" s="323">
        <f t="shared" ref="M38:N38" si="1">2329.7-89.9</f>
        <v>2239.7999999999997</v>
      </c>
      <c r="N38" s="324">
        <f t="shared" si="1"/>
        <v>2239.7999999999997</v>
      </c>
      <c r="O38" s="485" t="s">
        <v>100</v>
      </c>
      <c r="P38" s="314">
        <v>5</v>
      </c>
      <c r="Q38" s="107">
        <v>6</v>
      </c>
      <c r="R38" s="88">
        <v>6</v>
      </c>
      <c r="S38" s="87">
        <v>6</v>
      </c>
    </row>
    <row r="39" spans="1:22" s="170" customFormat="1" ht="21.75" customHeight="1" thickBot="1" x14ac:dyDescent="0.25">
      <c r="A39" s="185"/>
      <c r="B39" s="178"/>
      <c r="C39" s="184"/>
      <c r="D39" s="298"/>
      <c r="E39" s="298"/>
      <c r="F39" s="1798"/>
      <c r="G39" s="31"/>
      <c r="H39" s="187"/>
      <c r="I39" s="1316"/>
      <c r="J39" s="981"/>
      <c r="K39" s="482"/>
      <c r="L39" s="119"/>
      <c r="M39" s="64"/>
      <c r="N39" s="807"/>
      <c r="O39" s="470" t="s">
        <v>101</v>
      </c>
      <c r="P39" s="1315">
        <v>1100</v>
      </c>
      <c r="Q39" s="49">
        <f>1265-50</f>
        <v>1215</v>
      </c>
      <c r="R39" s="373">
        <f>1270-50</f>
        <v>1220</v>
      </c>
      <c r="S39" s="1351">
        <f>1280-50</f>
        <v>1230</v>
      </c>
    </row>
    <row r="40" spans="1:22" s="170" customFormat="1" ht="21.75" customHeight="1" x14ac:dyDescent="0.2">
      <c r="A40" s="185"/>
      <c r="B40" s="178"/>
      <c r="C40" s="184"/>
      <c r="D40" s="1338" t="s">
        <v>85</v>
      </c>
      <c r="E40" s="1338"/>
      <c r="F40" s="1774" t="s">
        <v>192</v>
      </c>
      <c r="G40" s="31"/>
      <c r="H40" s="187"/>
      <c r="I40" s="1316"/>
      <c r="J40" s="144" t="s">
        <v>15</v>
      </c>
      <c r="K40" s="628">
        <v>39.9</v>
      </c>
      <c r="L40" s="356">
        <v>44.8</v>
      </c>
      <c r="M40" s="323">
        <v>44.8</v>
      </c>
      <c r="N40" s="324">
        <v>44.8</v>
      </c>
      <c r="O40" s="1799" t="s">
        <v>160</v>
      </c>
      <c r="P40" s="983">
        <v>2019</v>
      </c>
      <c r="Q40" s="58">
        <v>1990</v>
      </c>
      <c r="R40" s="143">
        <v>2000</v>
      </c>
      <c r="S40" s="151">
        <v>2020</v>
      </c>
      <c r="U40" s="1801"/>
      <c r="V40" s="1801"/>
    </row>
    <row r="41" spans="1:22" s="190" customFormat="1" ht="19.5" customHeight="1" thickBot="1" x14ac:dyDescent="0.25">
      <c r="A41" s="177"/>
      <c r="B41" s="178"/>
      <c r="C41" s="183"/>
      <c r="D41" s="1338"/>
      <c r="E41" s="1338"/>
      <c r="F41" s="1774"/>
      <c r="G41" s="188"/>
      <c r="H41" s="189"/>
      <c r="I41" s="1324"/>
      <c r="J41" s="992"/>
      <c r="K41" s="653"/>
      <c r="L41" s="488"/>
      <c r="M41" s="326"/>
      <c r="N41" s="916"/>
      <c r="O41" s="1918"/>
      <c r="P41" s="1327"/>
      <c r="Q41" s="148"/>
      <c r="R41" s="267"/>
      <c r="S41" s="1352"/>
    </row>
    <row r="42" spans="1:22" s="170" customFormat="1" ht="16.5" customHeight="1" x14ac:dyDescent="0.2">
      <c r="A42" s="182"/>
      <c r="B42" s="178"/>
      <c r="C42" s="184"/>
      <c r="D42" s="290" t="s">
        <v>86</v>
      </c>
      <c r="E42" s="290"/>
      <c r="F42" s="2041" t="s">
        <v>114</v>
      </c>
      <c r="G42" s="420"/>
      <c r="H42" s="180"/>
      <c r="I42" s="1324"/>
      <c r="J42" s="144" t="s">
        <v>15</v>
      </c>
      <c r="K42" s="657">
        <v>5863.3</v>
      </c>
      <c r="L42" s="335">
        <f>6928.7-15-255.6</f>
        <v>6658.0999999999995</v>
      </c>
      <c r="M42" s="155">
        <v>6813.7</v>
      </c>
      <c r="N42" s="803">
        <v>6813.7</v>
      </c>
      <c r="O42" s="688" t="s">
        <v>100</v>
      </c>
      <c r="P42" s="314">
        <v>6</v>
      </c>
      <c r="Q42" s="140">
        <v>6</v>
      </c>
      <c r="R42" s="88">
        <v>6</v>
      </c>
      <c r="S42" s="87">
        <v>6</v>
      </c>
    </row>
    <row r="43" spans="1:22" s="170" customFormat="1" ht="15.75" customHeight="1" x14ac:dyDescent="0.2">
      <c r="A43" s="182"/>
      <c r="B43" s="178"/>
      <c r="C43" s="184"/>
      <c r="D43" s="1338"/>
      <c r="E43" s="1338"/>
      <c r="F43" s="1894"/>
      <c r="G43" s="420"/>
      <c r="H43" s="180"/>
      <c r="I43" s="1324"/>
      <c r="J43" s="150" t="s">
        <v>18</v>
      </c>
      <c r="K43" s="623">
        <v>137.80000000000001</v>
      </c>
      <c r="L43" s="940">
        <v>148</v>
      </c>
      <c r="M43" s="484">
        <v>148</v>
      </c>
      <c r="N43" s="939">
        <v>148</v>
      </c>
      <c r="O43" s="381" t="s">
        <v>101</v>
      </c>
      <c r="P43" s="1315">
        <v>5564</v>
      </c>
      <c r="Q43" s="67">
        <v>5565</v>
      </c>
      <c r="R43" s="27">
        <v>5570</v>
      </c>
      <c r="S43" s="23">
        <v>5570</v>
      </c>
    </row>
    <row r="44" spans="1:22" s="170" customFormat="1" ht="43.5" customHeight="1" x14ac:dyDescent="0.2">
      <c r="A44" s="182"/>
      <c r="B44" s="178"/>
      <c r="C44" s="184"/>
      <c r="D44" s="1338"/>
      <c r="E44" s="1338"/>
      <c r="F44" s="1894"/>
      <c r="G44" s="420"/>
      <c r="H44" s="180"/>
      <c r="I44" s="1324"/>
      <c r="J44" s="150" t="s">
        <v>18</v>
      </c>
      <c r="K44" s="623">
        <v>237.1</v>
      </c>
      <c r="L44" s="96">
        <v>255.6</v>
      </c>
      <c r="M44" s="84"/>
      <c r="N44" s="413"/>
      <c r="O44" s="733" t="s">
        <v>161</v>
      </c>
      <c r="P44" s="390">
        <f>SUM(P45:P47)</f>
        <v>230</v>
      </c>
      <c r="Q44" s="105">
        <v>235</v>
      </c>
      <c r="R44" s="27">
        <v>235</v>
      </c>
      <c r="S44" s="23">
        <v>235</v>
      </c>
      <c r="T44" s="169">
        <v>74.5</v>
      </c>
    </row>
    <row r="45" spans="1:22" s="170" customFormat="1" ht="24" customHeight="1" x14ac:dyDescent="0.2">
      <c r="A45" s="182"/>
      <c r="B45" s="178"/>
      <c r="C45" s="184"/>
      <c r="D45" s="1338"/>
      <c r="E45" s="1338"/>
      <c r="F45" s="1894"/>
      <c r="G45" s="420"/>
      <c r="H45" s="180"/>
      <c r="I45" s="1324"/>
      <c r="J45" s="981" t="s">
        <v>42</v>
      </c>
      <c r="K45" s="629">
        <v>330</v>
      </c>
      <c r="L45" s="333">
        <v>326.60000000000002</v>
      </c>
      <c r="M45" s="64">
        <v>326.60000000000002</v>
      </c>
      <c r="N45" s="119">
        <v>326.60000000000002</v>
      </c>
      <c r="O45" s="733" t="s">
        <v>162</v>
      </c>
      <c r="P45" s="390">
        <v>100</v>
      </c>
      <c r="Q45" s="105">
        <v>100</v>
      </c>
      <c r="R45" s="27">
        <v>100</v>
      </c>
      <c r="S45" s="23">
        <v>100</v>
      </c>
      <c r="T45" s="169">
        <v>14.7</v>
      </c>
    </row>
    <row r="46" spans="1:22" s="170" customFormat="1" ht="18" customHeight="1" x14ac:dyDescent="0.2">
      <c r="A46" s="182"/>
      <c r="B46" s="178"/>
      <c r="C46" s="184"/>
      <c r="D46" s="1338"/>
      <c r="E46" s="1338"/>
      <c r="F46" s="1894"/>
      <c r="G46" s="420"/>
      <c r="H46" s="180"/>
      <c r="I46" s="1324"/>
      <c r="J46" s="981"/>
      <c r="K46" s="629"/>
      <c r="L46" s="333"/>
      <c r="M46" s="64"/>
      <c r="N46" s="119"/>
      <c r="O46" s="733" t="s">
        <v>163</v>
      </c>
      <c r="P46" s="390">
        <v>15</v>
      </c>
      <c r="Q46" s="105">
        <v>17</v>
      </c>
      <c r="R46" s="27">
        <v>17</v>
      </c>
      <c r="S46" s="23">
        <v>17</v>
      </c>
      <c r="T46" s="169">
        <v>3.5</v>
      </c>
    </row>
    <row r="47" spans="1:22" s="170" customFormat="1" ht="30" customHeight="1" x14ac:dyDescent="0.2">
      <c r="A47" s="182"/>
      <c r="B47" s="178"/>
      <c r="C47" s="184"/>
      <c r="D47" s="1338"/>
      <c r="E47" s="1338"/>
      <c r="F47" s="1894"/>
      <c r="G47" s="420"/>
      <c r="H47" s="180"/>
      <c r="I47" s="1324"/>
      <c r="J47" s="981"/>
      <c r="K47" s="629"/>
      <c r="L47" s="333"/>
      <c r="M47" s="64"/>
      <c r="N47" s="119"/>
      <c r="O47" s="381" t="s">
        <v>164</v>
      </c>
      <c r="P47" s="1315">
        <v>115</v>
      </c>
      <c r="Q47" s="1008">
        <v>118</v>
      </c>
      <c r="R47" s="373">
        <v>118</v>
      </c>
      <c r="S47" s="1351">
        <v>118</v>
      </c>
      <c r="T47" s="169">
        <v>56.3</v>
      </c>
    </row>
    <row r="48" spans="1:22" s="170" customFormat="1" ht="30" customHeight="1" thickBot="1" x14ac:dyDescent="0.25">
      <c r="A48" s="182"/>
      <c r="B48" s="178"/>
      <c r="C48" s="184"/>
      <c r="D48" s="1338"/>
      <c r="E48" s="1338"/>
      <c r="F48" s="1894"/>
      <c r="G48" s="420"/>
      <c r="H48" s="180"/>
      <c r="I48" s="1324"/>
      <c r="J48" s="981"/>
      <c r="K48" s="629"/>
      <c r="L48" s="333"/>
      <c r="M48" s="64"/>
      <c r="N48" s="119"/>
      <c r="O48" s="381" t="s">
        <v>237</v>
      </c>
      <c r="P48" s="1315"/>
      <c r="Q48" s="1348">
        <v>1200</v>
      </c>
      <c r="R48" s="1350"/>
      <c r="S48" s="1351">
        <v>1500</v>
      </c>
      <c r="T48" s="169">
        <v>21</v>
      </c>
    </row>
    <row r="49" spans="1:23" s="170" customFormat="1" ht="18" customHeight="1" x14ac:dyDescent="0.2">
      <c r="A49" s="182"/>
      <c r="B49" s="178"/>
      <c r="C49" s="184"/>
      <c r="D49" s="290" t="s">
        <v>183</v>
      </c>
      <c r="E49" s="290"/>
      <c r="F49" s="2042" t="s">
        <v>49</v>
      </c>
      <c r="G49" s="957" t="s">
        <v>262</v>
      </c>
      <c r="H49" s="1276"/>
      <c r="I49" s="1324"/>
      <c r="J49" s="107" t="s">
        <v>15</v>
      </c>
      <c r="K49" s="654">
        <v>333.6</v>
      </c>
      <c r="L49" s="468">
        <v>390.9</v>
      </c>
      <c r="M49" s="131">
        <f>458.5+18</f>
        <v>476.5</v>
      </c>
      <c r="N49" s="487">
        <f>458.5+18+18</f>
        <v>494.5</v>
      </c>
      <c r="O49" s="951" t="s">
        <v>103</v>
      </c>
      <c r="P49" s="983">
        <v>8500</v>
      </c>
      <c r="Q49" s="58">
        <v>9600</v>
      </c>
      <c r="R49" s="143">
        <v>9600</v>
      </c>
      <c r="S49" s="151">
        <v>9600</v>
      </c>
      <c r="U49" s="1804"/>
      <c r="V49" s="1804"/>
      <c r="W49" s="1804"/>
    </row>
    <row r="50" spans="1:23" s="170" customFormat="1" ht="30" customHeight="1" x14ac:dyDescent="0.2">
      <c r="A50" s="182"/>
      <c r="B50" s="178"/>
      <c r="C50" s="184"/>
      <c r="D50" s="1338"/>
      <c r="E50" s="1338"/>
      <c r="F50" s="2043"/>
      <c r="G50" s="958"/>
      <c r="H50" s="1276"/>
      <c r="I50" s="1324"/>
      <c r="J50" s="67" t="s">
        <v>18</v>
      </c>
      <c r="K50" s="623">
        <v>339.1</v>
      </c>
      <c r="L50" s="413">
        <v>485.6</v>
      </c>
      <c r="M50" s="84">
        <v>485.6</v>
      </c>
      <c r="N50" s="413">
        <v>485.6</v>
      </c>
      <c r="O50" s="715" t="s">
        <v>273</v>
      </c>
      <c r="P50" s="390"/>
      <c r="Q50" s="105">
        <v>5</v>
      </c>
      <c r="R50" s="27">
        <v>1</v>
      </c>
      <c r="S50" s="23">
        <v>1</v>
      </c>
    </row>
    <row r="51" spans="1:23" s="170" customFormat="1" ht="18" customHeight="1" thickBot="1" x14ac:dyDescent="0.25">
      <c r="A51" s="182"/>
      <c r="B51" s="178"/>
      <c r="C51" s="184"/>
      <c r="D51" s="298"/>
      <c r="E51" s="298"/>
      <c r="F51" s="643"/>
      <c r="G51" s="959"/>
      <c r="H51" s="1276"/>
      <c r="I51" s="1324"/>
      <c r="J51" s="154" t="s">
        <v>42</v>
      </c>
      <c r="K51" s="364">
        <v>20</v>
      </c>
      <c r="L51" s="576">
        <v>18</v>
      </c>
      <c r="M51" s="337">
        <v>18</v>
      </c>
      <c r="N51" s="576">
        <v>18</v>
      </c>
      <c r="O51" s="1330" t="s">
        <v>265</v>
      </c>
      <c r="P51" s="1327">
        <v>5</v>
      </c>
      <c r="Q51" s="157">
        <v>10</v>
      </c>
      <c r="R51" s="267">
        <v>12</v>
      </c>
      <c r="S51" s="1352">
        <v>13</v>
      </c>
    </row>
    <row r="52" spans="1:23" s="170" customFormat="1" ht="14.25" customHeight="1" x14ac:dyDescent="0.2">
      <c r="A52" s="182"/>
      <c r="B52" s="178"/>
      <c r="C52" s="184"/>
      <c r="D52" s="290" t="s">
        <v>184</v>
      </c>
      <c r="E52" s="290"/>
      <c r="F52" s="1802" t="s">
        <v>329</v>
      </c>
      <c r="G52" s="421"/>
      <c r="H52" s="180"/>
      <c r="I52" s="1324"/>
      <c r="J52" s="107" t="s">
        <v>148</v>
      </c>
      <c r="K52" s="977">
        <v>47.3</v>
      </c>
      <c r="L52" s="803">
        <v>46.5</v>
      </c>
      <c r="M52" s="155"/>
      <c r="N52" s="332"/>
      <c r="O52" s="1275" t="s">
        <v>72</v>
      </c>
      <c r="P52" s="56">
        <v>85</v>
      </c>
      <c r="Q52" s="153">
        <v>98</v>
      </c>
      <c r="R52" s="144">
        <v>100</v>
      </c>
      <c r="S52" s="151"/>
    </row>
    <row r="53" spans="1:23" s="170" customFormat="1" ht="14.25" customHeight="1" x14ac:dyDescent="0.2">
      <c r="A53" s="182"/>
      <c r="B53" s="178"/>
      <c r="C53" s="184"/>
      <c r="D53" s="1338"/>
      <c r="E53" s="1338"/>
      <c r="F53" s="1803"/>
      <c r="G53" s="421"/>
      <c r="H53" s="180"/>
      <c r="I53" s="1324"/>
      <c r="J53" s="67" t="s">
        <v>15</v>
      </c>
      <c r="K53" s="631">
        <v>4.5999999999999996</v>
      </c>
      <c r="L53" s="413">
        <v>4.5</v>
      </c>
      <c r="M53" s="84"/>
      <c r="N53" s="325"/>
      <c r="O53" s="1275"/>
      <c r="P53" s="56"/>
      <c r="Q53" s="137"/>
      <c r="R53" s="981"/>
      <c r="S53" s="634"/>
      <c r="U53" s="927"/>
    </row>
    <row r="54" spans="1:23" s="170" customFormat="1" ht="14.25" customHeight="1" thickBot="1" x14ac:dyDescent="0.25">
      <c r="A54" s="182"/>
      <c r="B54" s="178"/>
      <c r="C54" s="184"/>
      <c r="D54" s="298"/>
      <c r="E54" s="298"/>
      <c r="F54" s="1814"/>
      <c r="G54" s="421"/>
      <c r="H54" s="180"/>
      <c r="I54" s="1324"/>
      <c r="J54" s="154" t="s">
        <v>18</v>
      </c>
      <c r="K54" s="364">
        <v>3.6</v>
      </c>
      <c r="L54" s="576">
        <v>3</v>
      </c>
      <c r="M54" s="337">
        <v>0.9</v>
      </c>
      <c r="N54" s="338"/>
      <c r="O54" s="1275"/>
      <c r="P54" s="56"/>
      <c r="Q54" s="137"/>
      <c r="R54" s="981"/>
      <c r="S54" s="634"/>
      <c r="U54" s="927"/>
    </row>
    <row r="55" spans="1:23" s="170" customFormat="1" ht="12.75" customHeight="1" x14ac:dyDescent="0.2">
      <c r="A55" s="192"/>
      <c r="B55" s="181"/>
      <c r="C55" s="179"/>
      <c r="D55" s="286" t="s">
        <v>5</v>
      </c>
      <c r="E55" s="1338"/>
      <c r="F55" s="1803" t="s">
        <v>121</v>
      </c>
      <c r="G55" s="419"/>
      <c r="H55" s="186"/>
      <c r="I55" s="1355"/>
      <c r="J55" s="40" t="s">
        <v>15</v>
      </c>
      <c r="K55" s="655">
        <v>434.3</v>
      </c>
      <c r="L55" s="495">
        <f>542.4</f>
        <v>542.4</v>
      </c>
      <c r="M55" s="127">
        <v>532</v>
      </c>
      <c r="N55" s="135">
        <v>532</v>
      </c>
      <c r="O55" s="1799" t="s">
        <v>103</v>
      </c>
      <c r="P55" s="983">
        <v>150</v>
      </c>
      <c r="Q55" s="58">
        <v>150</v>
      </c>
      <c r="R55" s="143">
        <v>155</v>
      </c>
      <c r="S55" s="151">
        <v>160</v>
      </c>
    </row>
    <row r="56" spans="1:23" s="170" customFormat="1" ht="12.75" customHeight="1" x14ac:dyDescent="0.2">
      <c r="A56" s="192"/>
      <c r="B56" s="181"/>
      <c r="C56" s="179"/>
      <c r="D56" s="286"/>
      <c r="E56" s="1338"/>
      <c r="F56" s="1803"/>
      <c r="G56" s="419"/>
      <c r="H56" s="186"/>
      <c r="I56" s="1355"/>
      <c r="J56" s="40" t="s">
        <v>18</v>
      </c>
      <c r="K56" s="595">
        <v>151.1</v>
      </c>
      <c r="L56" s="496">
        <v>161.5</v>
      </c>
      <c r="M56" s="94">
        <v>161.5</v>
      </c>
      <c r="N56" s="61">
        <v>161.5</v>
      </c>
      <c r="O56" s="1815"/>
      <c r="P56" s="1316"/>
      <c r="Q56" s="56"/>
      <c r="R56" s="29"/>
      <c r="S56" s="634"/>
    </row>
    <row r="57" spans="1:23" s="170" customFormat="1" ht="17.25" customHeight="1" thickBot="1" x14ac:dyDescent="0.25">
      <c r="A57" s="192"/>
      <c r="B57" s="181"/>
      <c r="C57" s="179"/>
      <c r="D57" s="295"/>
      <c r="E57" s="298"/>
      <c r="F57" s="1814"/>
      <c r="G57" s="419"/>
      <c r="H57" s="186"/>
      <c r="I57" s="1355"/>
      <c r="J57" s="38" t="s">
        <v>42</v>
      </c>
      <c r="K57" s="632">
        <v>39.6</v>
      </c>
      <c r="L57" s="384">
        <v>39.6</v>
      </c>
      <c r="M57" s="334">
        <v>39.6</v>
      </c>
      <c r="N57" s="938">
        <v>39.6</v>
      </c>
      <c r="O57" s="1815"/>
      <c r="P57" s="504"/>
      <c r="Q57" s="141"/>
      <c r="R57" s="29"/>
      <c r="S57" s="70"/>
    </row>
    <row r="58" spans="1:23" s="170" customFormat="1" ht="43.15" customHeight="1" x14ac:dyDescent="0.2">
      <c r="A58" s="192"/>
      <c r="B58" s="181"/>
      <c r="C58" s="179"/>
      <c r="D58" s="286" t="s">
        <v>185</v>
      </c>
      <c r="E58" s="1338"/>
      <c r="F58" s="1272" t="s">
        <v>122</v>
      </c>
      <c r="G58" s="421"/>
      <c r="H58" s="180"/>
      <c r="I58" s="1324"/>
      <c r="J58" s="144" t="s">
        <v>15</v>
      </c>
      <c r="K58" s="684">
        <v>219.4</v>
      </c>
      <c r="L58" s="491">
        <v>236.8</v>
      </c>
      <c r="M58" s="676">
        <v>236.8</v>
      </c>
      <c r="N58" s="673">
        <v>236.8</v>
      </c>
      <c r="O58" s="485" t="s">
        <v>165</v>
      </c>
      <c r="P58" s="314">
        <v>695</v>
      </c>
      <c r="Q58" s="107">
        <v>670</v>
      </c>
      <c r="R58" s="88">
        <v>650</v>
      </c>
      <c r="S58" s="87">
        <v>630</v>
      </c>
    </row>
    <row r="59" spans="1:23" ht="16.5" customHeight="1" x14ac:dyDescent="0.2">
      <c r="A59" s="192"/>
      <c r="B59" s="181"/>
      <c r="C59" s="179"/>
      <c r="D59" s="286"/>
      <c r="E59" s="1338"/>
      <c r="F59" s="1272"/>
      <c r="G59" s="1302"/>
      <c r="H59" s="180"/>
      <c r="I59" s="1324"/>
      <c r="J59" s="38" t="s">
        <v>42</v>
      </c>
      <c r="K59" s="1360">
        <v>32</v>
      </c>
      <c r="L59" s="384">
        <v>30</v>
      </c>
      <c r="M59" s="334">
        <v>30</v>
      </c>
      <c r="N59" s="807">
        <v>30</v>
      </c>
      <c r="O59" s="152" t="s">
        <v>166</v>
      </c>
      <c r="P59" s="1316">
        <v>20</v>
      </c>
      <c r="Q59" s="56">
        <v>20</v>
      </c>
      <c r="R59" s="29">
        <v>20</v>
      </c>
      <c r="S59" s="634">
        <v>20</v>
      </c>
      <c r="T59" s="240">
        <v>15.8</v>
      </c>
    </row>
    <row r="60" spans="1:23" ht="30.75" customHeight="1" thickBot="1" x14ac:dyDescent="0.25">
      <c r="A60" s="192"/>
      <c r="B60" s="181"/>
      <c r="C60" s="179"/>
      <c r="D60" s="295"/>
      <c r="E60" s="298"/>
      <c r="F60" s="1274"/>
      <c r="G60" s="421"/>
      <c r="H60" s="180"/>
      <c r="I60" s="1324"/>
      <c r="J60" s="981"/>
      <c r="K60" s="595"/>
      <c r="L60" s="488"/>
      <c r="M60" s="326"/>
      <c r="N60" s="916"/>
      <c r="O60" s="489" t="s">
        <v>104</v>
      </c>
      <c r="P60" s="503">
        <v>15000</v>
      </c>
      <c r="Q60" s="106">
        <v>13000</v>
      </c>
      <c r="R60" s="191">
        <v>12700</v>
      </c>
      <c r="S60" s="25">
        <v>12500</v>
      </c>
    </row>
    <row r="61" spans="1:23" ht="21" customHeight="1" x14ac:dyDescent="0.2">
      <c r="A61" s="192"/>
      <c r="B61" s="181"/>
      <c r="C61" s="179"/>
      <c r="D61" s="286" t="s">
        <v>186</v>
      </c>
      <c r="E61" s="1338"/>
      <c r="F61" s="1774" t="s">
        <v>193</v>
      </c>
      <c r="G61" s="421"/>
      <c r="H61" s="193"/>
      <c r="I61" s="136"/>
      <c r="J61" s="144" t="s">
        <v>15</v>
      </c>
      <c r="K61" s="630">
        <v>10.1</v>
      </c>
      <c r="L61" s="356">
        <f>13-10</f>
        <v>3</v>
      </c>
      <c r="M61" s="323"/>
      <c r="N61" s="807"/>
      <c r="O61" s="485" t="s">
        <v>105</v>
      </c>
      <c r="P61" s="314">
        <v>158</v>
      </c>
      <c r="Q61" s="107">
        <v>110</v>
      </c>
      <c r="R61" s="220"/>
      <c r="S61" s="87"/>
    </row>
    <row r="62" spans="1:23" ht="21" customHeight="1" thickBot="1" x14ac:dyDescent="0.25">
      <c r="A62" s="192"/>
      <c r="B62" s="181"/>
      <c r="C62" s="179"/>
      <c r="D62" s="295"/>
      <c r="E62" s="298"/>
      <c r="F62" s="1798"/>
      <c r="G62" s="1302"/>
      <c r="H62" s="193"/>
      <c r="I62" s="136"/>
      <c r="J62" s="981"/>
      <c r="K62" s="595"/>
      <c r="L62" s="488"/>
      <c r="M62" s="326"/>
      <c r="N62" s="807"/>
      <c r="O62" s="470" t="s">
        <v>100</v>
      </c>
      <c r="P62" s="1315">
        <v>9</v>
      </c>
      <c r="Q62" s="49">
        <v>27</v>
      </c>
      <c r="R62" s="34"/>
      <c r="S62" s="1351"/>
    </row>
    <row r="63" spans="1:23" ht="32.25" customHeight="1" x14ac:dyDescent="0.2">
      <c r="A63" s="177"/>
      <c r="B63" s="181"/>
      <c r="C63" s="179"/>
      <c r="D63" s="303" t="s">
        <v>187</v>
      </c>
      <c r="E63" s="1339"/>
      <c r="F63" s="1816" t="s">
        <v>167</v>
      </c>
      <c r="G63" s="855" t="s">
        <v>280</v>
      </c>
      <c r="H63" s="193"/>
      <c r="I63" s="136"/>
      <c r="J63" s="144" t="s">
        <v>15</v>
      </c>
      <c r="K63" s="628">
        <v>7</v>
      </c>
      <c r="L63" s="322">
        <v>2.7</v>
      </c>
      <c r="M63" s="323">
        <v>7</v>
      </c>
      <c r="N63" s="324">
        <v>3.5</v>
      </c>
      <c r="O63" s="485" t="s">
        <v>244</v>
      </c>
      <c r="P63" s="314"/>
      <c r="Q63" s="663"/>
      <c r="R63" s="88">
        <v>6</v>
      </c>
      <c r="S63" s="87"/>
    </row>
    <row r="64" spans="1:23" ht="32.25" customHeight="1" x14ac:dyDescent="0.2">
      <c r="A64" s="177"/>
      <c r="B64" s="181"/>
      <c r="C64" s="179"/>
      <c r="D64" s="286"/>
      <c r="E64" s="1338"/>
      <c r="F64" s="1803"/>
      <c r="G64" s="421"/>
      <c r="H64" s="193"/>
      <c r="I64" s="136"/>
      <c r="J64" s="981"/>
      <c r="K64" s="629"/>
      <c r="L64" s="333"/>
      <c r="M64" s="64"/>
      <c r="N64" s="807"/>
      <c r="O64" s="470" t="s">
        <v>255</v>
      </c>
      <c r="P64" s="1316"/>
      <c r="Q64" s="981">
        <v>100</v>
      </c>
      <c r="R64" s="29"/>
      <c r="S64" s="1007">
        <v>1</v>
      </c>
    </row>
    <row r="65" spans="1:24" ht="29.25" customHeight="1" thickBot="1" x14ac:dyDescent="0.25">
      <c r="A65" s="177"/>
      <c r="B65" s="181"/>
      <c r="C65" s="179"/>
      <c r="D65" s="286"/>
      <c r="E65" s="1338"/>
      <c r="F65" s="1803"/>
      <c r="G65" s="421"/>
      <c r="H65" s="193"/>
      <c r="I65" s="136"/>
      <c r="J65" s="191" t="s">
        <v>15</v>
      </c>
      <c r="K65" s="364"/>
      <c r="L65" s="336">
        <v>5</v>
      </c>
      <c r="M65" s="337">
        <v>5</v>
      </c>
      <c r="N65" s="338"/>
      <c r="O65" s="470" t="s">
        <v>276</v>
      </c>
      <c r="P65" s="503"/>
      <c r="Q65" s="191">
        <v>15</v>
      </c>
      <c r="R65" s="589">
        <v>15</v>
      </c>
      <c r="S65" s="1007"/>
    </row>
    <row r="66" spans="1:24" ht="42" customHeight="1" x14ac:dyDescent="0.2">
      <c r="A66" s="177"/>
      <c r="B66" s="181"/>
      <c r="C66" s="179"/>
      <c r="D66" s="293" t="s">
        <v>188</v>
      </c>
      <c r="E66" s="290"/>
      <c r="F66" s="644" t="s">
        <v>153</v>
      </c>
      <c r="G66" s="1302"/>
      <c r="H66" s="193"/>
      <c r="I66" s="136"/>
      <c r="J66" s="663"/>
      <c r="K66" s="658"/>
      <c r="L66" s="801"/>
      <c r="M66" s="677"/>
      <c r="N66" s="674"/>
      <c r="O66" s="497"/>
      <c r="P66" s="314"/>
      <c r="Q66" s="107"/>
      <c r="R66" s="88"/>
      <c r="S66" s="87"/>
    </row>
    <row r="67" spans="1:24" ht="15.75" customHeight="1" x14ac:dyDescent="0.2">
      <c r="A67" s="177"/>
      <c r="B67" s="181"/>
      <c r="C67" s="179"/>
      <c r="D67" s="286"/>
      <c r="E67" s="304" t="s">
        <v>14</v>
      </c>
      <c r="F67" s="1294" t="s">
        <v>238</v>
      </c>
      <c r="G67" s="421"/>
      <c r="H67" s="193"/>
      <c r="I67" s="136"/>
      <c r="J67" s="40" t="s">
        <v>15</v>
      </c>
      <c r="K67" s="639">
        <v>26.6</v>
      </c>
      <c r="L67" s="357">
        <v>68.400000000000006</v>
      </c>
      <c r="M67" s="330">
        <v>101</v>
      </c>
      <c r="N67" s="331">
        <v>114.7</v>
      </c>
      <c r="O67" s="982" t="s">
        <v>102</v>
      </c>
      <c r="P67" s="1329">
        <v>93</v>
      </c>
      <c r="Q67" s="100">
        <v>120</v>
      </c>
      <c r="R67" s="22">
        <v>150</v>
      </c>
      <c r="S67" s="1007">
        <v>180</v>
      </c>
    </row>
    <row r="68" spans="1:24" ht="17.25" customHeight="1" x14ac:dyDescent="0.2">
      <c r="A68" s="177"/>
      <c r="B68" s="181"/>
      <c r="C68" s="179"/>
      <c r="D68" s="286"/>
      <c r="E68" s="1338" t="s">
        <v>17</v>
      </c>
      <c r="F68" s="1262" t="s">
        <v>107</v>
      </c>
      <c r="G68" s="855" t="s">
        <v>280</v>
      </c>
      <c r="H68" s="193"/>
      <c r="I68" s="136"/>
      <c r="J68" s="981" t="s">
        <v>15</v>
      </c>
      <c r="K68" s="629">
        <v>31.5</v>
      </c>
      <c r="L68" s="119">
        <v>47.9</v>
      </c>
      <c r="M68" s="64"/>
      <c r="N68" s="807"/>
      <c r="O68" s="1275" t="s">
        <v>100</v>
      </c>
      <c r="P68" s="1316">
        <v>2</v>
      </c>
      <c r="Q68" s="56">
        <v>2</v>
      </c>
      <c r="R68" s="17"/>
      <c r="S68" s="634"/>
    </row>
    <row r="69" spans="1:24" ht="17.25" customHeight="1" thickBot="1" x14ac:dyDescent="0.25">
      <c r="A69" s="177"/>
      <c r="B69" s="181"/>
      <c r="C69" s="179"/>
      <c r="D69" s="604"/>
      <c r="E69" s="1338"/>
      <c r="F69" s="1264"/>
      <c r="G69" s="855"/>
      <c r="H69" s="193"/>
      <c r="I69" s="136"/>
      <c r="J69" s="154" t="s">
        <v>87</v>
      </c>
      <c r="K69" s="364"/>
      <c r="L69" s="576">
        <v>5.0999999999999996</v>
      </c>
      <c r="M69" s="337"/>
      <c r="N69" s="338"/>
      <c r="O69" s="1275"/>
      <c r="P69" s="1316"/>
      <c r="Q69" s="56"/>
      <c r="R69" s="17"/>
      <c r="S69" s="634"/>
    </row>
    <row r="70" spans="1:24" ht="29.25" customHeight="1" x14ac:dyDescent="0.2">
      <c r="A70" s="177"/>
      <c r="B70" s="181"/>
      <c r="C70" s="664"/>
      <c r="D70" s="604"/>
      <c r="E70" s="290" t="s">
        <v>19</v>
      </c>
      <c r="F70" s="636" t="s">
        <v>256</v>
      </c>
      <c r="G70" s="1161" t="s">
        <v>152</v>
      </c>
      <c r="H70" s="1160"/>
      <c r="I70" s="1987" t="s">
        <v>286</v>
      </c>
      <c r="J70" s="144"/>
      <c r="K70" s="657"/>
      <c r="L70" s="356"/>
      <c r="M70" s="323"/>
      <c r="N70" s="324"/>
      <c r="O70" s="1268"/>
      <c r="P70" s="983"/>
      <c r="Q70" s="58"/>
      <c r="R70" s="125"/>
      <c r="S70" s="151"/>
    </row>
    <row r="71" spans="1:24" ht="15.75" customHeight="1" x14ac:dyDescent="0.2">
      <c r="A71" s="177"/>
      <c r="B71" s="181"/>
      <c r="C71" s="179"/>
      <c r="D71" s="604"/>
      <c r="E71" s="1338"/>
      <c r="F71" s="1774" t="s">
        <v>331</v>
      </c>
      <c r="G71" s="1162"/>
      <c r="H71" s="927"/>
      <c r="I71" s="1987"/>
      <c r="J71" s="981" t="s">
        <v>15</v>
      </c>
      <c r="K71" s="656">
        <f>33.8+15</f>
        <v>48.8</v>
      </c>
      <c r="L71" s="138">
        <v>68.5</v>
      </c>
      <c r="M71" s="130">
        <v>111.1</v>
      </c>
      <c r="N71" s="15">
        <v>142.80000000000001</v>
      </c>
      <c r="O71" s="982" t="s">
        <v>102</v>
      </c>
      <c r="P71" s="1329">
        <v>72</v>
      </c>
      <c r="Q71" s="100">
        <v>210</v>
      </c>
      <c r="R71" s="117">
        <v>270</v>
      </c>
      <c r="S71" s="1007">
        <v>360</v>
      </c>
    </row>
    <row r="72" spans="1:24" ht="15.75" customHeight="1" x14ac:dyDescent="0.2">
      <c r="A72" s="177"/>
      <c r="B72" s="181"/>
      <c r="C72" s="179"/>
      <c r="D72" s="604"/>
      <c r="E72" s="1338"/>
      <c r="F72" s="1775"/>
      <c r="G72" s="1162"/>
      <c r="H72" s="927"/>
      <c r="I72" s="1987"/>
      <c r="J72" s="40"/>
      <c r="K72" s="659"/>
      <c r="L72" s="495"/>
      <c r="M72" s="127"/>
      <c r="N72" s="135"/>
      <c r="O72" s="1275" t="s">
        <v>201</v>
      </c>
      <c r="P72" s="1316">
        <v>8</v>
      </c>
      <c r="Q72" s="56">
        <v>7</v>
      </c>
      <c r="R72" s="116">
        <v>9</v>
      </c>
      <c r="S72" s="1351">
        <v>12</v>
      </c>
    </row>
    <row r="73" spans="1:24" ht="30.75" customHeight="1" thickBot="1" x14ac:dyDescent="0.25">
      <c r="A73" s="177"/>
      <c r="B73" s="181"/>
      <c r="C73" s="179"/>
      <c r="D73" s="604"/>
      <c r="E73" s="298"/>
      <c r="F73" s="411" t="s">
        <v>200</v>
      </c>
      <c r="G73" s="1163"/>
      <c r="H73" s="891">
        <v>2</v>
      </c>
      <c r="I73" s="1988"/>
      <c r="J73" s="38" t="s">
        <v>15</v>
      </c>
      <c r="K73" s="651">
        <f>50</f>
        <v>50</v>
      </c>
      <c r="L73" s="519"/>
      <c r="M73" s="130"/>
      <c r="N73" s="15"/>
      <c r="O73" s="640" t="s">
        <v>245</v>
      </c>
      <c r="P73" s="390">
        <v>2</v>
      </c>
      <c r="Q73" s="145"/>
      <c r="R73" s="1300"/>
      <c r="S73" s="23"/>
    </row>
    <row r="74" spans="1:24" ht="29.25" customHeight="1" x14ac:dyDescent="0.2">
      <c r="A74" s="177"/>
      <c r="B74" s="181"/>
      <c r="C74" s="179"/>
      <c r="D74" s="604"/>
      <c r="E74" s="1338" t="s">
        <v>21</v>
      </c>
      <c r="F74" s="2005" t="s">
        <v>282</v>
      </c>
      <c r="G74" s="2030" t="s">
        <v>262</v>
      </c>
      <c r="H74" s="193"/>
      <c r="I74" s="1324" t="s">
        <v>286</v>
      </c>
      <c r="J74" s="144" t="s">
        <v>15</v>
      </c>
      <c r="K74" s="628">
        <v>28.4</v>
      </c>
      <c r="L74" s="356">
        <v>47.6</v>
      </c>
      <c r="M74" s="323">
        <v>92.5</v>
      </c>
      <c r="N74" s="324">
        <v>104.3</v>
      </c>
      <c r="O74" s="485" t="s">
        <v>168</v>
      </c>
      <c r="P74" s="314">
        <v>1</v>
      </c>
      <c r="Q74" s="140"/>
      <c r="R74" s="88"/>
      <c r="S74" s="87"/>
    </row>
    <row r="75" spans="1:24" ht="15.75" customHeight="1" x14ac:dyDescent="0.2">
      <c r="A75" s="177"/>
      <c r="B75" s="181"/>
      <c r="C75" s="179"/>
      <c r="D75" s="604"/>
      <c r="E75" s="1338"/>
      <c r="F75" s="2005"/>
      <c r="G75" s="2030"/>
      <c r="H75" s="193"/>
      <c r="I75" s="136"/>
      <c r="J75" s="981"/>
      <c r="K75" s="629"/>
      <c r="L75" s="119"/>
      <c r="M75" s="64"/>
      <c r="N75" s="807"/>
      <c r="O75" s="470" t="s">
        <v>170</v>
      </c>
      <c r="P75" s="505">
        <v>1.26</v>
      </c>
      <c r="Q75" s="492">
        <v>3.97</v>
      </c>
      <c r="R75" s="493">
        <v>5.59</v>
      </c>
      <c r="S75" s="494">
        <v>7.17</v>
      </c>
    </row>
    <row r="76" spans="1:24" ht="31.5" customHeight="1" thickBot="1" x14ac:dyDescent="0.25">
      <c r="A76" s="177"/>
      <c r="B76" s="181"/>
      <c r="C76" s="179"/>
      <c r="D76" s="604"/>
      <c r="E76" s="298"/>
      <c r="F76" s="1263"/>
      <c r="G76" s="856" t="s">
        <v>280</v>
      </c>
      <c r="H76" s="193"/>
      <c r="I76" s="136"/>
      <c r="J76" s="147"/>
      <c r="K76" s="653"/>
      <c r="L76" s="488"/>
      <c r="M76" s="326"/>
      <c r="N76" s="916"/>
      <c r="O76" s="489" t="s">
        <v>169</v>
      </c>
      <c r="P76" s="503"/>
      <c r="Q76" s="106">
        <v>53</v>
      </c>
      <c r="R76" s="139">
        <v>51</v>
      </c>
      <c r="S76" s="25">
        <v>25</v>
      </c>
    </row>
    <row r="77" spans="1:24" ht="53.25" customHeight="1" x14ac:dyDescent="0.2">
      <c r="A77" s="198"/>
      <c r="B77" s="199"/>
      <c r="C77" s="200"/>
      <c r="D77" s="1338"/>
      <c r="E77" s="284" t="s">
        <v>22</v>
      </c>
      <c r="F77" s="1267" t="s">
        <v>73</v>
      </c>
      <c r="G77" s="602"/>
      <c r="H77" s="201"/>
      <c r="I77" s="1316"/>
      <c r="J77" s="913" t="s">
        <v>15</v>
      </c>
      <c r="K77" s="630">
        <v>611.5</v>
      </c>
      <c r="L77" s="348">
        <v>654.6</v>
      </c>
      <c r="M77" s="323">
        <v>344.7</v>
      </c>
      <c r="N77" s="324">
        <v>344.7</v>
      </c>
      <c r="O77" s="77" t="s">
        <v>123</v>
      </c>
      <c r="P77" s="1353">
        <v>517</v>
      </c>
      <c r="Q77" s="124">
        <v>473</v>
      </c>
      <c r="R77" s="125">
        <v>473</v>
      </c>
      <c r="S77" s="126">
        <v>473</v>
      </c>
      <c r="U77" s="1801"/>
      <c r="V77" s="1801"/>
    </row>
    <row r="78" spans="1:24" ht="27.75" customHeight="1" x14ac:dyDescent="0.2">
      <c r="A78" s="198"/>
      <c r="B78" s="199"/>
      <c r="C78" s="200"/>
      <c r="D78" s="285"/>
      <c r="E78" s="285"/>
      <c r="F78" s="1264"/>
      <c r="G78" s="914"/>
      <c r="H78" s="189"/>
      <c r="I78" s="1324"/>
      <c r="J78" s="38" t="s">
        <v>18</v>
      </c>
      <c r="K78" s="652"/>
      <c r="L78" s="350">
        <v>162</v>
      </c>
      <c r="M78" s="266">
        <v>162</v>
      </c>
      <c r="N78" s="1333">
        <v>162</v>
      </c>
      <c r="O78" s="21" t="s">
        <v>253</v>
      </c>
      <c r="P78" s="1358"/>
      <c r="Q78" s="830">
        <v>10</v>
      </c>
      <c r="R78" s="34">
        <v>10</v>
      </c>
      <c r="S78" s="13">
        <v>10</v>
      </c>
    </row>
    <row r="79" spans="1:24" ht="18" customHeight="1" x14ac:dyDescent="0.2">
      <c r="A79" s="195"/>
      <c r="B79" s="196"/>
      <c r="C79" s="197"/>
      <c r="D79" s="604"/>
      <c r="E79" s="1339"/>
      <c r="F79" s="1773" t="s">
        <v>205</v>
      </c>
      <c r="G79" s="2073" t="s">
        <v>44</v>
      </c>
      <c r="H79" s="180"/>
      <c r="I79" s="1324"/>
      <c r="J79" s="38" t="s">
        <v>15</v>
      </c>
      <c r="K79" s="631">
        <v>41</v>
      </c>
      <c r="L79" s="350"/>
      <c r="M79" s="266"/>
      <c r="N79" s="2071"/>
      <c r="O79" s="471" t="s">
        <v>100</v>
      </c>
      <c r="P79" s="390">
        <v>4</v>
      </c>
      <c r="Q79" s="67"/>
      <c r="R79" s="85"/>
      <c r="S79" s="23"/>
      <c r="X79" s="1289"/>
    </row>
    <row r="80" spans="1:24" ht="18" customHeight="1" thickBot="1" x14ac:dyDescent="0.25">
      <c r="A80" s="195"/>
      <c r="B80" s="196"/>
      <c r="C80" s="197"/>
      <c r="D80" s="604"/>
      <c r="E80" s="1338"/>
      <c r="F80" s="1774"/>
      <c r="G80" s="2074"/>
      <c r="H80" s="180"/>
      <c r="I80" s="1324"/>
      <c r="J80" s="147"/>
      <c r="K80" s="653"/>
      <c r="L80" s="409"/>
      <c r="M80" s="342"/>
      <c r="N80" s="2072"/>
      <c r="O80" s="1269" t="s">
        <v>102</v>
      </c>
      <c r="P80" s="1327">
        <v>44</v>
      </c>
      <c r="Q80" s="148"/>
      <c r="R80" s="36"/>
      <c r="S80" s="1352"/>
    </row>
    <row r="81" spans="1:20" ht="18.75" customHeight="1" x14ac:dyDescent="0.2">
      <c r="A81" s="198"/>
      <c r="B81" s="199"/>
      <c r="C81" s="200"/>
      <c r="D81" s="831" t="s">
        <v>189</v>
      </c>
      <c r="E81" s="831"/>
      <c r="F81" s="832" t="s">
        <v>54</v>
      </c>
      <c r="G81" s="416"/>
      <c r="H81" s="189"/>
      <c r="I81" s="1324"/>
      <c r="J81" s="861" t="s">
        <v>18</v>
      </c>
      <c r="K81" s="630">
        <v>53.9</v>
      </c>
      <c r="L81" s="438">
        <v>60.9</v>
      </c>
      <c r="M81" s="89">
        <v>60.9</v>
      </c>
      <c r="N81" s="438">
        <v>60.9</v>
      </c>
      <c r="O81" s="802" t="s">
        <v>108</v>
      </c>
      <c r="P81" s="402">
        <v>17</v>
      </c>
      <c r="Q81" s="221">
        <v>17</v>
      </c>
      <c r="R81" s="481">
        <v>17</v>
      </c>
      <c r="S81" s="194">
        <v>17</v>
      </c>
    </row>
    <row r="82" spans="1:20" ht="18.75" customHeight="1" x14ac:dyDescent="0.2">
      <c r="A82" s="198"/>
      <c r="B82" s="199"/>
      <c r="C82" s="197"/>
      <c r="D82" s="286" t="s">
        <v>190</v>
      </c>
      <c r="E82" s="1338"/>
      <c r="F82" s="1294" t="s">
        <v>92</v>
      </c>
      <c r="G82" s="59"/>
      <c r="H82" s="202"/>
      <c r="I82" s="1355"/>
      <c r="J82" s="1307" t="s">
        <v>15</v>
      </c>
      <c r="K82" s="652">
        <v>314.39999999999998</v>
      </c>
      <c r="L82" s="73">
        <v>346.6</v>
      </c>
      <c r="M82" s="276">
        <v>346.6</v>
      </c>
      <c r="N82" s="73">
        <v>346.6</v>
      </c>
      <c r="O82" s="455" t="s">
        <v>101</v>
      </c>
      <c r="P82" s="390">
        <v>1216</v>
      </c>
      <c r="Q82" s="67">
        <v>1215</v>
      </c>
      <c r="R82" s="26">
        <v>1215</v>
      </c>
      <c r="S82" s="375">
        <v>1215</v>
      </c>
    </row>
    <row r="83" spans="1:20" ht="16.5" customHeight="1" x14ac:dyDescent="0.2">
      <c r="A83" s="198"/>
      <c r="B83" s="199"/>
      <c r="C83" s="197"/>
      <c r="D83" s="303" t="s">
        <v>191</v>
      </c>
      <c r="E83" s="1339"/>
      <c r="F83" s="1773" t="s">
        <v>171</v>
      </c>
      <c r="G83" s="59"/>
      <c r="H83" s="202"/>
      <c r="I83" s="1355"/>
      <c r="J83" s="607" t="s">
        <v>18</v>
      </c>
      <c r="K83" s="627">
        <v>11.5</v>
      </c>
      <c r="L83" s="350">
        <v>10</v>
      </c>
      <c r="M83" s="266">
        <v>10</v>
      </c>
      <c r="N83" s="350">
        <v>10</v>
      </c>
      <c r="O83" s="600" t="s">
        <v>100</v>
      </c>
      <c r="P83" s="599">
        <v>1</v>
      </c>
      <c r="Q83" s="596">
        <v>1</v>
      </c>
      <c r="R83" s="597">
        <v>1</v>
      </c>
      <c r="S83" s="598"/>
    </row>
    <row r="84" spans="1:20" s="170" customFormat="1" ht="16.5" customHeight="1" x14ac:dyDescent="0.2">
      <c r="A84" s="198"/>
      <c r="B84" s="199"/>
      <c r="C84" s="197"/>
      <c r="D84" s="302"/>
      <c r="E84" s="1338"/>
      <c r="F84" s="1774"/>
      <c r="G84" s="59"/>
      <c r="H84" s="202"/>
      <c r="I84" s="1355"/>
      <c r="J84" s="1307"/>
      <c r="K84" s="594"/>
      <c r="L84" s="73"/>
      <c r="M84" s="1004"/>
      <c r="N84" s="73"/>
      <c r="O84" s="462" t="s">
        <v>101</v>
      </c>
      <c r="P84" s="619">
        <v>9</v>
      </c>
      <c r="Q84" s="620">
        <v>4</v>
      </c>
      <c r="R84" s="621">
        <v>4</v>
      </c>
      <c r="S84" s="622">
        <v>4</v>
      </c>
    </row>
    <row r="85" spans="1:20" ht="16.5" customHeight="1" x14ac:dyDescent="0.2">
      <c r="A85" s="198"/>
      <c r="B85" s="199"/>
      <c r="C85" s="200"/>
      <c r="D85" s="1339"/>
      <c r="E85" s="1339"/>
      <c r="F85" s="1773" t="s">
        <v>233</v>
      </c>
      <c r="G85" s="833"/>
      <c r="H85" s="834"/>
      <c r="I85" s="1313"/>
      <c r="J85" s="93" t="s">
        <v>15</v>
      </c>
      <c r="K85" s="652">
        <v>161.69999999999999</v>
      </c>
      <c r="L85" s="69"/>
      <c r="M85" s="129"/>
      <c r="N85" s="33"/>
      <c r="O85" s="462" t="s">
        <v>239</v>
      </c>
      <c r="P85" s="1358">
        <v>3570</v>
      </c>
      <c r="Q85" s="830"/>
      <c r="R85" s="34"/>
      <c r="S85" s="13"/>
    </row>
    <row r="86" spans="1:20" ht="16.5" customHeight="1" x14ac:dyDescent="0.2">
      <c r="A86" s="198"/>
      <c r="B86" s="199"/>
      <c r="C86" s="200"/>
      <c r="D86" s="1338"/>
      <c r="E86" s="1338"/>
      <c r="F86" s="1774"/>
      <c r="G86" s="453"/>
      <c r="H86" s="836"/>
      <c r="I86" s="1314"/>
      <c r="J86" s="525" t="s">
        <v>15</v>
      </c>
      <c r="K86" s="667">
        <v>59</v>
      </c>
      <c r="L86" s="39"/>
      <c r="M86" s="993"/>
      <c r="N86" s="39"/>
      <c r="O86" s="462" t="s">
        <v>240</v>
      </c>
      <c r="P86" s="1358">
        <v>15</v>
      </c>
      <c r="Q86" s="830"/>
      <c r="R86" s="34"/>
      <c r="S86" s="13"/>
    </row>
    <row r="87" spans="1:20" ht="16.5" customHeight="1" thickBot="1" x14ac:dyDescent="0.25">
      <c r="A87" s="635"/>
      <c r="B87" s="204"/>
      <c r="C87" s="205"/>
      <c r="D87" s="295"/>
      <c r="E87" s="298"/>
      <c r="F87" s="1263"/>
      <c r="G87" s="1807" t="s">
        <v>50</v>
      </c>
      <c r="H87" s="2045"/>
      <c r="I87" s="2045"/>
      <c r="J87" s="2046"/>
      <c r="K87" s="835">
        <f>SUM(K13:K86)-K31</f>
        <v>79269.000000000015</v>
      </c>
      <c r="L87" s="101">
        <f>SUM(L13:L86)-L31</f>
        <v>90635.900000000023</v>
      </c>
      <c r="M87" s="62">
        <f>SUM(M13:M86)-M31</f>
        <v>88727.300000000017</v>
      </c>
      <c r="N87" s="128">
        <f>SUM(N13:N86)-N31</f>
        <v>88577.10000000002</v>
      </c>
      <c r="O87" s="1309"/>
      <c r="P87" s="508"/>
      <c r="Q87" s="206"/>
      <c r="R87" s="207"/>
      <c r="S87" s="208"/>
    </row>
    <row r="88" spans="1:20" ht="32.25" customHeight="1" x14ac:dyDescent="0.2">
      <c r="A88" s="234" t="s">
        <v>14</v>
      </c>
      <c r="B88" s="209" t="s">
        <v>14</v>
      </c>
      <c r="C88" s="210" t="s">
        <v>17</v>
      </c>
      <c r="D88" s="284"/>
      <c r="E88" s="284"/>
      <c r="F88" s="1260" t="s">
        <v>74</v>
      </c>
      <c r="G88" s="414"/>
      <c r="H88" s="211">
        <v>2</v>
      </c>
      <c r="I88" s="2040" t="s">
        <v>286</v>
      </c>
      <c r="J88" s="520"/>
      <c r="K88" s="593"/>
      <c r="L88" s="348"/>
      <c r="M88" s="339"/>
      <c r="N88" s="340"/>
      <c r="O88" s="465"/>
      <c r="P88" s="1353"/>
      <c r="Q88" s="124"/>
      <c r="R88" s="125"/>
      <c r="S88" s="126"/>
    </row>
    <row r="89" spans="1:20" ht="40.5" customHeight="1" x14ac:dyDescent="0.2">
      <c r="A89" s="198"/>
      <c r="B89" s="199"/>
      <c r="C89" s="200"/>
      <c r="D89" s="304" t="s">
        <v>14</v>
      </c>
      <c r="E89" s="304"/>
      <c r="F89" s="683" t="s">
        <v>249</v>
      </c>
      <c r="G89" s="416"/>
      <c r="H89" s="189"/>
      <c r="I89" s="1992"/>
      <c r="J89" s="1265" t="s">
        <v>18</v>
      </c>
      <c r="K89" s="559">
        <v>205.4</v>
      </c>
      <c r="L89" s="351">
        <v>214.1</v>
      </c>
      <c r="M89" s="276">
        <v>214.1</v>
      </c>
      <c r="N89" s="277">
        <v>214.1</v>
      </c>
      <c r="O89" s="464" t="s">
        <v>101</v>
      </c>
      <c r="P89" s="509">
        <v>2692</v>
      </c>
      <c r="Q89" s="108">
        <v>2690</v>
      </c>
      <c r="R89" s="1010">
        <v>2690</v>
      </c>
      <c r="S89" s="478">
        <v>2700</v>
      </c>
    </row>
    <row r="90" spans="1:20" s="170" customFormat="1" ht="18" customHeight="1" x14ac:dyDescent="0.2">
      <c r="A90" s="198"/>
      <c r="B90" s="199"/>
      <c r="C90" s="200"/>
      <c r="D90" s="285" t="s">
        <v>17</v>
      </c>
      <c r="E90" s="285"/>
      <c r="F90" s="1317" t="s">
        <v>53</v>
      </c>
      <c r="G90" s="798" t="s">
        <v>262</v>
      </c>
      <c r="H90" s="189"/>
      <c r="I90" s="1324"/>
      <c r="J90" s="1266" t="s">
        <v>15</v>
      </c>
      <c r="K90" s="595">
        <v>100</v>
      </c>
      <c r="L90" s="353">
        <v>120</v>
      </c>
      <c r="M90" s="426">
        <v>130</v>
      </c>
      <c r="N90" s="225">
        <v>140</v>
      </c>
      <c r="O90" s="499" t="s">
        <v>124</v>
      </c>
      <c r="P90" s="1358">
        <v>52</v>
      </c>
      <c r="Q90" s="1011">
        <v>60</v>
      </c>
      <c r="R90" s="93">
        <v>70</v>
      </c>
      <c r="S90" s="13">
        <v>80</v>
      </c>
      <c r="T90" s="649"/>
    </row>
    <row r="91" spans="1:20" ht="15.75" customHeight="1" x14ac:dyDescent="0.2">
      <c r="A91" s="185"/>
      <c r="B91" s="199"/>
      <c r="C91" s="200"/>
      <c r="D91" s="306" t="s">
        <v>19</v>
      </c>
      <c r="E91" s="306"/>
      <c r="F91" s="1292" t="s">
        <v>68</v>
      </c>
      <c r="G91" s="837"/>
      <c r="H91" s="202"/>
      <c r="I91" s="1355"/>
      <c r="J91" s="986" t="s">
        <v>89</v>
      </c>
      <c r="K91" s="632">
        <v>889.1</v>
      </c>
      <c r="L91" s="351">
        <v>730.3</v>
      </c>
      <c r="M91" s="446">
        <v>730.3</v>
      </c>
      <c r="N91" s="440">
        <v>730.3</v>
      </c>
      <c r="O91" s="838" t="s">
        <v>124</v>
      </c>
      <c r="P91" s="581">
        <v>100</v>
      </c>
      <c r="Q91" s="45">
        <v>100</v>
      </c>
      <c r="R91" s="839">
        <v>100</v>
      </c>
      <c r="S91" s="840">
        <v>100</v>
      </c>
      <c r="T91" s="57"/>
    </row>
    <row r="92" spans="1:20" ht="15.75" customHeight="1" x14ac:dyDescent="0.2">
      <c r="A92" s="185"/>
      <c r="B92" s="199"/>
      <c r="C92" s="200"/>
      <c r="D92" s="285"/>
      <c r="E92" s="285"/>
      <c r="F92" s="1293"/>
      <c r="G92" s="416"/>
      <c r="H92" s="202"/>
      <c r="I92" s="1355"/>
      <c r="J92" s="562" t="s">
        <v>221</v>
      </c>
      <c r="K92" s="559">
        <v>0.2</v>
      </c>
      <c r="L92" s="351">
        <v>0.2</v>
      </c>
      <c r="M92" s="276"/>
      <c r="N92" s="1333"/>
      <c r="O92" s="1331" t="s">
        <v>224</v>
      </c>
      <c r="P92" s="1358">
        <v>5600</v>
      </c>
      <c r="Q92" s="830">
        <v>5600</v>
      </c>
      <c r="R92" s="34">
        <v>5600</v>
      </c>
      <c r="S92" s="13">
        <v>5600</v>
      </c>
      <c r="T92" s="57"/>
    </row>
    <row r="93" spans="1:20" ht="31.5" customHeight="1" x14ac:dyDescent="0.2">
      <c r="A93" s="185"/>
      <c r="B93" s="199"/>
      <c r="C93" s="200"/>
      <c r="D93" s="1339" t="s">
        <v>21</v>
      </c>
      <c r="E93" s="1339"/>
      <c r="F93" s="1809" t="s">
        <v>78</v>
      </c>
      <c r="G93" s="914"/>
      <c r="H93" s="202"/>
      <c r="I93" s="1355"/>
      <c r="J93" s="862" t="s">
        <v>15</v>
      </c>
      <c r="K93" s="632">
        <v>55.9</v>
      </c>
      <c r="L93" s="351"/>
      <c r="M93" s="446"/>
      <c r="N93" s="440"/>
      <c r="O93" s="500" t="s">
        <v>124</v>
      </c>
      <c r="P93" s="1358">
        <v>25</v>
      </c>
      <c r="Q93" s="830"/>
      <c r="R93" s="34"/>
      <c r="S93" s="13"/>
      <c r="T93" s="57"/>
    </row>
    <row r="94" spans="1:20" ht="15.75" customHeight="1" thickBot="1" x14ac:dyDescent="0.25">
      <c r="A94" s="212"/>
      <c r="B94" s="213"/>
      <c r="C94" s="214"/>
      <c r="D94" s="287"/>
      <c r="E94" s="287"/>
      <c r="F94" s="1811"/>
      <c r="G94" s="415"/>
      <c r="H94" s="215"/>
      <c r="I94" s="1311"/>
      <c r="J94" s="606" t="s">
        <v>16</v>
      </c>
      <c r="K94" s="571">
        <f>SUM(K89:K93)</f>
        <v>1250.6000000000001</v>
      </c>
      <c r="L94" s="35">
        <f>SUM(L89:L92)</f>
        <v>1064.6000000000001</v>
      </c>
      <c r="M94" s="62">
        <f>SUM(M89:M92)</f>
        <v>1074.4000000000001</v>
      </c>
      <c r="N94" s="226">
        <f>SUM(N89:N92)</f>
        <v>1084.4000000000001</v>
      </c>
      <c r="O94" s="1332"/>
      <c r="P94" s="1354"/>
      <c r="Q94" s="110"/>
      <c r="R94" s="91"/>
      <c r="S94" s="43"/>
      <c r="T94" s="57"/>
    </row>
    <row r="95" spans="1:20" ht="31.5" customHeight="1" x14ac:dyDescent="0.2">
      <c r="A95" s="234" t="s">
        <v>14</v>
      </c>
      <c r="B95" s="209" t="s">
        <v>14</v>
      </c>
      <c r="C95" s="210" t="s">
        <v>19</v>
      </c>
      <c r="D95" s="284"/>
      <c r="E95" s="284"/>
      <c r="F95" s="1797" t="s">
        <v>61</v>
      </c>
      <c r="G95" s="416"/>
      <c r="H95" s="201">
        <v>1</v>
      </c>
      <c r="I95" s="2047" t="s">
        <v>261</v>
      </c>
      <c r="J95" s="913" t="s">
        <v>15</v>
      </c>
      <c r="K95" s="594">
        <v>3.9</v>
      </c>
      <c r="L95" s="319">
        <v>3.9</v>
      </c>
      <c r="M95" s="318">
        <v>3.9</v>
      </c>
      <c r="N95" s="367"/>
      <c r="O95" s="77" t="s">
        <v>109</v>
      </c>
      <c r="P95" s="124">
        <v>10</v>
      </c>
      <c r="Q95" s="124">
        <v>10</v>
      </c>
      <c r="R95" s="125">
        <v>10</v>
      </c>
      <c r="S95" s="194"/>
      <c r="T95" s="57"/>
    </row>
    <row r="96" spans="1:20" ht="15" customHeight="1" thickBot="1" x14ac:dyDescent="0.25">
      <c r="A96" s="216"/>
      <c r="B96" s="204"/>
      <c r="C96" s="214"/>
      <c r="D96" s="287"/>
      <c r="E96" s="287"/>
      <c r="F96" s="1798"/>
      <c r="G96" s="415"/>
      <c r="H96" s="217"/>
      <c r="I96" s="2048"/>
      <c r="J96" s="606" t="s">
        <v>16</v>
      </c>
      <c r="K96" s="571">
        <f t="shared" ref="K96:N96" si="2">K95</f>
        <v>3.9</v>
      </c>
      <c r="L96" s="132">
        <f t="shared" si="2"/>
        <v>3.9</v>
      </c>
      <c r="M96" s="62">
        <f t="shared" si="2"/>
        <v>3.9</v>
      </c>
      <c r="N96" s="226">
        <f t="shared" si="2"/>
        <v>0</v>
      </c>
      <c r="O96" s="21" t="s">
        <v>102</v>
      </c>
      <c r="P96" s="830">
        <v>860</v>
      </c>
      <c r="Q96" s="142">
        <v>860</v>
      </c>
      <c r="R96" s="36">
        <v>860</v>
      </c>
      <c r="S96" s="37">
        <v>860</v>
      </c>
      <c r="T96" s="57"/>
    </row>
    <row r="97" spans="1:23" ht="18.75" customHeight="1" x14ac:dyDescent="0.2">
      <c r="A97" s="172" t="s">
        <v>14</v>
      </c>
      <c r="B97" s="209" t="s">
        <v>14</v>
      </c>
      <c r="C97" s="210" t="s">
        <v>21</v>
      </c>
      <c r="D97" s="284"/>
      <c r="E97" s="284"/>
      <c r="F97" s="1829" t="s">
        <v>113</v>
      </c>
      <c r="G97" s="414"/>
      <c r="H97" s="218">
        <v>2</v>
      </c>
      <c r="I97" s="2024" t="s">
        <v>286</v>
      </c>
      <c r="J97" s="321" t="s">
        <v>15</v>
      </c>
      <c r="K97" s="594">
        <v>17.8</v>
      </c>
      <c r="L97" s="353">
        <v>23.4</v>
      </c>
      <c r="M97" s="426">
        <v>23.4</v>
      </c>
      <c r="N97" s="428">
        <v>23.4</v>
      </c>
      <c r="O97" s="1830" t="s">
        <v>125</v>
      </c>
      <c r="P97" s="1012">
        <v>39</v>
      </c>
      <c r="Q97" s="7">
        <v>39</v>
      </c>
      <c r="R97" s="590">
        <v>39</v>
      </c>
      <c r="S97" s="239">
        <v>39</v>
      </c>
      <c r="T97" s="57"/>
      <c r="U97" s="1832"/>
      <c r="V97" s="1832"/>
    </row>
    <row r="98" spans="1:23" ht="18.75" customHeight="1" thickBot="1" x14ac:dyDescent="0.25">
      <c r="A98" s="212"/>
      <c r="B98" s="213"/>
      <c r="C98" s="214"/>
      <c r="D98" s="287"/>
      <c r="E98" s="287"/>
      <c r="F98" s="1811"/>
      <c r="G98" s="415"/>
      <c r="H98" s="215"/>
      <c r="I98" s="2011"/>
      <c r="J98" s="606" t="s">
        <v>16</v>
      </c>
      <c r="K98" s="571">
        <f>SUM(K97)</f>
        <v>17.8</v>
      </c>
      <c r="L98" s="35">
        <f t="shared" ref="L98:N98" si="3">SUM(L97)</f>
        <v>23.4</v>
      </c>
      <c r="M98" s="62">
        <f t="shared" si="3"/>
        <v>23.4</v>
      </c>
      <c r="N98" s="226">
        <f t="shared" si="3"/>
        <v>23.4</v>
      </c>
      <c r="O98" s="1831"/>
      <c r="P98" s="917"/>
      <c r="Q98" s="451"/>
      <c r="R98" s="591"/>
      <c r="S98" s="374"/>
    </row>
    <row r="99" spans="1:23" ht="44.25" customHeight="1" x14ac:dyDescent="0.2">
      <c r="A99" s="172" t="s">
        <v>14</v>
      </c>
      <c r="B99" s="209" t="s">
        <v>14</v>
      </c>
      <c r="C99" s="210" t="s">
        <v>22</v>
      </c>
      <c r="D99" s="284"/>
      <c r="E99" s="284"/>
      <c r="F99" s="1829" t="s">
        <v>110</v>
      </c>
      <c r="G99" s="414" t="s">
        <v>46</v>
      </c>
      <c r="H99" s="218">
        <v>2</v>
      </c>
      <c r="I99" s="1310" t="s">
        <v>286</v>
      </c>
      <c r="J99" s="321" t="s">
        <v>15</v>
      </c>
      <c r="K99" s="630">
        <v>60.5</v>
      </c>
      <c r="L99" s="352">
        <v>105.6</v>
      </c>
      <c r="M99" s="339">
        <v>155.80000000000001</v>
      </c>
      <c r="N99" s="340">
        <v>126</v>
      </c>
      <c r="O99" s="502" t="s">
        <v>81</v>
      </c>
      <c r="P99" s="402">
        <v>7800</v>
      </c>
      <c r="Q99" s="221">
        <v>7800</v>
      </c>
      <c r="R99" s="220">
        <v>7800</v>
      </c>
      <c r="S99" s="194">
        <v>7800</v>
      </c>
      <c r="U99" s="1832"/>
      <c r="V99" s="1832"/>
    </row>
    <row r="100" spans="1:23" ht="15.75" customHeight="1" x14ac:dyDescent="0.2">
      <c r="A100" s="185"/>
      <c r="B100" s="199"/>
      <c r="C100" s="200"/>
      <c r="D100" s="285"/>
      <c r="E100" s="285"/>
      <c r="F100" s="1810"/>
      <c r="G100" s="416"/>
      <c r="H100" s="202"/>
      <c r="I100" s="1355"/>
      <c r="J100" s="862"/>
      <c r="K100" s="633"/>
      <c r="L100" s="349"/>
      <c r="M100" s="223"/>
      <c r="N100" s="429"/>
      <c r="O100" s="1812" t="s">
        <v>210</v>
      </c>
      <c r="P100" s="1358">
        <v>3</v>
      </c>
      <c r="Q100" s="830"/>
      <c r="R100" s="315"/>
      <c r="S100" s="13"/>
    </row>
    <row r="101" spans="1:23" ht="15.75" customHeight="1" thickBot="1" x14ac:dyDescent="0.25">
      <c r="A101" s="212"/>
      <c r="B101" s="213"/>
      <c r="C101" s="214"/>
      <c r="D101" s="287"/>
      <c r="E101" s="287"/>
      <c r="F101" s="1811"/>
      <c r="G101" s="415"/>
      <c r="H101" s="215"/>
      <c r="I101" s="1311"/>
      <c r="J101" s="606" t="s">
        <v>16</v>
      </c>
      <c r="K101" s="571">
        <f>SUM(K99:K100)</f>
        <v>60.5</v>
      </c>
      <c r="L101" s="35">
        <f t="shared" ref="L101:N101" si="4">SUM(L99:L100)</f>
        <v>105.6</v>
      </c>
      <c r="M101" s="62">
        <f t="shared" si="4"/>
        <v>155.80000000000001</v>
      </c>
      <c r="N101" s="226">
        <f t="shared" si="4"/>
        <v>126</v>
      </c>
      <c r="O101" s="1813"/>
      <c r="P101" s="1354"/>
      <c r="Q101" s="110"/>
      <c r="R101" s="264"/>
      <c r="S101" s="43"/>
    </row>
    <row r="102" spans="1:23" ht="18.75" customHeight="1" x14ac:dyDescent="0.2">
      <c r="A102" s="172" t="s">
        <v>14</v>
      </c>
      <c r="B102" s="209" t="s">
        <v>14</v>
      </c>
      <c r="C102" s="210" t="s">
        <v>85</v>
      </c>
      <c r="D102" s="284"/>
      <c r="E102" s="284"/>
      <c r="F102" s="1829" t="s">
        <v>119</v>
      </c>
      <c r="G102" s="414"/>
      <c r="H102" s="218">
        <v>2</v>
      </c>
      <c r="I102" s="2024" t="s">
        <v>286</v>
      </c>
      <c r="J102" s="321" t="s">
        <v>15</v>
      </c>
      <c r="K102" s="641">
        <v>5.7</v>
      </c>
      <c r="L102" s="438">
        <v>5.7</v>
      </c>
      <c r="M102" s="89">
        <v>5.7</v>
      </c>
      <c r="N102" s="340">
        <v>5.7</v>
      </c>
      <c r="O102" s="984" t="s">
        <v>100</v>
      </c>
      <c r="P102" s="1353">
        <v>89</v>
      </c>
      <c r="Q102" s="124">
        <v>92</v>
      </c>
      <c r="R102" s="125">
        <v>92</v>
      </c>
      <c r="S102" s="126">
        <v>92</v>
      </c>
    </row>
    <row r="103" spans="1:23" ht="16.5" customHeight="1" thickBot="1" x14ac:dyDescent="0.25">
      <c r="A103" s="212"/>
      <c r="B103" s="213"/>
      <c r="C103" s="214"/>
      <c r="D103" s="287"/>
      <c r="E103" s="287"/>
      <c r="F103" s="1811"/>
      <c r="G103" s="415"/>
      <c r="H103" s="215"/>
      <c r="I103" s="2011"/>
      <c r="J103" s="606" t="s">
        <v>16</v>
      </c>
      <c r="K103" s="571">
        <f>SUM(K102)</f>
        <v>5.7</v>
      </c>
      <c r="L103" s="35">
        <f t="shared" ref="L103:N103" si="5">SUM(L102)</f>
        <v>5.7</v>
      </c>
      <c r="M103" s="62">
        <f t="shared" si="5"/>
        <v>5.7</v>
      </c>
      <c r="N103" s="226">
        <f t="shared" si="5"/>
        <v>5.7</v>
      </c>
      <c r="O103" s="1332"/>
      <c r="P103" s="1354"/>
      <c r="Q103" s="110"/>
      <c r="R103" s="91"/>
      <c r="S103" s="43"/>
    </row>
    <row r="104" spans="1:23" ht="28.5" customHeight="1" x14ac:dyDescent="0.2">
      <c r="A104" s="172"/>
      <c r="B104" s="209"/>
      <c r="C104" s="210"/>
      <c r="D104" s="284"/>
      <c r="E104" s="284"/>
      <c r="F104" s="1829" t="s">
        <v>274</v>
      </c>
      <c r="G104" s="414"/>
      <c r="H104" s="227">
        <v>1</v>
      </c>
      <c r="I104" s="2025" t="s">
        <v>173</v>
      </c>
      <c r="J104" s="986" t="s">
        <v>15</v>
      </c>
      <c r="K104" s="594">
        <v>1.5</v>
      </c>
      <c r="L104" s="686"/>
      <c r="M104" s="676"/>
      <c r="N104" s="673"/>
      <c r="O104" s="317" t="s">
        <v>257</v>
      </c>
      <c r="P104" s="1353">
        <v>1</v>
      </c>
      <c r="Q104" s="687"/>
      <c r="R104" s="125"/>
      <c r="S104" s="126"/>
      <c r="U104" s="1801"/>
      <c r="V104" s="1801"/>
      <c r="W104" s="1801"/>
    </row>
    <row r="105" spans="1:23" ht="16.5" customHeight="1" thickBot="1" x14ac:dyDescent="0.25">
      <c r="A105" s="212"/>
      <c r="B105" s="213"/>
      <c r="C105" s="214"/>
      <c r="D105" s="287"/>
      <c r="E105" s="287"/>
      <c r="F105" s="1811"/>
      <c r="G105" s="415"/>
      <c r="H105" s="217"/>
      <c r="I105" s="2026"/>
      <c r="J105" s="606" t="s">
        <v>16</v>
      </c>
      <c r="K105" s="571">
        <f>+K104</f>
        <v>1.5</v>
      </c>
      <c r="L105" s="35">
        <f>+L104</f>
        <v>0</v>
      </c>
      <c r="M105" s="62">
        <f>+M104</f>
        <v>0</v>
      </c>
      <c r="N105" s="226">
        <f>+N104</f>
        <v>0</v>
      </c>
      <c r="O105" s="808" t="s">
        <v>275</v>
      </c>
      <c r="P105" s="507"/>
      <c r="Q105" s="109"/>
      <c r="R105" s="36"/>
      <c r="S105" s="37"/>
    </row>
    <row r="106" spans="1:23" ht="13.5" customHeight="1" thickBot="1" x14ac:dyDescent="0.25">
      <c r="A106" s="229" t="s">
        <v>14</v>
      </c>
      <c r="B106" s="230" t="s">
        <v>14</v>
      </c>
      <c r="C106" s="1843" t="s">
        <v>20</v>
      </c>
      <c r="D106" s="1844"/>
      <c r="E106" s="1844"/>
      <c r="F106" s="1844"/>
      <c r="G106" s="1844"/>
      <c r="H106" s="1844"/>
      <c r="I106" s="1844"/>
      <c r="J106" s="2015"/>
      <c r="K106" s="343">
        <f>K87+K94+K98+K101+K103+K105+K96</f>
        <v>80609.000000000015</v>
      </c>
      <c r="L106" s="343">
        <f>L87+L94+L98+L101+L103+L105+L96</f>
        <v>91839.10000000002</v>
      </c>
      <c r="M106" s="344">
        <f>M87+M94+M98+M101+M103+M105+M96</f>
        <v>89990.5</v>
      </c>
      <c r="N106" s="345">
        <f>N87+N94+N98+N101+N103+N105+N96</f>
        <v>89816.6</v>
      </c>
      <c r="O106" s="231"/>
      <c r="P106" s="232"/>
      <c r="Q106" s="232"/>
      <c r="R106" s="232"/>
      <c r="S106" s="233"/>
    </row>
    <row r="107" spans="1:23" ht="15.75" customHeight="1" thickBot="1" x14ac:dyDescent="0.25">
      <c r="A107" s="229" t="s">
        <v>14</v>
      </c>
      <c r="B107" s="1845" t="s">
        <v>6</v>
      </c>
      <c r="C107" s="1846"/>
      <c r="D107" s="1846"/>
      <c r="E107" s="1846"/>
      <c r="F107" s="1846"/>
      <c r="G107" s="1846"/>
      <c r="H107" s="1846"/>
      <c r="I107" s="1846"/>
      <c r="J107" s="2016"/>
      <c r="K107" s="346">
        <f>K106</f>
        <v>80609.000000000015</v>
      </c>
      <c r="L107" s="346">
        <f>L106</f>
        <v>91839.10000000002</v>
      </c>
      <c r="M107" s="347">
        <f t="shared" ref="M107:N107" si="6">M106</f>
        <v>89990.5</v>
      </c>
      <c r="N107" s="439">
        <f t="shared" si="6"/>
        <v>89816.6</v>
      </c>
      <c r="O107" s="160"/>
      <c r="P107" s="160"/>
      <c r="Q107" s="160"/>
      <c r="R107" s="160"/>
      <c r="S107" s="161"/>
    </row>
    <row r="108" spans="1:23" ht="15.75" customHeight="1" thickBot="1" x14ac:dyDescent="0.25">
      <c r="A108" s="234" t="s">
        <v>17</v>
      </c>
      <c r="B108" s="1847" t="s">
        <v>36</v>
      </c>
      <c r="C108" s="1848"/>
      <c r="D108" s="1848"/>
      <c r="E108" s="1848"/>
      <c r="F108" s="1848"/>
      <c r="G108" s="1848"/>
      <c r="H108" s="1848"/>
      <c r="I108" s="1848"/>
      <c r="J108" s="1848"/>
      <c r="K108" s="1848"/>
      <c r="L108" s="1848"/>
      <c r="M108" s="1848"/>
      <c r="N108" s="1848"/>
      <c r="O108" s="1848"/>
      <c r="P108" s="1848"/>
      <c r="Q108" s="1848"/>
      <c r="R108" s="1848"/>
      <c r="S108" s="1849"/>
    </row>
    <row r="109" spans="1:23" ht="15.75" customHeight="1" thickBot="1" x14ac:dyDescent="0.25">
      <c r="A109" s="235" t="s">
        <v>17</v>
      </c>
      <c r="B109" s="236" t="s">
        <v>14</v>
      </c>
      <c r="C109" s="1850" t="s">
        <v>32</v>
      </c>
      <c r="D109" s="1851"/>
      <c r="E109" s="1851"/>
      <c r="F109" s="1851"/>
      <c r="G109" s="1851"/>
      <c r="H109" s="1851"/>
      <c r="I109" s="1851"/>
      <c r="J109" s="1851"/>
      <c r="K109" s="1851"/>
      <c r="L109" s="1851"/>
      <c r="M109" s="1851"/>
      <c r="N109" s="1851"/>
      <c r="O109" s="1852"/>
      <c r="P109" s="1852"/>
      <c r="Q109" s="1852"/>
      <c r="R109" s="1852"/>
      <c r="S109" s="1853"/>
    </row>
    <row r="110" spans="1:23" s="9" customFormat="1" ht="27.75" customHeight="1" x14ac:dyDescent="0.2">
      <c r="A110" s="1817" t="s">
        <v>17</v>
      </c>
      <c r="B110" s="1820" t="s">
        <v>14</v>
      </c>
      <c r="C110" s="1823" t="s">
        <v>14</v>
      </c>
      <c r="D110" s="288"/>
      <c r="E110" s="288"/>
      <c r="F110" s="2027" t="s">
        <v>174</v>
      </c>
      <c r="G110" s="2029" t="s">
        <v>262</v>
      </c>
      <c r="H110" s="380">
        <v>5</v>
      </c>
      <c r="I110" s="983" t="s">
        <v>288</v>
      </c>
      <c r="J110" s="983" t="s">
        <v>15</v>
      </c>
      <c r="K110" s="333">
        <v>218.6</v>
      </c>
      <c r="L110" s="322"/>
      <c r="M110" s="323"/>
      <c r="N110" s="324"/>
      <c r="O110" s="1972" t="s">
        <v>260</v>
      </c>
      <c r="P110" s="983">
        <v>6</v>
      </c>
      <c r="Q110" s="149">
        <v>6</v>
      </c>
      <c r="R110" s="143">
        <v>6</v>
      </c>
      <c r="S110" s="151">
        <v>6</v>
      </c>
    </row>
    <row r="111" spans="1:23" s="9" customFormat="1" ht="27.75" customHeight="1" x14ac:dyDescent="0.2">
      <c r="A111" s="1818"/>
      <c r="B111" s="1821"/>
      <c r="C111" s="1824"/>
      <c r="D111" s="378"/>
      <c r="E111" s="378"/>
      <c r="F111" s="2005"/>
      <c r="G111" s="2030"/>
      <c r="H111" s="380"/>
      <c r="I111" s="1316"/>
      <c r="J111" s="390" t="s">
        <v>87</v>
      </c>
      <c r="K111" s="96"/>
      <c r="L111" s="96">
        <v>218.6</v>
      </c>
      <c r="M111" s="84"/>
      <c r="N111" s="325"/>
      <c r="O111" s="1908"/>
      <c r="P111" s="1329"/>
      <c r="Q111" s="146"/>
      <c r="R111" s="32"/>
      <c r="S111" s="1007"/>
    </row>
    <row r="112" spans="1:23" s="9" customFormat="1" ht="30" customHeight="1" x14ac:dyDescent="0.2">
      <c r="A112" s="1818"/>
      <c r="B112" s="1821"/>
      <c r="C112" s="1824"/>
      <c r="D112" s="378"/>
      <c r="E112" s="378"/>
      <c r="F112" s="2005"/>
      <c r="G112" s="2030"/>
      <c r="H112" s="380">
        <v>1</v>
      </c>
      <c r="I112" s="390" t="s">
        <v>287</v>
      </c>
      <c r="J112" s="390" t="s">
        <v>15</v>
      </c>
      <c r="K112" s="96"/>
      <c r="L112" s="96">
        <v>35.9</v>
      </c>
      <c r="M112" s="84">
        <v>71.7</v>
      </c>
      <c r="N112" s="325">
        <v>71.7</v>
      </c>
      <c r="O112" s="737" t="s">
        <v>281</v>
      </c>
      <c r="P112" s="1316"/>
      <c r="Q112" s="858">
        <v>2</v>
      </c>
      <c r="R112" s="29">
        <v>2</v>
      </c>
      <c r="S112" s="634">
        <v>2</v>
      </c>
    </row>
    <row r="113" spans="1:25" s="9" customFormat="1" ht="16.5" customHeight="1" x14ac:dyDescent="0.2">
      <c r="A113" s="1818"/>
      <c r="B113" s="1821"/>
      <c r="C113" s="1824"/>
      <c r="D113" s="378"/>
      <c r="E113" s="378"/>
      <c r="F113" s="2005"/>
      <c r="G113" s="2030"/>
      <c r="H113" s="380">
        <v>2</v>
      </c>
      <c r="I113" s="1990" t="s">
        <v>286</v>
      </c>
      <c r="J113" s="390" t="s">
        <v>15</v>
      </c>
      <c r="K113" s="96"/>
      <c r="L113" s="53">
        <v>23</v>
      </c>
      <c r="M113" s="84"/>
      <c r="N113" s="325"/>
      <c r="O113" s="1906" t="s">
        <v>111</v>
      </c>
      <c r="P113" s="1990"/>
      <c r="Q113" s="2018">
        <v>390</v>
      </c>
      <c r="R113" s="2020"/>
      <c r="S113" s="2022"/>
    </row>
    <row r="114" spans="1:25" s="9" customFormat="1" ht="15.75" customHeight="1" thickBot="1" x14ac:dyDescent="0.25">
      <c r="A114" s="1819"/>
      <c r="B114" s="1822"/>
      <c r="C114" s="1825"/>
      <c r="D114" s="289"/>
      <c r="E114" s="289"/>
      <c r="F114" s="2028"/>
      <c r="G114" s="2031"/>
      <c r="H114" s="379"/>
      <c r="I114" s="2017"/>
      <c r="J114" s="391" t="s">
        <v>16</v>
      </c>
      <c r="K114" s="320">
        <f>SUM(K110:K113)</f>
        <v>218.6</v>
      </c>
      <c r="L114" s="320">
        <f>SUM(L110:L113)</f>
        <v>277.5</v>
      </c>
      <c r="M114" s="423">
        <f t="shared" ref="M114:N114" si="7">SUM(M110:M113)</f>
        <v>71.7</v>
      </c>
      <c r="N114" s="430">
        <f t="shared" si="7"/>
        <v>71.7</v>
      </c>
      <c r="O114" s="2070"/>
      <c r="P114" s="2017"/>
      <c r="Q114" s="2019"/>
      <c r="R114" s="2021"/>
      <c r="S114" s="2023"/>
    </row>
    <row r="115" spans="1:25" ht="32.25" customHeight="1" x14ac:dyDescent="0.2">
      <c r="A115" s="234" t="s">
        <v>17</v>
      </c>
      <c r="B115" s="209" t="s">
        <v>14</v>
      </c>
      <c r="C115" s="210" t="s">
        <v>17</v>
      </c>
      <c r="D115" s="290"/>
      <c r="E115" s="290"/>
      <c r="F115" s="869" t="s">
        <v>294</v>
      </c>
      <c r="G115" s="238" t="s">
        <v>2</v>
      </c>
      <c r="H115" s="211">
        <v>5</v>
      </c>
      <c r="I115" s="2040"/>
      <c r="J115" s="463"/>
      <c r="K115" s="593"/>
      <c r="L115" s="341"/>
      <c r="M115" s="339"/>
      <c r="N115" s="340"/>
      <c r="O115" s="1012"/>
      <c r="P115" s="918"/>
      <c r="Q115" s="536"/>
      <c r="S115" s="1009"/>
      <c r="T115" s="240"/>
    </row>
    <row r="116" spans="1:25" s="882" customFormat="1" ht="43.5" customHeight="1" x14ac:dyDescent="0.2">
      <c r="A116" s="870"/>
      <c r="B116" s="871"/>
      <c r="C116" s="872"/>
      <c r="D116" s="898" t="s">
        <v>14</v>
      </c>
      <c r="E116" s="883"/>
      <c r="F116" s="884" t="s">
        <v>126</v>
      </c>
      <c r="G116" s="874"/>
      <c r="H116" s="875"/>
      <c r="I116" s="1992"/>
      <c r="J116" s="1013"/>
      <c r="K116" s="1026"/>
      <c r="L116" s="387"/>
      <c r="M116" s="876"/>
      <c r="N116" s="904"/>
      <c r="O116" s="457"/>
      <c r="P116" s="877"/>
      <c r="Q116" s="878"/>
      <c r="R116" s="879"/>
      <c r="S116" s="880"/>
      <c r="T116" s="881"/>
    </row>
    <row r="117" spans="1:25" ht="16.5" customHeight="1" x14ac:dyDescent="0.2">
      <c r="A117" s="198"/>
      <c r="B117" s="199"/>
      <c r="C117" s="200"/>
      <c r="D117" s="1338"/>
      <c r="E117" s="1339" t="s">
        <v>14</v>
      </c>
      <c r="F117" s="2004" t="s">
        <v>178</v>
      </c>
      <c r="G117" s="1325" t="s">
        <v>262</v>
      </c>
      <c r="H117" s="238"/>
      <c r="I117" s="1991" t="s">
        <v>197</v>
      </c>
      <c r="J117" s="1014" t="s">
        <v>15</v>
      </c>
      <c r="K117" s="1027">
        <v>62.8</v>
      </c>
      <c r="L117" s="406">
        <v>60.1</v>
      </c>
      <c r="M117" s="276"/>
      <c r="N117" s="277"/>
      <c r="O117" s="1964" t="s">
        <v>90</v>
      </c>
      <c r="P117" s="1321">
        <v>5</v>
      </c>
      <c r="Q117" s="546">
        <v>2</v>
      </c>
      <c r="R117" s="699"/>
      <c r="S117" s="534"/>
      <c r="T117" s="278"/>
      <c r="U117" s="1841"/>
      <c r="V117" s="1841"/>
    </row>
    <row r="118" spans="1:25" ht="16.5" customHeight="1" x14ac:dyDescent="0.2">
      <c r="A118" s="198"/>
      <c r="B118" s="199"/>
      <c r="C118" s="200"/>
      <c r="D118" s="1338"/>
      <c r="E118" s="1338"/>
      <c r="F118" s="2005"/>
      <c r="G118" s="1342"/>
      <c r="H118" s="189"/>
      <c r="I118" s="1992"/>
      <c r="J118" s="1015" t="s">
        <v>87</v>
      </c>
      <c r="K118" s="1028">
        <v>84.5</v>
      </c>
      <c r="L118" s="469">
        <v>23.9</v>
      </c>
      <c r="M118" s="276"/>
      <c r="N118" s="277"/>
      <c r="O118" s="1969"/>
      <c r="P118" s="1323"/>
      <c r="Q118" s="537"/>
      <c r="R118" s="521"/>
      <c r="S118" s="529"/>
      <c r="T118" s="278"/>
    </row>
    <row r="119" spans="1:25" ht="15" customHeight="1" x14ac:dyDescent="0.2">
      <c r="A119" s="198"/>
      <c r="B119" s="199"/>
      <c r="C119" s="200"/>
      <c r="D119" s="1338"/>
      <c r="E119" s="1338"/>
      <c r="F119" s="2005"/>
      <c r="G119" s="1342"/>
      <c r="H119" s="189"/>
      <c r="I119" s="1992"/>
      <c r="J119" s="1016" t="s">
        <v>89</v>
      </c>
      <c r="K119" s="1028">
        <v>613.5</v>
      </c>
      <c r="L119" s="269">
        <v>558.4</v>
      </c>
      <c r="M119" s="458"/>
      <c r="N119" s="277"/>
      <c r="O119" s="1964" t="s">
        <v>127</v>
      </c>
      <c r="P119" s="1322">
        <v>5</v>
      </c>
      <c r="Q119" s="513">
        <v>2</v>
      </c>
      <c r="R119" s="522"/>
      <c r="S119" s="530"/>
      <c r="T119" s="278"/>
    </row>
    <row r="120" spans="1:25" ht="15" customHeight="1" x14ac:dyDescent="0.2">
      <c r="A120" s="198"/>
      <c r="B120" s="199"/>
      <c r="C120" s="200"/>
      <c r="D120" s="1338"/>
      <c r="E120" s="1338"/>
      <c r="F120" s="2005"/>
      <c r="G120" s="1342"/>
      <c r="H120" s="189"/>
      <c r="I120" s="1324"/>
      <c r="J120" s="1015" t="s">
        <v>221</v>
      </c>
      <c r="K120" s="1028">
        <v>8.1</v>
      </c>
      <c r="L120" s="269">
        <v>41.3</v>
      </c>
      <c r="M120" s="458"/>
      <c r="N120" s="277"/>
      <c r="O120" s="1965"/>
      <c r="P120" s="1316"/>
      <c r="Q120" s="858"/>
      <c r="R120" s="989"/>
      <c r="S120" s="1005"/>
      <c r="T120" s="278"/>
    </row>
    <row r="121" spans="1:25" ht="15" customHeight="1" x14ac:dyDescent="0.2">
      <c r="A121" s="198"/>
      <c r="B121" s="199"/>
      <c r="C121" s="200"/>
      <c r="D121" s="1338"/>
      <c r="E121" s="1338"/>
      <c r="F121" s="2005"/>
      <c r="G121" s="1342"/>
      <c r="H121" s="189"/>
      <c r="I121" s="1324"/>
      <c r="J121" s="1016" t="s">
        <v>18</v>
      </c>
      <c r="K121" s="1027">
        <v>54.1</v>
      </c>
      <c r="L121" s="270">
        <v>49.3</v>
      </c>
      <c r="M121" s="400"/>
      <c r="N121" s="41"/>
      <c r="O121" s="1284"/>
      <c r="P121" s="1316"/>
      <c r="Q121" s="981"/>
      <c r="R121" s="11"/>
      <c r="S121" s="1005"/>
      <c r="T121" s="278"/>
    </row>
    <row r="122" spans="1:25" ht="15" customHeight="1" x14ac:dyDescent="0.2">
      <c r="A122" s="198"/>
      <c r="B122" s="199"/>
      <c r="C122" s="200"/>
      <c r="D122" s="1338"/>
      <c r="E122" s="1338"/>
      <c r="F122" s="1264"/>
      <c r="G122" s="243"/>
      <c r="H122" s="189"/>
      <c r="I122" s="1324"/>
      <c r="J122" s="1015" t="s">
        <v>3</v>
      </c>
      <c r="K122" s="1028"/>
      <c r="L122" s="469">
        <v>45.5</v>
      </c>
      <c r="M122" s="276"/>
      <c r="N122" s="277"/>
      <c r="O122" s="1284"/>
      <c r="P122" s="1316"/>
      <c r="Q122" s="981"/>
      <c r="R122" s="11"/>
      <c r="S122" s="1005"/>
      <c r="T122" s="278"/>
    </row>
    <row r="123" spans="1:25" ht="15" customHeight="1" x14ac:dyDescent="0.2">
      <c r="A123" s="198"/>
      <c r="B123" s="199"/>
      <c r="C123" s="200"/>
      <c r="D123" s="1338"/>
      <c r="E123" s="1338"/>
      <c r="F123" s="1264"/>
      <c r="G123" s="243"/>
      <c r="H123" s="189"/>
      <c r="I123" s="1324"/>
      <c r="J123" s="1015" t="s">
        <v>222</v>
      </c>
      <c r="K123" s="1028">
        <v>0.7</v>
      </c>
      <c r="L123" s="444">
        <v>3.6</v>
      </c>
      <c r="M123" s="266"/>
      <c r="N123" s="277"/>
      <c r="O123" s="1286"/>
      <c r="P123" s="1316"/>
      <c r="Q123" s="981"/>
      <c r="R123" s="923"/>
      <c r="S123" s="1005"/>
      <c r="T123" s="278"/>
    </row>
    <row r="124" spans="1:25" ht="18.75" customHeight="1" x14ac:dyDescent="0.2">
      <c r="A124" s="198"/>
      <c r="B124" s="199"/>
      <c r="C124" s="200"/>
      <c r="D124" s="1338"/>
      <c r="E124" s="1339" t="s">
        <v>17</v>
      </c>
      <c r="F124" s="2004" t="s">
        <v>226</v>
      </c>
      <c r="G124" s="797" t="s">
        <v>262</v>
      </c>
      <c r="H124" s="201"/>
      <c r="I124" s="1990" t="s">
        <v>289</v>
      </c>
      <c r="J124" s="1017" t="s">
        <v>15</v>
      </c>
      <c r="K124" s="1029">
        <v>410.6</v>
      </c>
      <c r="L124" s="510">
        <v>263.89999999999998</v>
      </c>
      <c r="M124" s="467">
        <f>3126.5+2000+145.7+125.8-1000+20</f>
        <v>4418</v>
      </c>
      <c r="N124" s="393">
        <v>1110</v>
      </c>
      <c r="O124" s="901" t="s">
        <v>57</v>
      </c>
      <c r="P124" s="553">
        <v>5</v>
      </c>
      <c r="Q124" s="544">
        <v>35</v>
      </c>
      <c r="R124" s="695">
        <v>100</v>
      </c>
      <c r="S124" s="533"/>
      <c r="T124" s="278"/>
      <c r="U124" s="1841"/>
      <c r="V124" s="1841"/>
      <c r="W124" s="1841"/>
      <c r="X124" s="1841"/>
      <c r="Y124" s="1841"/>
    </row>
    <row r="125" spans="1:25" ht="18.75" customHeight="1" x14ac:dyDescent="0.2">
      <c r="A125" s="198"/>
      <c r="B125" s="199"/>
      <c r="C125" s="200"/>
      <c r="D125" s="1338"/>
      <c r="E125" s="1338"/>
      <c r="F125" s="2005"/>
      <c r="G125" s="853"/>
      <c r="H125" s="201"/>
      <c r="I125" s="1987"/>
      <c r="J125" s="1017" t="s">
        <v>87</v>
      </c>
      <c r="K125" s="1029"/>
      <c r="L125" s="510">
        <f>374.6+0.2+2904.6-50-20</f>
        <v>3209.4</v>
      </c>
      <c r="M125" s="376"/>
      <c r="N125" s="511"/>
      <c r="O125" s="586"/>
      <c r="P125" s="549"/>
      <c r="Q125" s="539"/>
      <c r="R125" s="523"/>
      <c r="S125" s="386"/>
      <c r="T125" s="278"/>
      <c r="U125" s="1283"/>
      <c r="V125" s="1283"/>
      <c r="W125" s="1283"/>
      <c r="X125" s="1283"/>
      <c r="Y125" s="1283"/>
    </row>
    <row r="126" spans="1:25" ht="18.75" customHeight="1" x14ac:dyDescent="0.2">
      <c r="A126" s="198"/>
      <c r="B126" s="199"/>
      <c r="C126" s="200"/>
      <c r="D126" s="1338"/>
      <c r="E126" s="1338"/>
      <c r="F126" s="2009"/>
      <c r="G126" s="805"/>
      <c r="H126" s="201"/>
      <c r="I126" s="1988"/>
      <c r="J126" s="1017" t="s">
        <v>155</v>
      </c>
      <c r="K126" s="1029">
        <v>96.2</v>
      </c>
      <c r="L126" s="512"/>
      <c r="M126" s="467">
        <v>2900</v>
      </c>
      <c r="N126" s="377"/>
      <c r="O126" s="902"/>
      <c r="P126" s="556"/>
      <c r="Q126" s="696"/>
      <c r="R126" s="697"/>
      <c r="S126" s="575"/>
      <c r="T126" s="278"/>
    </row>
    <row r="127" spans="1:25" ht="19.5" customHeight="1" x14ac:dyDescent="0.2">
      <c r="A127" s="198"/>
      <c r="B127" s="199"/>
      <c r="C127" s="197"/>
      <c r="D127" s="2049"/>
      <c r="E127" s="2050" t="s">
        <v>19</v>
      </c>
      <c r="F127" s="1773" t="s">
        <v>305</v>
      </c>
      <c r="G127" s="810"/>
      <c r="H127" s="859">
        <v>6</v>
      </c>
      <c r="I127" s="1991" t="s">
        <v>283</v>
      </c>
      <c r="J127" s="547" t="s">
        <v>15</v>
      </c>
      <c r="K127" s="736">
        <f>770.2-11</f>
        <v>759.2</v>
      </c>
      <c r="L127" s="512">
        <f>260.1+100</f>
        <v>360.1</v>
      </c>
      <c r="M127" s="467">
        <f>350-100</f>
        <v>250</v>
      </c>
      <c r="N127" s="377">
        <v>690</v>
      </c>
      <c r="O127" s="381" t="s">
        <v>151</v>
      </c>
      <c r="P127" s="1315">
        <v>3</v>
      </c>
      <c r="Q127" s="1348">
        <v>2</v>
      </c>
      <c r="R127" s="38">
        <v>1</v>
      </c>
      <c r="S127" s="1351">
        <v>1</v>
      </c>
      <c r="T127" s="371"/>
      <c r="U127" s="1858"/>
      <c r="V127" s="1858"/>
      <c r="W127" s="1858"/>
      <c r="X127" s="1858"/>
    </row>
    <row r="128" spans="1:25" ht="21.75" customHeight="1" x14ac:dyDescent="0.2">
      <c r="A128" s="198"/>
      <c r="B128" s="199"/>
      <c r="C128" s="197"/>
      <c r="D128" s="2049"/>
      <c r="E128" s="2049"/>
      <c r="F128" s="1774"/>
      <c r="G128" s="1276"/>
      <c r="H128" s="180"/>
      <c r="I128" s="1992"/>
      <c r="J128" s="777" t="s">
        <v>87</v>
      </c>
      <c r="K128" s="618">
        <v>172.5</v>
      </c>
      <c r="L128" s="96">
        <v>20</v>
      </c>
      <c r="M128" s="819"/>
      <c r="N128" s="905"/>
      <c r="O128" s="1906" t="s">
        <v>141</v>
      </c>
      <c r="P128" s="1315">
        <v>1</v>
      </c>
      <c r="Q128" s="1348">
        <v>1</v>
      </c>
      <c r="R128" s="38"/>
      <c r="S128" s="1351">
        <v>1</v>
      </c>
      <c r="T128" s="240"/>
    </row>
    <row r="129" spans="1:22" ht="15" customHeight="1" x14ac:dyDescent="0.2">
      <c r="A129" s="198"/>
      <c r="B129" s="199"/>
      <c r="C129" s="197"/>
      <c r="D129" s="2049"/>
      <c r="E129" s="2049"/>
      <c r="F129" s="1774"/>
      <c r="G129" s="1276"/>
      <c r="H129" s="180"/>
      <c r="I129" s="1992"/>
      <c r="J129" s="547" t="s">
        <v>292</v>
      </c>
      <c r="K129" s="483"/>
      <c r="L129" s="96">
        <v>89.9</v>
      </c>
      <c r="M129" s="819"/>
      <c r="N129" s="905"/>
      <c r="O129" s="1908"/>
      <c r="P129" s="1316"/>
      <c r="Q129" s="858"/>
      <c r="R129" s="981"/>
      <c r="S129" s="634"/>
      <c r="T129" s="240"/>
    </row>
    <row r="130" spans="1:22" ht="21" customHeight="1" x14ac:dyDescent="0.2">
      <c r="A130" s="198"/>
      <c r="B130" s="199"/>
      <c r="C130" s="184"/>
      <c r="D130" s="1338"/>
      <c r="E130" s="1339" t="s">
        <v>21</v>
      </c>
      <c r="F130" s="1816" t="s">
        <v>129</v>
      </c>
      <c r="G130" s="187"/>
      <c r="H130" s="187"/>
      <c r="I130" s="1992"/>
      <c r="J130" s="38" t="s">
        <v>15</v>
      </c>
      <c r="K130" s="483">
        <v>385</v>
      </c>
      <c r="L130" s="96">
        <v>635.79999999999995</v>
      </c>
      <c r="M130" s="84"/>
      <c r="N130" s="325"/>
      <c r="O130" s="1951" t="s">
        <v>112</v>
      </c>
      <c r="P130" s="811">
        <v>50</v>
      </c>
      <c r="Q130" s="812">
        <v>100</v>
      </c>
      <c r="R130" s="813"/>
      <c r="S130" s="814"/>
      <c r="T130" s="170"/>
    </row>
    <row r="131" spans="1:22" ht="21" customHeight="1" x14ac:dyDescent="0.2">
      <c r="A131" s="198"/>
      <c r="B131" s="199"/>
      <c r="C131" s="184"/>
      <c r="D131" s="1338"/>
      <c r="E131" s="1338"/>
      <c r="F131" s="1803"/>
      <c r="G131" s="187"/>
      <c r="H131" s="187"/>
      <c r="I131" s="1316"/>
      <c r="J131" s="150" t="s">
        <v>87</v>
      </c>
      <c r="K131" s="618">
        <v>130</v>
      </c>
      <c r="L131" s="329">
        <v>264.10000000000002</v>
      </c>
      <c r="M131" s="330"/>
      <c r="N131" s="331"/>
      <c r="O131" s="1952"/>
      <c r="P131" s="815"/>
      <c r="Q131" s="816"/>
      <c r="R131" s="817"/>
      <c r="S131" s="818"/>
      <c r="T131" s="170"/>
    </row>
    <row r="132" spans="1:22" s="111" customFormat="1" ht="29.25" customHeight="1" x14ac:dyDescent="0.2">
      <c r="A132" s="198"/>
      <c r="B132" s="199"/>
      <c r="C132" s="249"/>
      <c r="D132" s="299"/>
      <c r="E132" s="821" t="s">
        <v>22</v>
      </c>
      <c r="F132" s="2004" t="s">
        <v>277</v>
      </c>
      <c r="G132" s="1325" t="s">
        <v>262</v>
      </c>
      <c r="H132" s="187"/>
      <c r="I132" s="737"/>
      <c r="J132" s="38" t="s">
        <v>15</v>
      </c>
      <c r="K132" s="483">
        <v>11.5</v>
      </c>
      <c r="L132" s="78"/>
      <c r="M132" s="334">
        <v>140</v>
      </c>
      <c r="N132" s="938">
        <v>140</v>
      </c>
      <c r="O132" s="1288" t="s">
        <v>56</v>
      </c>
      <c r="P132" s="1315">
        <v>1</v>
      </c>
      <c r="Q132" s="1348">
        <v>1</v>
      </c>
      <c r="R132" s="38"/>
      <c r="S132" s="1351"/>
      <c r="T132" s="989"/>
    </row>
    <row r="133" spans="1:22" s="111" customFormat="1" ht="28.5" customHeight="1" x14ac:dyDescent="0.2">
      <c r="A133" s="198"/>
      <c r="B133" s="199"/>
      <c r="C133" s="249"/>
      <c r="D133" s="299"/>
      <c r="E133" s="310"/>
      <c r="F133" s="2009"/>
      <c r="G133" s="1326"/>
      <c r="H133" s="187"/>
      <c r="I133" s="737"/>
      <c r="J133" s="38" t="s">
        <v>87</v>
      </c>
      <c r="K133" s="483"/>
      <c r="L133" s="78">
        <v>9.5</v>
      </c>
      <c r="M133" s="334"/>
      <c r="N133" s="938"/>
      <c r="O133" s="1288" t="s">
        <v>313</v>
      </c>
      <c r="P133" s="1315"/>
      <c r="Q133" s="1348"/>
      <c r="R133" s="38">
        <v>1</v>
      </c>
      <c r="S133" s="1351">
        <v>1</v>
      </c>
      <c r="T133" s="989"/>
    </row>
    <row r="134" spans="1:22" ht="14.25" customHeight="1" x14ac:dyDescent="0.2">
      <c r="A134" s="198"/>
      <c r="B134" s="199"/>
      <c r="C134" s="200"/>
      <c r="D134" s="1338"/>
      <c r="E134" s="1339" t="s">
        <v>85</v>
      </c>
      <c r="F134" s="2004" t="s">
        <v>296</v>
      </c>
      <c r="G134" s="2052" t="s">
        <v>262</v>
      </c>
      <c r="H134" s="201"/>
      <c r="I134" s="1990" t="s">
        <v>197</v>
      </c>
      <c r="J134" s="1064" t="s">
        <v>15</v>
      </c>
      <c r="K134" s="1027"/>
      <c r="L134" s="444"/>
      <c r="M134" s="407"/>
      <c r="N134" s="441"/>
      <c r="O134" s="1964" t="s">
        <v>52</v>
      </c>
      <c r="P134" s="2076"/>
      <c r="Q134" s="1970">
        <v>1</v>
      </c>
      <c r="R134" s="1038"/>
      <c r="S134" s="534"/>
      <c r="T134" s="156"/>
      <c r="U134" s="1841"/>
      <c r="V134" s="1841"/>
    </row>
    <row r="135" spans="1:22" ht="14.25" customHeight="1" x14ac:dyDescent="0.2">
      <c r="A135" s="198"/>
      <c r="B135" s="199"/>
      <c r="C135" s="200"/>
      <c r="D135" s="1338"/>
      <c r="E135" s="1338"/>
      <c r="F135" s="2005"/>
      <c r="G135" s="2053"/>
      <c r="H135" s="201"/>
      <c r="I135" s="1987"/>
      <c r="J135" s="1018" t="s">
        <v>18</v>
      </c>
      <c r="K135" s="1028"/>
      <c r="L135" s="512">
        <v>120</v>
      </c>
      <c r="M135" s="467"/>
      <c r="N135" s="377"/>
      <c r="O135" s="1965"/>
      <c r="P135" s="2077"/>
      <c r="Q135" s="1971"/>
      <c r="R135" s="1065"/>
      <c r="S135" s="530"/>
      <c r="T135" s="156"/>
      <c r="U135" s="170"/>
    </row>
    <row r="136" spans="1:22" ht="14.25" customHeight="1" x14ac:dyDescent="0.2">
      <c r="A136" s="198"/>
      <c r="B136" s="199"/>
      <c r="C136" s="200"/>
      <c r="D136" s="1338"/>
      <c r="E136" s="937"/>
      <c r="F136" s="2009"/>
      <c r="G136" s="2054"/>
      <c r="H136" s="201"/>
      <c r="I136" s="1988"/>
      <c r="J136" s="1018" t="s">
        <v>87</v>
      </c>
      <c r="K136" s="1028">
        <v>2.8</v>
      </c>
      <c r="L136" s="512"/>
      <c r="M136" s="467"/>
      <c r="N136" s="377"/>
      <c r="O136" s="1969"/>
      <c r="P136" s="2078"/>
      <c r="Q136" s="2079"/>
      <c r="R136" s="1066"/>
      <c r="S136" s="530"/>
      <c r="T136" s="156"/>
      <c r="U136" s="170"/>
    </row>
    <row r="137" spans="1:22" ht="30" customHeight="1" x14ac:dyDescent="0.2">
      <c r="A137" s="198"/>
      <c r="B137" s="199"/>
      <c r="C137" s="200"/>
      <c r="D137" s="1338"/>
      <c r="E137" s="1339"/>
      <c r="F137" s="2004" t="s">
        <v>295</v>
      </c>
      <c r="G137" s="2052" t="s">
        <v>262</v>
      </c>
      <c r="H137" s="201"/>
      <c r="I137" s="1990" t="s">
        <v>285</v>
      </c>
      <c r="J137" s="1018" t="s">
        <v>15</v>
      </c>
      <c r="K137" s="1028">
        <v>14.2</v>
      </c>
      <c r="L137" s="512"/>
      <c r="M137" s="467"/>
      <c r="N137" s="377"/>
      <c r="O137" s="925" t="s">
        <v>128</v>
      </c>
      <c r="P137" s="553"/>
      <c r="Q137" s="544"/>
      <c r="R137" s="690"/>
      <c r="S137" s="533"/>
      <c r="T137" s="920"/>
      <c r="U137" s="1841"/>
      <c r="V137" s="1841"/>
    </row>
    <row r="138" spans="1:22" ht="30.75" customHeight="1" x14ac:dyDescent="0.2">
      <c r="A138" s="198"/>
      <c r="B138" s="199"/>
      <c r="C138" s="200"/>
      <c r="D138" s="1338"/>
      <c r="E138" s="1338"/>
      <c r="F138" s="2005"/>
      <c r="G138" s="2054"/>
      <c r="H138" s="201"/>
      <c r="I138" s="1988"/>
      <c r="J138" s="1015" t="s">
        <v>87</v>
      </c>
      <c r="K138" s="1028">
        <v>11</v>
      </c>
      <c r="L138" s="512"/>
      <c r="M138" s="467"/>
      <c r="N138" s="377"/>
      <c r="O138" s="691" t="s">
        <v>70</v>
      </c>
      <c r="P138" s="553"/>
      <c r="Q138" s="692"/>
      <c r="R138" s="693"/>
      <c r="S138" s="694"/>
      <c r="T138" s="278"/>
      <c r="V138" s="138"/>
    </row>
    <row r="139" spans="1:22" ht="26.25" customHeight="1" x14ac:dyDescent="0.2">
      <c r="A139" s="198"/>
      <c r="B139" s="199"/>
      <c r="C139" s="200"/>
      <c r="D139" s="1338"/>
      <c r="E139" s="1338"/>
      <c r="F139" s="2004" t="s">
        <v>297</v>
      </c>
      <c r="G139" s="2006" t="s">
        <v>262</v>
      </c>
      <c r="H139" s="201"/>
      <c r="I139" s="1990" t="s">
        <v>202</v>
      </c>
      <c r="J139" s="1014" t="s">
        <v>15</v>
      </c>
      <c r="K139" s="1027">
        <v>20</v>
      </c>
      <c r="L139" s="444"/>
      <c r="M139" s="407"/>
      <c r="N139" s="441"/>
      <c r="O139" s="691" t="s">
        <v>52</v>
      </c>
      <c r="P139" s="1321"/>
      <c r="Q139" s="546"/>
      <c r="R139" s="698"/>
      <c r="S139" s="534"/>
      <c r="T139" s="1283"/>
      <c r="U139" s="1841"/>
      <c r="V139" s="1841"/>
    </row>
    <row r="140" spans="1:22" ht="14.25" customHeight="1" x14ac:dyDescent="0.2">
      <c r="A140" s="198"/>
      <c r="B140" s="199"/>
      <c r="C140" s="200"/>
      <c r="D140" s="1338"/>
      <c r="E140" s="1338"/>
      <c r="F140" s="2005"/>
      <c r="G140" s="2007"/>
      <c r="H140" s="201"/>
      <c r="I140" s="1987"/>
      <c r="J140" s="1016"/>
      <c r="K140" s="1030"/>
      <c r="L140" s="443"/>
      <c r="M140" s="408"/>
      <c r="N140" s="393"/>
      <c r="O140" s="691" t="s">
        <v>99</v>
      </c>
      <c r="P140" s="1321"/>
      <c r="Q140" s="699"/>
      <c r="R140" s="700"/>
      <c r="S140" s="534"/>
      <c r="T140" s="1283"/>
    </row>
    <row r="141" spans="1:22" ht="14.25" customHeight="1" x14ac:dyDescent="0.2">
      <c r="A141" s="198"/>
      <c r="B141" s="199"/>
      <c r="C141" s="573"/>
      <c r="D141" s="1338"/>
      <c r="E141" s="1338"/>
      <c r="F141" s="2009"/>
      <c r="G141" s="2008"/>
      <c r="H141" s="899"/>
      <c r="I141" s="1988"/>
      <c r="J141" s="900" t="s">
        <v>16</v>
      </c>
      <c r="K141" s="1031">
        <f>SUM(K117:K140)</f>
        <v>2836.7000000000003</v>
      </c>
      <c r="L141" s="886">
        <f>SUM(L117:L140)</f>
        <v>5754.8</v>
      </c>
      <c r="M141" s="887">
        <f>SUM(M117:M132)</f>
        <v>7708</v>
      </c>
      <c r="N141" s="906">
        <f>SUM(N117:N132)</f>
        <v>1940</v>
      </c>
      <c r="O141" s="1304"/>
      <c r="P141" s="1334"/>
      <c r="Q141" s="888"/>
      <c r="R141" s="889"/>
      <c r="S141" s="890"/>
    </row>
    <row r="142" spans="1:22" ht="16.5" customHeight="1" x14ac:dyDescent="0.2">
      <c r="A142" s="198"/>
      <c r="B142" s="199"/>
      <c r="C142" s="184"/>
      <c r="D142" s="898" t="s">
        <v>17</v>
      </c>
      <c r="E142" s="885"/>
      <c r="F142" s="1837" t="s">
        <v>130</v>
      </c>
      <c r="G142" s="857" t="s">
        <v>2</v>
      </c>
      <c r="H142" s="891">
        <v>5</v>
      </c>
      <c r="I142" s="1991" t="s">
        <v>284</v>
      </c>
      <c r="J142" s="547"/>
      <c r="K142" s="631"/>
      <c r="L142" s="433"/>
      <c r="M142" s="434"/>
      <c r="N142" s="123"/>
      <c r="O142" s="1315"/>
      <c r="P142" s="892"/>
      <c r="Q142" s="893"/>
      <c r="R142" s="607"/>
      <c r="S142" s="224"/>
      <c r="T142" s="240"/>
    </row>
    <row r="143" spans="1:22" ht="16.5" customHeight="1" x14ac:dyDescent="0.2">
      <c r="A143" s="198"/>
      <c r="B143" s="199"/>
      <c r="C143" s="184"/>
      <c r="D143" s="873"/>
      <c r="E143" s="873"/>
      <c r="F143" s="1838"/>
      <c r="G143" s="1281"/>
      <c r="H143" s="1276"/>
      <c r="I143" s="1992"/>
      <c r="J143" s="1019"/>
      <c r="K143" s="639"/>
      <c r="L143" s="329"/>
      <c r="M143" s="66"/>
      <c r="N143" s="82"/>
      <c r="O143" s="1316"/>
      <c r="P143" s="918"/>
      <c r="Q143" s="536"/>
      <c r="S143" s="1009"/>
      <c r="T143" s="240"/>
    </row>
    <row r="144" spans="1:22" ht="15" customHeight="1" x14ac:dyDescent="0.2">
      <c r="A144" s="198"/>
      <c r="B144" s="199"/>
      <c r="C144" s="184"/>
      <c r="D144" s="1338"/>
      <c r="E144" s="1339" t="s">
        <v>14</v>
      </c>
      <c r="F144" s="2004" t="s">
        <v>211</v>
      </c>
      <c r="G144" s="822" t="s">
        <v>262</v>
      </c>
      <c r="H144" s="187"/>
      <c r="I144" s="1990" t="s">
        <v>196</v>
      </c>
      <c r="J144" s="1020" t="s">
        <v>15</v>
      </c>
      <c r="K144" s="1032">
        <v>206.6</v>
      </c>
      <c r="L144" s="510">
        <v>396.2</v>
      </c>
      <c r="M144" s="515"/>
      <c r="N144" s="442"/>
      <c r="O144" s="1967" t="s">
        <v>52</v>
      </c>
      <c r="P144" s="824">
        <v>1</v>
      </c>
      <c r="Q144" s="867">
        <v>1</v>
      </c>
      <c r="R144" s="38"/>
      <c r="S144" s="868"/>
    </row>
    <row r="145" spans="1:23" ht="15" customHeight="1" x14ac:dyDescent="0.2">
      <c r="A145" s="198"/>
      <c r="B145" s="199"/>
      <c r="C145" s="184"/>
      <c r="D145" s="1338"/>
      <c r="E145" s="1338"/>
      <c r="F145" s="2005"/>
      <c r="G145" s="823"/>
      <c r="H145" s="187"/>
      <c r="I145" s="1987"/>
      <c r="J145" s="1016" t="s">
        <v>87</v>
      </c>
      <c r="K145" s="1030">
        <v>32.9</v>
      </c>
      <c r="L145" s="443">
        <v>356.9</v>
      </c>
      <c r="M145" s="408"/>
      <c r="N145" s="393"/>
      <c r="O145" s="1968"/>
      <c r="P145" s="551"/>
      <c r="Q145" s="542"/>
      <c r="R145" s="40"/>
      <c r="S145" s="825"/>
    </row>
    <row r="146" spans="1:23" ht="15" customHeight="1" x14ac:dyDescent="0.2">
      <c r="A146" s="198"/>
      <c r="B146" s="199"/>
      <c r="C146" s="184"/>
      <c r="D146" s="1338"/>
      <c r="E146" s="1338"/>
      <c r="F146" s="2005"/>
      <c r="G146" s="823"/>
      <c r="H146" s="187"/>
      <c r="I146" s="1987"/>
      <c r="J146" s="1020" t="s">
        <v>304</v>
      </c>
      <c r="K146" s="1028"/>
      <c r="L146" s="512"/>
      <c r="M146" s="467">
        <v>551</v>
      </c>
      <c r="N146" s="377"/>
      <c r="O146" s="1290" t="s">
        <v>99</v>
      </c>
      <c r="P146" s="824">
        <v>15</v>
      </c>
      <c r="Q146" s="867">
        <v>65</v>
      </c>
      <c r="R146" s="38">
        <v>100</v>
      </c>
      <c r="S146" s="868"/>
    </row>
    <row r="147" spans="1:23" ht="15" customHeight="1" x14ac:dyDescent="0.2">
      <c r="A147" s="198"/>
      <c r="B147" s="199"/>
      <c r="C147" s="184"/>
      <c r="D147" s="1338"/>
      <c r="E147" s="1338"/>
      <c r="F147" s="2005"/>
      <c r="G147" s="823"/>
      <c r="H147" s="187"/>
      <c r="I147" s="1987"/>
      <c r="J147" s="1015" t="s">
        <v>4</v>
      </c>
      <c r="K147" s="1028"/>
      <c r="L147" s="512">
        <v>615.4</v>
      </c>
      <c r="M147" s="467">
        <v>263.7</v>
      </c>
      <c r="N147" s="377"/>
      <c r="O147" s="1291"/>
      <c r="P147" s="550"/>
      <c r="Q147" s="541"/>
      <c r="R147" s="981"/>
      <c r="S147" s="531"/>
    </row>
    <row r="148" spans="1:23" ht="15" customHeight="1" x14ac:dyDescent="0.2">
      <c r="A148" s="198"/>
      <c r="B148" s="199"/>
      <c r="C148" s="184"/>
      <c r="D148" s="1338"/>
      <c r="E148" s="1338"/>
      <c r="F148" s="1312"/>
      <c r="G148" s="823"/>
      <c r="H148" s="187"/>
      <c r="I148" s="1316"/>
      <c r="J148" s="1021" t="s">
        <v>3</v>
      </c>
      <c r="K148" s="1027"/>
      <c r="L148" s="444">
        <v>40</v>
      </c>
      <c r="M148" s="407"/>
      <c r="N148" s="441"/>
      <c r="O148" s="826"/>
      <c r="P148" s="551"/>
      <c r="Q148" s="542"/>
      <c r="R148" s="40"/>
      <c r="S148" s="825"/>
    </row>
    <row r="149" spans="1:23" ht="29.25" customHeight="1" x14ac:dyDescent="0.2">
      <c r="A149" s="198"/>
      <c r="B149" s="199"/>
      <c r="C149" s="200"/>
      <c r="D149" s="1338"/>
      <c r="E149" s="1339" t="s">
        <v>17</v>
      </c>
      <c r="F149" s="2081" t="s">
        <v>298</v>
      </c>
      <c r="G149" s="2051" t="s">
        <v>262</v>
      </c>
      <c r="H149" s="238"/>
      <c r="I149" s="1991" t="s">
        <v>198</v>
      </c>
      <c r="J149" s="1014" t="s">
        <v>87</v>
      </c>
      <c r="K149" s="1027">
        <v>56.6</v>
      </c>
      <c r="L149" s="472">
        <v>31.3</v>
      </c>
      <c r="M149" s="854"/>
      <c r="N149" s="441"/>
      <c r="O149" s="1308" t="s">
        <v>52</v>
      </c>
      <c r="P149" s="1358">
        <v>1</v>
      </c>
      <c r="Q149" s="540">
        <v>1</v>
      </c>
      <c r="R149" s="93"/>
      <c r="S149" s="13"/>
      <c r="T149" s="278"/>
    </row>
    <row r="150" spans="1:23" ht="29.25" customHeight="1" x14ac:dyDescent="0.2">
      <c r="A150" s="198"/>
      <c r="B150" s="199"/>
      <c r="C150" s="200"/>
      <c r="D150" s="1338"/>
      <c r="E150" s="1338"/>
      <c r="F150" s="2082"/>
      <c r="G150" s="2030"/>
      <c r="H150" s="238"/>
      <c r="I150" s="2069"/>
      <c r="J150" s="1016"/>
      <c r="K150" s="1030"/>
      <c r="L150" s="443"/>
      <c r="M150" s="408"/>
      <c r="N150" s="393"/>
      <c r="O150" s="462" t="s">
        <v>83</v>
      </c>
      <c r="P150" s="1358"/>
      <c r="Q150" s="540"/>
      <c r="R150" s="93"/>
      <c r="S150" s="13"/>
      <c r="T150" s="278"/>
    </row>
    <row r="151" spans="1:23" ht="15.75" customHeight="1" x14ac:dyDescent="0.2">
      <c r="A151" s="198"/>
      <c r="B151" s="199"/>
      <c r="C151" s="46"/>
      <c r="D151" s="296"/>
      <c r="E151" s="313" t="s">
        <v>19</v>
      </c>
      <c r="F151" s="1909" t="s">
        <v>321</v>
      </c>
      <c r="G151" s="760"/>
      <c r="H151" s="380">
        <v>5</v>
      </c>
      <c r="I151" s="1990" t="s">
        <v>291</v>
      </c>
      <c r="J151" s="587" t="s">
        <v>15</v>
      </c>
      <c r="K151" s="736">
        <v>237.1</v>
      </c>
      <c r="L151" s="72"/>
      <c r="M151" s="129"/>
      <c r="N151" s="24"/>
      <c r="O151" s="1951" t="s">
        <v>180</v>
      </c>
      <c r="P151" s="1347">
        <v>30</v>
      </c>
      <c r="Q151" s="565">
        <v>100</v>
      </c>
      <c r="R151" s="38"/>
      <c r="S151" s="567"/>
      <c r="T151" s="240"/>
      <c r="V151" s="1841"/>
      <c r="W151" s="1841"/>
    </row>
    <row r="152" spans="1:23" ht="15.75" customHeight="1" x14ac:dyDescent="0.2">
      <c r="A152" s="198"/>
      <c r="B152" s="199"/>
      <c r="C152" s="47"/>
      <c r="D152" s="297"/>
      <c r="E152" s="297"/>
      <c r="F152" s="1910"/>
      <c r="G152" s="760"/>
      <c r="H152" s="187"/>
      <c r="I152" s="1987"/>
      <c r="J152" s="587" t="s">
        <v>304</v>
      </c>
      <c r="K152" s="736"/>
      <c r="L152" s="72">
        <v>692.9</v>
      </c>
      <c r="M152" s="129"/>
      <c r="N152" s="24"/>
      <c r="O152" s="1955"/>
      <c r="P152" s="584"/>
      <c r="Q152" s="727"/>
      <c r="R152" s="981"/>
      <c r="S152" s="418"/>
      <c r="T152" s="240"/>
      <c r="V152" s="1283"/>
      <c r="W152" s="1283"/>
    </row>
    <row r="153" spans="1:23" ht="15.75" customHeight="1" x14ac:dyDescent="0.2">
      <c r="A153" s="198"/>
      <c r="B153" s="199"/>
      <c r="C153" s="47"/>
      <c r="D153" s="297"/>
      <c r="E153" s="297"/>
      <c r="F153" s="1910"/>
      <c r="G153" s="760"/>
      <c r="H153" s="187"/>
      <c r="I153" s="1988"/>
      <c r="J153" s="770" t="s">
        <v>87</v>
      </c>
      <c r="K153" s="773"/>
      <c r="L153" s="936">
        <v>230</v>
      </c>
      <c r="M153" s="572"/>
      <c r="N153" s="61"/>
      <c r="O153" s="1952"/>
      <c r="P153" s="584"/>
      <c r="Q153" s="791"/>
      <c r="R153" s="981"/>
      <c r="S153" s="418"/>
      <c r="T153" s="240"/>
    </row>
    <row r="154" spans="1:23" ht="42" customHeight="1" x14ac:dyDescent="0.2">
      <c r="A154" s="198"/>
      <c r="B154" s="199"/>
      <c r="C154" s="47"/>
      <c r="D154" s="297"/>
      <c r="E154" s="297"/>
      <c r="F154" s="2063"/>
      <c r="G154" s="760"/>
      <c r="H154" s="380">
        <v>6</v>
      </c>
      <c r="I154" s="1315" t="s">
        <v>290</v>
      </c>
      <c r="J154" s="587" t="s">
        <v>87</v>
      </c>
      <c r="K154" s="736">
        <v>5</v>
      </c>
      <c r="L154" s="78"/>
      <c r="M154" s="129"/>
      <c r="N154" s="24"/>
      <c r="O154" s="779"/>
      <c r="P154" s="1347"/>
      <c r="Q154" s="566"/>
      <c r="R154" s="373"/>
      <c r="S154" s="567"/>
    </row>
    <row r="155" spans="1:23" ht="29.25" customHeight="1" x14ac:dyDescent="0.2">
      <c r="A155" s="198"/>
      <c r="B155" s="199"/>
      <c r="C155" s="200"/>
      <c r="D155" s="1338"/>
      <c r="E155" s="1339" t="s">
        <v>21</v>
      </c>
      <c r="F155" s="928" t="s">
        <v>212</v>
      </c>
      <c r="G155" s="1340" t="s">
        <v>262</v>
      </c>
      <c r="H155" s="187"/>
      <c r="I155" s="1315" t="s">
        <v>197</v>
      </c>
      <c r="J155" s="1021" t="s">
        <v>15</v>
      </c>
      <c r="K155" s="1027">
        <f>24.9+1.4</f>
        <v>26.299999999999997</v>
      </c>
      <c r="L155" s="444"/>
      <c r="M155" s="407"/>
      <c r="N155" s="907">
        <f>25.8+672.6+9.9</f>
        <v>708.3</v>
      </c>
      <c r="O155" s="806" t="s">
        <v>52</v>
      </c>
      <c r="P155" s="552">
        <v>2</v>
      </c>
      <c r="Q155" s="543"/>
      <c r="R155" s="526"/>
      <c r="S155" s="532">
        <v>1</v>
      </c>
      <c r="U155" s="1285"/>
      <c r="V155" s="1285"/>
    </row>
    <row r="156" spans="1:23" ht="20.25" customHeight="1" x14ac:dyDescent="0.2">
      <c r="A156" s="198"/>
      <c r="B156" s="199"/>
      <c r="C156" s="200"/>
      <c r="D156" s="1338"/>
      <c r="E156" s="1338"/>
      <c r="F156" s="2005" t="s">
        <v>320</v>
      </c>
      <c r="G156" s="1341"/>
      <c r="H156" s="29"/>
      <c r="I156" s="1316"/>
      <c r="J156" s="1022"/>
      <c r="K156" s="1030"/>
      <c r="L156" s="443"/>
      <c r="M156" s="408"/>
      <c r="N156" s="393"/>
      <c r="O156" s="1964" t="s">
        <v>58</v>
      </c>
      <c r="P156" s="553"/>
      <c r="Q156" s="544"/>
      <c r="R156" s="527"/>
      <c r="S156" s="533">
        <v>10</v>
      </c>
      <c r="U156" s="1289"/>
      <c r="V156" s="1289"/>
      <c r="W156" s="1289"/>
    </row>
    <row r="157" spans="1:23" ht="20.25" customHeight="1" x14ac:dyDescent="0.2">
      <c r="A157" s="198"/>
      <c r="B157" s="199"/>
      <c r="C157" s="200"/>
      <c r="D157" s="1338"/>
      <c r="E157" s="1338"/>
      <c r="F157" s="2009"/>
      <c r="G157" s="1341"/>
      <c r="H157" s="29"/>
      <c r="I157" s="1316"/>
      <c r="J157" s="1020" t="s">
        <v>87</v>
      </c>
      <c r="K157" s="1028">
        <f>15.8+20</f>
        <v>35.799999999999997</v>
      </c>
      <c r="L157" s="512"/>
      <c r="M157" s="467"/>
      <c r="N157" s="377"/>
      <c r="O157" s="1969"/>
      <c r="P157" s="549"/>
      <c r="Q157" s="539"/>
      <c r="R157" s="1167"/>
      <c r="S157" s="386"/>
      <c r="U157" s="111"/>
      <c r="V157" s="111"/>
    </row>
    <row r="158" spans="1:23" ht="27" customHeight="1" x14ac:dyDescent="0.2">
      <c r="A158" s="198"/>
      <c r="B158" s="199"/>
      <c r="C158" s="200"/>
      <c r="D158" s="285"/>
      <c r="E158" s="1339" t="s">
        <v>22</v>
      </c>
      <c r="F158" s="2004" t="s">
        <v>315</v>
      </c>
      <c r="G158" s="1340" t="s">
        <v>262</v>
      </c>
      <c r="H158" s="701"/>
      <c r="I158" s="1316"/>
      <c r="J158" s="1315" t="s">
        <v>15</v>
      </c>
      <c r="K158" s="736"/>
      <c r="L158" s="78"/>
      <c r="M158" s="129">
        <v>310</v>
      </c>
      <c r="N158" s="33">
        <v>370</v>
      </c>
      <c r="O158" s="381" t="s">
        <v>259</v>
      </c>
      <c r="P158" s="1347"/>
      <c r="Q158" s="565"/>
      <c r="R158" s="566">
        <v>1</v>
      </c>
      <c r="S158" s="567">
        <v>1</v>
      </c>
      <c r="U158" s="1801"/>
      <c r="V158" s="1801"/>
    </row>
    <row r="159" spans="1:23" ht="16.5" customHeight="1" x14ac:dyDescent="0.2">
      <c r="A159" s="198"/>
      <c r="B159" s="199"/>
      <c r="C159" s="200"/>
      <c r="D159" s="1338"/>
      <c r="E159" s="1338"/>
      <c r="F159" s="2009"/>
      <c r="G159" s="1341"/>
      <c r="H159" s="981"/>
      <c r="I159" s="1329"/>
      <c r="J159" s="1165" t="s">
        <v>324</v>
      </c>
      <c r="K159" s="1166">
        <f>SUM(K144:K157)</f>
        <v>600.29999999999995</v>
      </c>
      <c r="L159" s="1169">
        <f>SUM(L144:L157)</f>
        <v>2362.6999999999998</v>
      </c>
      <c r="M159" s="1171">
        <f>SUM(M144:M158)</f>
        <v>1124.7</v>
      </c>
      <c r="N159" s="1170">
        <f>SUM(N144:N158)</f>
        <v>1078.3</v>
      </c>
      <c r="O159" s="1284"/>
      <c r="P159" s="549"/>
      <c r="Q159" s="1164"/>
      <c r="R159" s="1168"/>
      <c r="S159" s="575"/>
      <c r="U159" s="111"/>
      <c r="V159" s="111"/>
    </row>
    <row r="160" spans="1:23" ht="17.25" customHeight="1" x14ac:dyDescent="0.2">
      <c r="A160" s="198"/>
      <c r="B160" s="199"/>
      <c r="C160" s="200"/>
      <c r="D160" s="898" t="s">
        <v>19</v>
      </c>
      <c r="E160" s="885"/>
      <c r="F160" s="1837" t="s">
        <v>131</v>
      </c>
      <c r="G160" s="896" t="s">
        <v>2</v>
      </c>
      <c r="H160" s="897">
        <v>5</v>
      </c>
      <c r="I160" s="1991" t="s">
        <v>299</v>
      </c>
      <c r="J160" s="517"/>
      <c r="K160" s="1030"/>
      <c r="L160" s="459"/>
      <c r="M160" s="426"/>
      <c r="N160" s="429"/>
      <c r="O160" s="1308"/>
      <c r="P160" s="892"/>
      <c r="Q160" s="893"/>
      <c r="R160" s="607"/>
      <c r="S160" s="224"/>
      <c r="U160" s="111"/>
      <c r="V160" s="111"/>
    </row>
    <row r="161" spans="1:24" ht="17.25" customHeight="1" x14ac:dyDescent="0.2">
      <c r="A161" s="198"/>
      <c r="B161" s="199"/>
      <c r="C161" s="200"/>
      <c r="D161" s="873"/>
      <c r="E161" s="873"/>
      <c r="F161" s="1989"/>
      <c r="G161" s="1287"/>
      <c r="H161" s="372"/>
      <c r="I161" s="2069"/>
      <c r="J161" s="986"/>
      <c r="K161" s="1030"/>
      <c r="L161" s="443"/>
      <c r="M161" s="426"/>
      <c r="N161" s="429"/>
      <c r="O161" s="1148"/>
      <c r="P161" s="918"/>
      <c r="Q161" s="536"/>
      <c r="S161" s="1009"/>
      <c r="U161" s="111"/>
      <c r="V161" s="111"/>
    </row>
    <row r="162" spans="1:24" ht="27.75" customHeight="1" x14ac:dyDescent="0.2">
      <c r="A162" s="198"/>
      <c r="B162" s="199"/>
      <c r="C162" s="200"/>
      <c r="D162" s="1338"/>
      <c r="E162" s="1339" t="s">
        <v>14</v>
      </c>
      <c r="F162" s="1999" t="s">
        <v>132</v>
      </c>
      <c r="G162" s="1325" t="s">
        <v>262</v>
      </c>
      <c r="H162" s="189"/>
      <c r="I162" s="1991" t="s">
        <v>199</v>
      </c>
      <c r="J162" s="1023" t="s">
        <v>15</v>
      </c>
      <c r="K162" s="1032">
        <v>180.8</v>
      </c>
      <c r="L162" s="510">
        <v>11.4</v>
      </c>
      <c r="M162" s="376">
        <v>34.1</v>
      </c>
      <c r="N162" s="377"/>
      <c r="O162" s="516" t="s">
        <v>82</v>
      </c>
      <c r="P162" s="555">
        <v>100</v>
      </c>
      <c r="Q162" s="385">
        <v>80</v>
      </c>
      <c r="R162" s="385">
        <v>100</v>
      </c>
      <c r="S162" s="13"/>
      <c r="U162" s="111"/>
      <c r="V162" s="111"/>
    </row>
    <row r="163" spans="1:24" ht="15.75" customHeight="1" x14ac:dyDescent="0.2">
      <c r="A163" s="198"/>
      <c r="B163" s="199"/>
      <c r="C163" s="248"/>
      <c r="D163" s="1338"/>
      <c r="E163" s="1338"/>
      <c r="F163" s="2068"/>
      <c r="G163" s="1342"/>
      <c r="H163" s="189"/>
      <c r="I163" s="1992"/>
      <c r="J163" s="1023" t="s">
        <v>87</v>
      </c>
      <c r="K163" s="1032"/>
      <c r="L163" s="510">
        <f>180.2-106.1</f>
        <v>74.099999999999994</v>
      </c>
      <c r="M163" s="854"/>
      <c r="N163" s="393"/>
      <c r="O163" s="516" t="s">
        <v>98</v>
      </c>
      <c r="P163" s="554">
        <v>100</v>
      </c>
      <c r="Q163" s="383">
        <v>80</v>
      </c>
      <c r="R163" s="809">
        <v>100</v>
      </c>
      <c r="S163" s="13"/>
      <c r="U163" s="111"/>
      <c r="V163" s="111"/>
    </row>
    <row r="164" spans="1:24" ht="15.75" customHeight="1" x14ac:dyDescent="0.2">
      <c r="A164" s="198"/>
      <c r="B164" s="199"/>
      <c r="C164" s="248"/>
      <c r="D164" s="1338"/>
      <c r="E164" s="1338"/>
      <c r="F164" s="2068"/>
      <c r="G164" s="1342"/>
      <c r="H164" s="189"/>
      <c r="I164" s="1992"/>
      <c r="J164" s="1023" t="s">
        <v>89</v>
      </c>
      <c r="K164" s="1034">
        <v>2.5</v>
      </c>
      <c r="L164" s="510"/>
      <c r="M164" s="376"/>
      <c r="N164" s="377"/>
      <c r="O164" s="689"/>
      <c r="P164" s="549"/>
      <c r="Q164" s="858"/>
      <c r="R164" s="981"/>
      <c r="S164" s="1005"/>
      <c r="U164" s="111"/>
      <c r="V164" s="111"/>
    </row>
    <row r="165" spans="1:24" ht="15.75" customHeight="1" x14ac:dyDescent="0.2">
      <c r="A165" s="198"/>
      <c r="B165" s="199"/>
      <c r="C165" s="248"/>
      <c r="D165" s="1338"/>
      <c r="E165" s="1338"/>
      <c r="F165" s="2068"/>
      <c r="G165" s="1342"/>
      <c r="H165" s="189"/>
      <c r="I165" s="1992"/>
      <c r="J165" s="1024" t="s">
        <v>4</v>
      </c>
      <c r="K165" s="1034"/>
      <c r="L165" s="510">
        <v>411.3</v>
      </c>
      <c r="M165" s="376">
        <v>117.3</v>
      </c>
      <c r="N165" s="377"/>
      <c r="O165" s="689"/>
      <c r="P165" s="549"/>
      <c r="Q165" s="981"/>
      <c r="R165" s="985"/>
      <c r="S165" s="1005"/>
      <c r="U165" s="111"/>
      <c r="V165" s="111"/>
    </row>
    <row r="166" spans="1:24" ht="15.75" customHeight="1" x14ac:dyDescent="0.2">
      <c r="A166" s="198"/>
      <c r="B166" s="199"/>
      <c r="C166" s="248"/>
      <c r="D166" s="1338"/>
      <c r="E166" s="1338"/>
      <c r="F166" s="2068"/>
      <c r="G166" s="1342"/>
      <c r="H166" s="189"/>
      <c r="I166" s="1992"/>
      <c r="J166" s="1023" t="s">
        <v>3</v>
      </c>
      <c r="K166" s="1034"/>
      <c r="L166" s="510">
        <v>106.1</v>
      </c>
      <c r="M166" s="376"/>
      <c r="N166" s="377"/>
      <c r="O166" s="689"/>
      <c r="P166" s="549"/>
      <c r="Q166" s="981"/>
      <c r="R166" s="985"/>
      <c r="S166" s="1005"/>
      <c r="U166" s="111"/>
      <c r="V166" s="111"/>
    </row>
    <row r="167" spans="1:24" ht="15.75" customHeight="1" x14ac:dyDescent="0.2">
      <c r="A167" s="198"/>
      <c r="B167" s="199"/>
      <c r="C167" s="248"/>
      <c r="D167" s="1338"/>
      <c r="E167" s="1338"/>
      <c r="F167" s="2001"/>
      <c r="G167" s="1342"/>
      <c r="H167" s="189"/>
      <c r="I167" s="2069"/>
      <c r="J167" s="1023" t="s">
        <v>221</v>
      </c>
      <c r="K167" s="1028">
        <v>3.1</v>
      </c>
      <c r="L167" s="512">
        <v>2.5</v>
      </c>
      <c r="M167" s="467"/>
      <c r="N167" s="377"/>
      <c r="O167" s="903"/>
      <c r="P167" s="556"/>
      <c r="Q167" s="40"/>
      <c r="R167" s="994"/>
      <c r="S167" s="18"/>
      <c r="U167" s="111"/>
      <c r="V167" s="111"/>
    </row>
    <row r="168" spans="1:24" ht="41.25" customHeight="1" x14ac:dyDescent="0.2">
      <c r="A168" s="198"/>
      <c r="B168" s="199"/>
      <c r="C168" s="200"/>
      <c r="D168" s="1338"/>
      <c r="E168" s="1339" t="s">
        <v>17</v>
      </c>
      <c r="F168" s="1999" t="s">
        <v>133</v>
      </c>
      <c r="G168" s="1325" t="s">
        <v>262</v>
      </c>
      <c r="H168" s="189"/>
      <c r="I168" s="1991" t="s">
        <v>196</v>
      </c>
      <c r="J168" s="1021" t="s">
        <v>15</v>
      </c>
      <c r="K168" s="1030"/>
      <c r="L168" s="443"/>
      <c r="M168" s="408"/>
      <c r="N168" s="908">
        <v>676.1</v>
      </c>
      <c r="O168" s="689" t="s">
        <v>234</v>
      </c>
      <c r="P168" s="1322">
        <v>100</v>
      </c>
      <c r="Q168" s="513"/>
      <c r="R168" s="524"/>
      <c r="S168" s="530"/>
      <c r="U168" s="1864"/>
      <c r="V168" s="1864"/>
      <c r="W168" s="1864"/>
      <c r="X168" s="1864"/>
    </row>
    <row r="169" spans="1:24" ht="17.25" customHeight="1" x14ac:dyDescent="0.2">
      <c r="A169" s="198"/>
      <c r="B169" s="199"/>
      <c r="C169" s="248"/>
      <c r="D169" s="1338"/>
      <c r="E169" s="1338"/>
      <c r="F169" s="2068"/>
      <c r="G169" s="1342"/>
      <c r="H169" s="189"/>
      <c r="I169" s="1992"/>
      <c r="J169" s="1265" t="s">
        <v>87</v>
      </c>
      <c r="K169" s="1035">
        <v>2.8</v>
      </c>
      <c r="L169" s="512"/>
      <c r="M169" s="467"/>
      <c r="N169" s="377"/>
      <c r="O169" s="1964" t="s">
        <v>83</v>
      </c>
      <c r="P169" s="1321"/>
      <c r="Q169" s="546"/>
      <c r="R169" s="527"/>
      <c r="S169" s="534">
        <v>30</v>
      </c>
    </row>
    <row r="170" spans="1:24" ht="15.75" customHeight="1" x14ac:dyDescent="0.2">
      <c r="A170" s="198"/>
      <c r="B170" s="199"/>
      <c r="C170" s="248"/>
      <c r="D170" s="1338"/>
      <c r="E170" s="1338"/>
      <c r="F170" s="2068"/>
      <c r="G170" s="1357"/>
      <c r="H170" s="238"/>
      <c r="I170" s="1324"/>
      <c r="J170" s="1025" t="s">
        <v>16</v>
      </c>
      <c r="K170" s="1033">
        <f>SUM(K162:K169)</f>
        <v>189.20000000000002</v>
      </c>
      <c r="L170" s="894">
        <f>SUM(L162:L169)</f>
        <v>605.4</v>
      </c>
      <c r="M170" s="895">
        <f>SUM(M160:M169)</f>
        <v>151.4</v>
      </c>
      <c r="N170" s="909">
        <f>SUM(N160:N169)</f>
        <v>676.1</v>
      </c>
      <c r="O170" s="1965"/>
      <c r="P170" s="1322"/>
      <c r="Q170" s="522"/>
      <c r="R170" s="929"/>
      <c r="S170" s="530"/>
    </row>
    <row r="171" spans="1:24" ht="15.75" customHeight="1" thickBot="1" x14ac:dyDescent="0.25">
      <c r="A171" s="216"/>
      <c r="B171" s="213"/>
      <c r="C171" s="214"/>
      <c r="D171" s="298"/>
      <c r="E171" s="298"/>
      <c r="F171" s="2000"/>
      <c r="G171" s="1871" t="s">
        <v>50</v>
      </c>
      <c r="H171" s="1942"/>
      <c r="I171" s="1942"/>
      <c r="J171" s="1942"/>
      <c r="K171" s="571">
        <f>+K170+K159+K141</f>
        <v>3626.2000000000003</v>
      </c>
      <c r="L171" s="35">
        <f>+L170+L159+L141</f>
        <v>8722.9</v>
      </c>
      <c r="M171" s="62">
        <f>+M170+M159+M141</f>
        <v>8984.1</v>
      </c>
      <c r="N171" s="226">
        <f>+N170+N159+N141</f>
        <v>3694.4</v>
      </c>
      <c r="O171" s="1966"/>
      <c r="P171" s="557"/>
      <c r="Q171" s="1349"/>
      <c r="R171" s="267"/>
      <c r="S171" s="43"/>
      <c r="T171" s="240"/>
    </row>
    <row r="172" spans="1:24" ht="29.25" customHeight="1" x14ac:dyDescent="0.2">
      <c r="A172" s="234" t="s">
        <v>17</v>
      </c>
      <c r="B172" s="209" t="s">
        <v>14</v>
      </c>
      <c r="C172" s="210" t="s">
        <v>19</v>
      </c>
      <c r="D172" s="290"/>
      <c r="E172" s="290"/>
      <c r="F172" s="1260" t="s">
        <v>84</v>
      </c>
      <c r="G172" s="71"/>
      <c r="H172" s="227">
        <v>2</v>
      </c>
      <c r="I172" s="983" t="s">
        <v>286</v>
      </c>
      <c r="J172" s="1012"/>
      <c r="K172" s="422"/>
      <c r="L172" s="422"/>
      <c r="M172" s="399"/>
      <c r="N172" s="671"/>
      <c r="O172" s="995"/>
      <c r="P172" s="1003"/>
      <c r="Q172" s="535"/>
      <c r="R172" s="520"/>
      <c r="S172" s="203"/>
    </row>
    <row r="173" spans="1:24" ht="21" customHeight="1" x14ac:dyDescent="0.2">
      <c r="A173" s="198"/>
      <c r="B173" s="199"/>
      <c r="C173" s="197"/>
      <c r="D173" s="1339" t="s">
        <v>14</v>
      </c>
      <c r="E173" s="1339"/>
      <c r="F173" s="1809" t="s">
        <v>213</v>
      </c>
      <c r="G173" s="92"/>
      <c r="H173" s="201"/>
      <c r="I173" s="1316"/>
      <c r="J173" s="919" t="s">
        <v>15</v>
      </c>
      <c r="K173" s="1360">
        <v>104</v>
      </c>
      <c r="L173" s="669">
        <v>104</v>
      </c>
      <c r="M173" s="129">
        <v>171.4</v>
      </c>
      <c r="N173" s="33">
        <v>140.19999999999999</v>
      </c>
      <c r="O173" s="1308" t="s">
        <v>100</v>
      </c>
      <c r="P173" s="558">
        <v>7</v>
      </c>
      <c r="Q173" s="38">
        <v>15</v>
      </c>
      <c r="R173" s="28">
        <v>14</v>
      </c>
      <c r="S173" s="1351">
        <v>13</v>
      </c>
      <c r="U173" s="1832"/>
      <c r="V173" s="1832"/>
    </row>
    <row r="174" spans="1:24" ht="21" customHeight="1" x14ac:dyDescent="0.2">
      <c r="A174" s="198"/>
      <c r="B174" s="199"/>
      <c r="C174" s="197"/>
      <c r="D174" s="937"/>
      <c r="E174" s="937"/>
      <c r="F174" s="1878"/>
      <c r="G174" s="92"/>
      <c r="H174" s="201"/>
      <c r="I174" s="1316"/>
      <c r="J174" s="1359"/>
      <c r="K174" s="633"/>
      <c r="L174" s="222"/>
      <c r="M174" s="265"/>
      <c r="N174" s="354"/>
      <c r="O174" s="600"/>
      <c r="P174" s="1359"/>
      <c r="Q174" s="545"/>
      <c r="R174" s="518"/>
      <c r="S174" s="18"/>
    </row>
    <row r="175" spans="1:24" ht="30" customHeight="1" x14ac:dyDescent="0.2">
      <c r="A175" s="198"/>
      <c r="B175" s="199"/>
      <c r="C175" s="249"/>
      <c r="D175" s="310" t="s">
        <v>17</v>
      </c>
      <c r="E175" s="310"/>
      <c r="F175" s="1292" t="s">
        <v>214</v>
      </c>
      <c r="G175" s="95"/>
      <c r="H175" s="201"/>
      <c r="I175" s="1316"/>
      <c r="J175" s="1359" t="s">
        <v>15</v>
      </c>
      <c r="K175" s="685">
        <v>204.4</v>
      </c>
      <c r="L175" s="1319">
        <v>190.3</v>
      </c>
      <c r="M175" s="1320">
        <v>190</v>
      </c>
      <c r="N175" s="998">
        <v>190</v>
      </c>
      <c r="O175" s="1148" t="s">
        <v>100</v>
      </c>
      <c r="P175" s="788">
        <v>25</v>
      </c>
      <c r="Q175" s="548">
        <v>21</v>
      </c>
      <c r="R175" s="19">
        <v>21</v>
      </c>
      <c r="S175" s="118">
        <v>21</v>
      </c>
    </row>
    <row r="176" spans="1:24" s="9" customFormat="1" ht="30" customHeight="1" thickBot="1" x14ac:dyDescent="0.25">
      <c r="A176" s="1279"/>
      <c r="B176" s="1002"/>
      <c r="C176" s="454"/>
      <c r="D176" s="301" t="s">
        <v>19</v>
      </c>
      <c r="E176" s="301"/>
      <c r="F176" s="1292" t="s">
        <v>235</v>
      </c>
      <c r="G176" s="372"/>
      <c r="H176" s="201"/>
      <c r="I176" s="1316"/>
      <c r="J176" s="506" t="s">
        <v>15</v>
      </c>
      <c r="K176" s="1360">
        <v>13.1</v>
      </c>
      <c r="L176" s="849">
        <v>14</v>
      </c>
      <c r="M176" s="993">
        <v>15</v>
      </c>
      <c r="N176" s="39">
        <v>15</v>
      </c>
      <c r="O176" s="1308" t="s">
        <v>100</v>
      </c>
      <c r="P176" s="1361">
        <v>1</v>
      </c>
      <c r="Q176" s="1362">
        <v>7</v>
      </c>
      <c r="R176" s="30">
        <v>3</v>
      </c>
      <c r="S176" s="10">
        <v>3</v>
      </c>
    </row>
    <row r="177" spans="1:72" s="603" customFormat="1" ht="30" customHeight="1" thickBot="1" x14ac:dyDescent="0.25">
      <c r="A177" s="1279"/>
      <c r="B177" s="1002"/>
      <c r="C177" s="642"/>
      <c r="D177" s="617" t="s">
        <v>21</v>
      </c>
      <c r="E177" s="617"/>
      <c r="F177" s="683" t="s">
        <v>263</v>
      </c>
      <c r="G177" s="369"/>
      <c r="H177" s="912"/>
      <c r="I177" s="584"/>
      <c r="J177" s="506" t="s">
        <v>15</v>
      </c>
      <c r="K177" s="667"/>
      <c r="L177" s="849"/>
      <c r="M177" s="993">
        <v>20</v>
      </c>
      <c r="N177" s="39"/>
      <c r="O177" s="455" t="s">
        <v>250</v>
      </c>
      <c r="P177" s="1361"/>
      <c r="Q177" s="1362"/>
      <c r="R177" s="30">
        <v>1</v>
      </c>
      <c r="S177" s="10"/>
      <c r="T177" s="9"/>
      <c r="U177" s="930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</row>
    <row r="178" spans="1:72" s="9" customFormat="1" ht="30" customHeight="1" x14ac:dyDescent="0.2">
      <c r="A178" s="1279"/>
      <c r="B178" s="1002"/>
      <c r="C178" s="51"/>
      <c r="D178" s="300" t="s">
        <v>22</v>
      </c>
      <c r="E178" s="300"/>
      <c r="F178" s="1809" t="s">
        <v>322</v>
      </c>
      <c r="G178" s="95"/>
      <c r="H178" s="912"/>
      <c r="I178" s="584"/>
      <c r="J178" s="987" t="s">
        <v>15</v>
      </c>
      <c r="K178" s="685">
        <v>4.8</v>
      </c>
      <c r="L178" s="1319"/>
      <c r="M178" s="1320">
        <v>25.7</v>
      </c>
      <c r="N178" s="998">
        <v>30.4</v>
      </c>
      <c r="O178" s="462" t="s">
        <v>175</v>
      </c>
      <c r="P178" s="1361">
        <v>3</v>
      </c>
      <c r="Q178" s="112"/>
      <c r="R178" s="1300"/>
      <c r="S178" s="10"/>
      <c r="U178" s="930"/>
    </row>
    <row r="179" spans="1:72" s="9" customFormat="1" ht="30" customHeight="1" x14ac:dyDescent="0.2">
      <c r="A179" s="1279"/>
      <c r="B179" s="1002"/>
      <c r="C179" s="417"/>
      <c r="D179" s="1345"/>
      <c r="E179" s="1345"/>
      <c r="F179" s="1878"/>
      <c r="G179" s="201"/>
      <c r="H179" s="201"/>
      <c r="I179" s="1316"/>
      <c r="J179" s="987"/>
      <c r="K179" s="685"/>
      <c r="L179" s="1319"/>
      <c r="M179" s="1320"/>
      <c r="N179" s="998"/>
      <c r="O179" s="455" t="s">
        <v>254</v>
      </c>
      <c r="P179" s="435"/>
      <c r="Q179" s="113"/>
      <c r="R179" s="272">
        <v>1</v>
      </c>
      <c r="S179" s="922">
        <v>1</v>
      </c>
    </row>
    <row r="180" spans="1:72" s="9" customFormat="1" ht="15" customHeight="1" x14ac:dyDescent="0.2">
      <c r="A180" s="1279"/>
      <c r="B180" s="1002"/>
      <c r="C180" s="51"/>
      <c r="D180" s="681"/>
      <c r="E180" s="681"/>
      <c r="F180" s="1809" t="s">
        <v>204</v>
      </c>
      <c r="G180" s="95"/>
      <c r="H180" s="912"/>
      <c r="I180" s="584"/>
      <c r="J180" s="1995" t="s">
        <v>15</v>
      </c>
      <c r="K180" s="1997">
        <v>60</v>
      </c>
      <c r="L180" s="2083"/>
      <c r="M180" s="2085"/>
      <c r="N180" s="69"/>
      <c r="O180" s="455" t="s">
        <v>154</v>
      </c>
      <c r="P180" s="559">
        <v>757.2</v>
      </c>
      <c r="Q180" s="1362"/>
      <c r="R180" s="30"/>
      <c r="S180" s="10"/>
    </row>
    <row r="181" spans="1:72" s="9" customFormat="1" ht="15" customHeight="1" x14ac:dyDescent="0.2">
      <c r="A181" s="1279"/>
      <c r="B181" s="1002"/>
      <c r="C181" s="642"/>
      <c r="D181" s="300"/>
      <c r="E181" s="300"/>
      <c r="F181" s="1810"/>
      <c r="G181" s="369"/>
      <c r="H181" s="912"/>
      <c r="I181" s="584"/>
      <c r="J181" s="1996"/>
      <c r="K181" s="1998"/>
      <c r="L181" s="2084"/>
      <c r="M181" s="2086"/>
      <c r="N181" s="998"/>
      <c r="O181" s="462" t="s">
        <v>111</v>
      </c>
      <c r="P181" s="558">
        <v>20</v>
      </c>
      <c r="Q181" s="560"/>
      <c r="R181" s="28"/>
      <c r="S181" s="1006"/>
    </row>
    <row r="182" spans="1:72" ht="15" customHeight="1" thickBot="1" x14ac:dyDescent="0.25">
      <c r="A182" s="198"/>
      <c r="B182" s="199"/>
      <c r="C182" s="248"/>
      <c r="D182" s="298"/>
      <c r="E182" s="298"/>
      <c r="F182" s="1811"/>
      <c r="G182" s="1871" t="s">
        <v>50</v>
      </c>
      <c r="H182" s="1942"/>
      <c r="I182" s="1942"/>
      <c r="J182" s="1872"/>
      <c r="K182" s="35">
        <f>SUM(K173:K180)</f>
        <v>386.3</v>
      </c>
      <c r="L182" s="35">
        <f>SUM(L173:L180)</f>
        <v>308.3</v>
      </c>
      <c r="M182" s="62">
        <f>SUM(M173:M180)</f>
        <v>422.09999999999997</v>
      </c>
      <c r="N182" s="132">
        <f>SUM(N173:N180)</f>
        <v>375.59999999999997</v>
      </c>
      <c r="O182" s="570"/>
      <c r="P182" s="1354"/>
      <c r="Q182" s="538"/>
      <c r="R182" s="992"/>
      <c r="S182" s="43"/>
    </row>
    <row r="183" spans="1:72" ht="15.75" customHeight="1" thickBot="1" x14ac:dyDescent="0.25">
      <c r="A183" s="229" t="s">
        <v>17</v>
      </c>
      <c r="B183" s="230" t="s">
        <v>14</v>
      </c>
      <c r="C183" s="1843" t="s">
        <v>20</v>
      </c>
      <c r="D183" s="1844"/>
      <c r="E183" s="1844"/>
      <c r="F183" s="1844"/>
      <c r="G183" s="1844"/>
      <c r="H183" s="1844"/>
      <c r="I183" s="1844"/>
      <c r="J183" s="1844"/>
      <c r="K183" s="343">
        <f>+K182+K171+K114</f>
        <v>4231.1000000000004</v>
      </c>
      <c r="L183" s="343">
        <f>+L182+L171+L114</f>
        <v>9308.6999999999989</v>
      </c>
      <c r="M183" s="344">
        <f>+M182+M171+M114</f>
        <v>9477.9000000000015</v>
      </c>
      <c r="N183" s="345">
        <f>+N182+N171+N114</f>
        <v>4141.7</v>
      </c>
      <c r="O183" s="231"/>
      <c r="P183" s="232"/>
      <c r="Q183" s="232"/>
      <c r="R183" s="232"/>
      <c r="S183" s="233"/>
    </row>
    <row r="184" spans="1:72" ht="17.25" customHeight="1" thickBot="1" x14ac:dyDescent="0.25">
      <c r="A184" s="198" t="s">
        <v>17</v>
      </c>
      <c r="B184" s="230" t="s">
        <v>17</v>
      </c>
      <c r="C184" s="1873" t="s">
        <v>65</v>
      </c>
      <c r="D184" s="1851"/>
      <c r="E184" s="1851"/>
      <c r="F184" s="1851"/>
      <c r="G184" s="1851"/>
      <c r="H184" s="1851"/>
      <c r="I184" s="1851"/>
      <c r="J184" s="1851"/>
      <c r="K184" s="1851"/>
      <c r="L184" s="1851"/>
      <c r="M184" s="1851"/>
      <c r="N184" s="1851"/>
      <c r="O184" s="1851"/>
      <c r="P184" s="1851"/>
      <c r="Q184" s="1851"/>
      <c r="R184" s="1851"/>
      <c r="S184" s="1874"/>
    </row>
    <row r="185" spans="1:72" ht="28.5" customHeight="1" x14ac:dyDescent="0.2">
      <c r="A185" s="234" t="s">
        <v>17</v>
      </c>
      <c r="B185" s="209" t="s">
        <v>17</v>
      </c>
      <c r="C185" s="252" t="s">
        <v>14</v>
      </c>
      <c r="D185" s="679"/>
      <c r="E185" s="290"/>
      <c r="F185" s="1260" t="s">
        <v>75</v>
      </c>
      <c r="G185" s="368"/>
      <c r="H185" s="218">
        <v>2</v>
      </c>
      <c r="I185" s="1310" t="s">
        <v>286</v>
      </c>
      <c r="J185" s="1003"/>
      <c r="K185" s="630"/>
      <c r="L185" s="422"/>
      <c r="M185" s="75"/>
      <c r="N185" s="122"/>
      <c r="O185" s="1001"/>
      <c r="P185" s="1003"/>
      <c r="Q185" s="1003"/>
      <c r="R185" s="1003"/>
      <c r="S185" s="1003"/>
    </row>
    <row r="186" spans="1:72" ht="28.5" customHeight="1" x14ac:dyDescent="0.2">
      <c r="A186" s="198"/>
      <c r="B186" s="199"/>
      <c r="C186" s="197"/>
      <c r="D186" s="304" t="s">
        <v>14</v>
      </c>
      <c r="E186" s="661"/>
      <c r="F186" s="1294" t="s">
        <v>279</v>
      </c>
      <c r="G186" s="59"/>
      <c r="H186" s="202"/>
      <c r="I186" s="1355"/>
      <c r="J186" s="915" t="s">
        <v>15</v>
      </c>
      <c r="K186" s="585"/>
      <c r="L186" s="585">
        <v>50</v>
      </c>
      <c r="M186" s="841"/>
      <c r="N186" s="842"/>
      <c r="O186" s="1298" t="s">
        <v>111</v>
      </c>
      <c r="P186" s="592"/>
      <c r="Q186" s="592">
        <v>573</v>
      </c>
      <c r="R186" s="592"/>
      <c r="S186" s="592"/>
    </row>
    <row r="187" spans="1:72" ht="16.149999999999999" customHeight="1" x14ac:dyDescent="0.2">
      <c r="A187" s="198"/>
      <c r="B187" s="199"/>
      <c r="C187" s="197"/>
      <c r="D187" s="1339" t="s">
        <v>17</v>
      </c>
      <c r="E187" s="285"/>
      <c r="F187" s="1875" t="s">
        <v>134</v>
      </c>
      <c r="G187" s="59"/>
      <c r="H187" s="202"/>
      <c r="I187" s="1993"/>
      <c r="J187" s="915" t="s">
        <v>15</v>
      </c>
      <c r="K187" s="585">
        <v>44</v>
      </c>
      <c r="L187" s="585"/>
      <c r="M187" s="276">
        <v>49.4</v>
      </c>
      <c r="N187" s="277"/>
      <c r="O187" s="42" t="s">
        <v>100</v>
      </c>
      <c r="P187" s="1361">
        <v>8</v>
      </c>
      <c r="Q187" s="1361"/>
      <c r="R187" s="244">
        <v>11</v>
      </c>
      <c r="S187" s="1301"/>
      <c r="U187" s="1801"/>
      <c r="V187" s="1801"/>
      <c r="W187" s="1801"/>
    </row>
    <row r="188" spans="1:72" ht="17.45" customHeight="1" x14ac:dyDescent="0.2">
      <c r="A188" s="198"/>
      <c r="B188" s="199"/>
      <c r="C188" s="197"/>
      <c r="D188" s="937"/>
      <c r="E188" s="307"/>
      <c r="F188" s="1875"/>
      <c r="G188" s="59"/>
      <c r="H188" s="202"/>
      <c r="I188" s="1994"/>
      <c r="J188" s="578" t="s">
        <v>16</v>
      </c>
      <c r="K188" s="846">
        <f>SUM(K185:K187)</f>
        <v>44</v>
      </c>
      <c r="L188" s="579">
        <f>SUM(L185:L187)</f>
        <v>50</v>
      </c>
      <c r="M188" s="580">
        <f>SUM(M185:M187)</f>
        <v>49.4</v>
      </c>
      <c r="N188" s="847">
        <f>SUM(N185:N187)</f>
        <v>0</v>
      </c>
      <c r="O188" s="86" t="s">
        <v>135</v>
      </c>
      <c r="P188" s="1361">
        <v>586</v>
      </c>
      <c r="Q188" s="1361">
        <v>436</v>
      </c>
      <c r="R188" s="244">
        <v>200</v>
      </c>
      <c r="S188" s="1301">
        <v>200</v>
      </c>
    </row>
    <row r="189" spans="1:72" s="9" customFormat="1" ht="17.45" customHeight="1" x14ac:dyDescent="0.2">
      <c r="A189" s="1279"/>
      <c r="B189" s="1002"/>
      <c r="C189" s="2"/>
      <c r="D189" s="292" t="s">
        <v>19</v>
      </c>
      <c r="E189" s="370"/>
      <c r="F189" s="1809" t="s">
        <v>79</v>
      </c>
      <c r="G189" s="95"/>
      <c r="H189" s="912"/>
      <c r="I189" s="2061"/>
      <c r="J189" s="843" t="s">
        <v>15</v>
      </c>
      <c r="K189" s="685">
        <v>72</v>
      </c>
      <c r="L189" s="1319">
        <v>53</v>
      </c>
      <c r="M189" s="844"/>
      <c r="N189" s="845"/>
      <c r="O189" s="997" t="s">
        <v>100</v>
      </c>
      <c r="P189" s="582">
        <v>31</v>
      </c>
      <c r="Q189" s="582">
        <v>13</v>
      </c>
      <c r="R189" s="991"/>
      <c r="S189" s="582"/>
      <c r="T189" s="648"/>
      <c r="U189" s="1801"/>
      <c r="V189" s="1801"/>
      <c r="W189" s="1801"/>
    </row>
    <row r="190" spans="1:72" s="9" customFormat="1" ht="16.899999999999999" customHeight="1" thickBot="1" x14ac:dyDescent="0.25">
      <c r="A190" s="1279"/>
      <c r="B190" s="1002"/>
      <c r="C190" s="2"/>
      <c r="D190" s="292"/>
      <c r="E190" s="301"/>
      <c r="F190" s="1810"/>
      <c r="G190" s="95"/>
      <c r="H190" s="912"/>
      <c r="I190" s="2062"/>
      <c r="J190" s="605" t="s">
        <v>16</v>
      </c>
      <c r="K190" s="80">
        <f>K189</f>
        <v>72</v>
      </c>
      <c r="L190" s="320">
        <f>L189</f>
        <v>53</v>
      </c>
      <c r="M190" s="423">
        <f>M189</f>
        <v>0</v>
      </c>
      <c r="N190" s="430">
        <f>N189</f>
        <v>0</v>
      </c>
      <c r="O190" s="76" t="s">
        <v>62</v>
      </c>
      <c r="P190" s="271">
        <v>39</v>
      </c>
      <c r="Q190" s="788">
        <v>19</v>
      </c>
      <c r="R190" s="788">
        <v>15</v>
      </c>
      <c r="S190" s="271">
        <v>15</v>
      </c>
      <c r="T190" s="57"/>
    </row>
    <row r="191" spans="1:72" s="9" customFormat="1" ht="43.5" customHeight="1" x14ac:dyDescent="0.2">
      <c r="A191" s="1278" t="s">
        <v>17</v>
      </c>
      <c r="B191" s="969" t="s">
        <v>17</v>
      </c>
      <c r="C191" s="970" t="s">
        <v>17</v>
      </c>
      <c r="D191" s="680"/>
      <c r="E191" s="680"/>
      <c r="F191" s="682" t="s">
        <v>215</v>
      </c>
      <c r="G191" s="316"/>
      <c r="H191" s="848"/>
      <c r="I191" s="852"/>
      <c r="J191" s="124"/>
      <c r="K191" s="660"/>
      <c r="L191" s="668"/>
      <c r="M191" s="318"/>
      <c r="N191" s="367"/>
      <c r="O191" s="609"/>
      <c r="P191" s="610"/>
      <c r="Q191" s="609"/>
      <c r="R191" s="613"/>
      <c r="S191" s="609"/>
      <c r="T191" s="57"/>
    </row>
    <row r="192" spans="1:72" s="9" customFormat="1" ht="28.5" customHeight="1" x14ac:dyDescent="0.2">
      <c r="A192" s="1279"/>
      <c r="B192" s="1002"/>
      <c r="C192" s="2"/>
      <c r="D192" s="1344" t="s">
        <v>14</v>
      </c>
      <c r="E192" s="1344"/>
      <c r="F192" s="577" t="s">
        <v>177</v>
      </c>
      <c r="G192" s="971"/>
      <c r="H192" s="965">
        <v>2</v>
      </c>
      <c r="I192" s="990" t="s">
        <v>286</v>
      </c>
      <c r="J192" s="1358" t="s">
        <v>15</v>
      </c>
      <c r="K192" s="1360">
        <v>5</v>
      </c>
      <c r="L192" s="1318">
        <v>5</v>
      </c>
      <c r="M192" s="993">
        <v>60</v>
      </c>
      <c r="N192" s="851">
        <v>35</v>
      </c>
      <c r="O192" s="462" t="s">
        <v>106</v>
      </c>
      <c r="P192" s="12">
        <v>1</v>
      </c>
      <c r="Q192" s="558">
        <v>1</v>
      </c>
      <c r="R192" s="612">
        <v>12</v>
      </c>
      <c r="S192" s="558">
        <v>7</v>
      </c>
      <c r="T192" s="57"/>
      <c r="U192" s="930"/>
    </row>
    <row r="193" spans="1:20" s="9" customFormat="1" ht="15.75" customHeight="1" x14ac:dyDescent="0.2">
      <c r="A193" s="1279"/>
      <c r="B193" s="1002"/>
      <c r="C193" s="2"/>
      <c r="D193" s="2059" t="s">
        <v>17</v>
      </c>
      <c r="E193" s="2059"/>
      <c r="F193" s="1999" t="s">
        <v>176</v>
      </c>
      <c r="G193" s="2012" t="s">
        <v>262</v>
      </c>
      <c r="H193" s="966">
        <v>1</v>
      </c>
      <c r="I193" s="2010" t="s">
        <v>173</v>
      </c>
      <c r="J193" s="102" t="s">
        <v>15</v>
      </c>
      <c r="K193" s="667">
        <v>158</v>
      </c>
      <c r="L193" s="1259">
        <v>158</v>
      </c>
      <c r="M193" s="911">
        <v>221.2</v>
      </c>
      <c r="N193" s="20">
        <v>74.900000000000006</v>
      </c>
      <c r="O193" s="462" t="s">
        <v>100</v>
      </c>
      <c r="P193" s="12">
        <v>10</v>
      </c>
      <c r="Q193" s="558">
        <v>10</v>
      </c>
      <c r="R193" s="560">
        <v>14</v>
      </c>
      <c r="S193" s="558">
        <v>6</v>
      </c>
      <c r="T193" s="57"/>
    </row>
    <row r="194" spans="1:20" s="9" customFormat="1" ht="15" customHeight="1" x14ac:dyDescent="0.2">
      <c r="A194" s="1279"/>
      <c r="B194" s="1002"/>
      <c r="C194" s="2"/>
      <c r="D194" s="2060"/>
      <c r="E194" s="2060"/>
      <c r="F194" s="2001"/>
      <c r="G194" s="2013"/>
      <c r="H194" s="967"/>
      <c r="I194" s="2010"/>
      <c r="J194" s="850" t="s">
        <v>87</v>
      </c>
      <c r="K194" s="667"/>
      <c r="L194" s="74">
        <v>151</v>
      </c>
      <c r="M194" s="993"/>
      <c r="N194" s="851"/>
      <c r="O194" s="455" t="s">
        <v>252</v>
      </c>
      <c r="P194" s="1299">
        <v>5</v>
      </c>
      <c r="Q194" s="1361">
        <v>5</v>
      </c>
      <c r="R194" s="611">
        <v>60</v>
      </c>
      <c r="S194" s="1361">
        <v>35</v>
      </c>
      <c r="T194" s="57"/>
    </row>
    <row r="195" spans="1:20" s="9" customFormat="1" ht="15.75" customHeight="1" x14ac:dyDescent="0.2">
      <c r="A195" s="1279"/>
      <c r="B195" s="1002"/>
      <c r="C195" s="2"/>
      <c r="D195" s="292" t="s">
        <v>19</v>
      </c>
      <c r="E195" s="1344"/>
      <c r="F195" s="1999" t="s">
        <v>216</v>
      </c>
      <c r="G195" s="1356" t="s">
        <v>262</v>
      </c>
      <c r="H195" s="967"/>
      <c r="I195" s="2010"/>
      <c r="J195" s="996" t="s">
        <v>15</v>
      </c>
      <c r="K195" s="685"/>
      <c r="L195" s="1319"/>
      <c r="M195" s="1320"/>
      <c r="N195" s="999">
        <v>104</v>
      </c>
      <c r="O195" s="1958" t="s">
        <v>100</v>
      </c>
      <c r="P195" s="1960"/>
      <c r="Q195" s="2002"/>
      <c r="R195" s="1885"/>
      <c r="S195" s="2002">
        <v>52</v>
      </c>
      <c r="T195" s="57"/>
    </row>
    <row r="196" spans="1:20" s="9" customFormat="1" ht="15.75" customHeight="1" thickBot="1" x14ac:dyDescent="0.25">
      <c r="A196" s="1280"/>
      <c r="B196" s="678"/>
      <c r="C196" s="637"/>
      <c r="D196" s="638"/>
      <c r="E196" s="790"/>
      <c r="F196" s="2000"/>
      <c r="G196" s="972"/>
      <c r="H196" s="968"/>
      <c r="I196" s="2011"/>
      <c r="J196" s="8" t="s">
        <v>16</v>
      </c>
      <c r="K196" s="662">
        <f>SUM(K192:K195)</f>
        <v>163</v>
      </c>
      <c r="L196" s="16">
        <f>SUM(L192:L195)</f>
        <v>314</v>
      </c>
      <c r="M196" s="63">
        <f>SUM(M192:M195)</f>
        <v>281.2</v>
      </c>
      <c r="N196" s="427">
        <f>SUM(N192:N195)</f>
        <v>213.9</v>
      </c>
      <c r="O196" s="1959"/>
      <c r="P196" s="1961"/>
      <c r="Q196" s="2003"/>
      <c r="R196" s="1886"/>
      <c r="S196" s="2003"/>
      <c r="T196" s="648"/>
    </row>
    <row r="197" spans="1:20" ht="15.75" customHeight="1" thickBot="1" x14ac:dyDescent="0.25">
      <c r="A197" s="229" t="s">
        <v>17</v>
      </c>
      <c r="B197" s="213" t="s">
        <v>17</v>
      </c>
      <c r="C197" s="1900" t="s">
        <v>20</v>
      </c>
      <c r="D197" s="1901"/>
      <c r="E197" s="1901"/>
      <c r="F197" s="1901"/>
      <c r="G197" s="1901"/>
      <c r="H197" s="1901"/>
      <c r="I197" s="1901"/>
      <c r="J197" s="1901"/>
      <c r="K197" s="616">
        <f>K188+K190+K196</f>
        <v>279</v>
      </c>
      <c r="L197" s="394">
        <f>L188+L190+L196</f>
        <v>417</v>
      </c>
      <c r="M197" s="424">
        <f>M188+M190+M196</f>
        <v>330.59999999999997</v>
      </c>
      <c r="N197" s="431">
        <f>N188+N190+N196</f>
        <v>213.9</v>
      </c>
      <c r="O197" s="608"/>
      <c r="P197" s="273"/>
      <c r="Q197" s="273"/>
      <c r="R197" s="273"/>
      <c r="S197" s="274"/>
    </row>
    <row r="198" spans="1:20" ht="15.75" customHeight="1" thickBot="1" x14ac:dyDescent="0.25">
      <c r="A198" s="229" t="s">
        <v>17</v>
      </c>
      <c r="B198" s="253" t="s">
        <v>19</v>
      </c>
      <c r="C198" s="1873" t="s">
        <v>33</v>
      </c>
      <c r="D198" s="1851"/>
      <c r="E198" s="1851"/>
      <c r="F198" s="1851"/>
      <c r="G198" s="1851"/>
      <c r="H198" s="1851"/>
      <c r="I198" s="1851"/>
      <c r="J198" s="1851"/>
      <c r="K198" s="1851"/>
      <c r="L198" s="1851"/>
      <c r="M198" s="1851"/>
      <c r="N198" s="1851"/>
      <c r="O198" s="1851"/>
      <c r="P198" s="1851"/>
      <c r="Q198" s="1851"/>
      <c r="R198" s="1851"/>
      <c r="S198" s="1874"/>
    </row>
    <row r="199" spans="1:20" ht="15.75" customHeight="1" x14ac:dyDescent="0.2">
      <c r="A199" s="234" t="s">
        <v>17</v>
      </c>
      <c r="B199" s="209" t="s">
        <v>19</v>
      </c>
      <c r="C199" s="210" t="s">
        <v>14</v>
      </c>
      <c r="D199" s="284"/>
      <c r="E199" s="284"/>
      <c r="F199" s="1902" t="s">
        <v>34</v>
      </c>
      <c r="G199" s="1305"/>
      <c r="H199" s="410">
        <v>6</v>
      </c>
      <c r="I199" s="2040" t="s">
        <v>290</v>
      </c>
      <c r="J199" s="52"/>
      <c r="K199" s="702"/>
      <c r="L199" s="702"/>
      <c r="M199" s="703"/>
      <c r="N199" s="704"/>
      <c r="O199" s="1343"/>
      <c r="P199" s="1328"/>
      <c r="Q199" s="705"/>
      <c r="R199" s="706"/>
      <c r="S199" s="707"/>
    </row>
    <row r="200" spans="1:20" ht="15.75" customHeight="1" x14ac:dyDescent="0.2">
      <c r="A200" s="198"/>
      <c r="B200" s="199"/>
      <c r="C200" s="200"/>
      <c r="D200" s="285"/>
      <c r="E200" s="285"/>
      <c r="F200" s="1903"/>
      <c r="G200" s="1302"/>
      <c r="H200" s="180"/>
      <c r="I200" s="1992"/>
      <c r="J200" s="708"/>
      <c r="K200" s="709"/>
      <c r="L200" s="709"/>
      <c r="M200" s="710"/>
      <c r="N200" s="711"/>
      <c r="O200" s="1334"/>
      <c r="P200" s="1324"/>
      <c r="Q200" s="712"/>
      <c r="R200" s="242"/>
      <c r="S200" s="713"/>
    </row>
    <row r="201" spans="1:20" ht="39.75" customHeight="1" x14ac:dyDescent="0.2">
      <c r="A201" s="198"/>
      <c r="B201" s="199"/>
      <c r="C201" s="241"/>
      <c r="D201" s="1339" t="s">
        <v>14</v>
      </c>
      <c r="E201" s="1339"/>
      <c r="F201" s="1904" t="s">
        <v>323</v>
      </c>
      <c r="G201" s="1302"/>
      <c r="H201" s="180"/>
      <c r="I201" s="1992"/>
      <c r="J201" s="5" t="s">
        <v>15</v>
      </c>
      <c r="K201" s="78">
        <v>548.4</v>
      </c>
      <c r="L201" s="78">
        <f>470+115</f>
        <v>585</v>
      </c>
      <c r="M201" s="129">
        <v>500</v>
      </c>
      <c r="N201" s="33">
        <v>500</v>
      </c>
      <c r="O201" s="715" t="s">
        <v>136</v>
      </c>
      <c r="P201" s="931">
        <v>21</v>
      </c>
      <c r="Q201" s="561">
        <v>18</v>
      </c>
      <c r="R201" s="716">
        <v>18</v>
      </c>
      <c r="S201" s="6">
        <v>18</v>
      </c>
    </row>
    <row r="202" spans="1:20" ht="67.5" customHeight="1" x14ac:dyDescent="0.2">
      <c r="A202" s="198"/>
      <c r="B202" s="199"/>
      <c r="C202" s="241"/>
      <c r="D202" s="937"/>
      <c r="E202" s="937"/>
      <c r="F202" s="1905"/>
      <c r="G202" s="1302"/>
      <c r="H202" s="180"/>
      <c r="I202" s="1324"/>
      <c r="J202" s="5" t="s">
        <v>87</v>
      </c>
      <c r="K202" s="78"/>
      <c r="L202" s="78">
        <f>15.3+200</f>
        <v>215.3</v>
      </c>
      <c r="M202" s="129"/>
      <c r="N202" s="33"/>
      <c r="O202" s="1288"/>
      <c r="P202" s="1347"/>
      <c r="Q202" s="565">
        <v>3</v>
      </c>
      <c r="R202" s="566"/>
      <c r="S202" s="567"/>
    </row>
    <row r="203" spans="1:20" s="57" customFormat="1" ht="16.5" customHeight="1" x14ac:dyDescent="0.2">
      <c r="A203" s="198"/>
      <c r="B203" s="199"/>
      <c r="C203" s="241"/>
      <c r="D203" s="1339" t="s">
        <v>17</v>
      </c>
      <c r="E203" s="1339"/>
      <c r="F203" s="1904" t="s">
        <v>77</v>
      </c>
      <c r="G203" s="1302"/>
      <c r="H203" s="180"/>
      <c r="I203" s="1324"/>
      <c r="J203" s="60" t="s">
        <v>15</v>
      </c>
      <c r="K203" s="72">
        <v>33.700000000000003</v>
      </c>
      <c r="L203" s="72">
        <v>33.700000000000003</v>
      </c>
      <c r="M203" s="94">
        <v>36.700000000000003</v>
      </c>
      <c r="N203" s="496">
        <v>36.700000000000003</v>
      </c>
      <c r="O203" s="1288" t="s">
        <v>100</v>
      </c>
      <c r="P203" s="1347">
        <v>93</v>
      </c>
      <c r="Q203" s="565">
        <v>93</v>
      </c>
      <c r="R203" s="717">
        <v>93</v>
      </c>
      <c r="S203" s="567">
        <v>93</v>
      </c>
    </row>
    <row r="204" spans="1:20" s="57" customFormat="1" ht="16.5" customHeight="1" x14ac:dyDescent="0.2">
      <c r="A204" s="198"/>
      <c r="B204" s="199"/>
      <c r="C204" s="241"/>
      <c r="D204" s="307"/>
      <c r="E204" s="937"/>
      <c r="F204" s="1905"/>
      <c r="G204" s="1302"/>
      <c r="H204" s="180"/>
      <c r="I204" s="1324"/>
      <c r="J204" s="60" t="s">
        <v>87</v>
      </c>
      <c r="K204" s="72">
        <v>3</v>
      </c>
      <c r="L204" s="452">
        <v>3</v>
      </c>
      <c r="M204" s="127"/>
      <c r="N204" s="495"/>
      <c r="O204" s="1282"/>
      <c r="P204" s="1346"/>
      <c r="Q204" s="718"/>
      <c r="R204" s="719"/>
      <c r="S204" s="583"/>
    </row>
    <row r="205" spans="1:20" ht="28.5" customHeight="1" x14ac:dyDescent="0.2">
      <c r="A205" s="198"/>
      <c r="B205" s="199"/>
      <c r="C205" s="241"/>
      <c r="D205" s="307" t="s">
        <v>19</v>
      </c>
      <c r="E205" s="937"/>
      <c r="F205" s="720" t="s">
        <v>38</v>
      </c>
      <c r="G205" s="1302"/>
      <c r="H205" s="180"/>
      <c r="I205" s="1324"/>
      <c r="J205" s="60" t="s">
        <v>15</v>
      </c>
      <c r="K205" s="72">
        <v>90.2</v>
      </c>
      <c r="L205" s="134">
        <v>90.2</v>
      </c>
      <c r="M205" s="130">
        <v>90.2</v>
      </c>
      <c r="N205" s="138">
        <v>90.2</v>
      </c>
      <c r="O205" s="1282" t="s">
        <v>137</v>
      </c>
      <c r="P205" s="1346">
        <v>30</v>
      </c>
      <c r="Q205" s="718">
        <v>30</v>
      </c>
      <c r="R205" s="719">
        <v>30</v>
      </c>
      <c r="S205" s="583">
        <v>30</v>
      </c>
    </row>
    <row r="206" spans="1:20" ht="29.25" customHeight="1" x14ac:dyDescent="0.2">
      <c r="A206" s="198"/>
      <c r="B206" s="199"/>
      <c r="C206" s="241"/>
      <c r="D206" s="1338" t="s">
        <v>21</v>
      </c>
      <c r="E206" s="1338"/>
      <c r="F206" s="720" t="s">
        <v>40</v>
      </c>
      <c r="G206" s="1302"/>
      <c r="H206" s="180"/>
      <c r="I206" s="1324"/>
      <c r="J206" s="721" t="s">
        <v>15</v>
      </c>
      <c r="K206" s="72">
        <f>42-15.9</f>
        <v>26.1</v>
      </c>
      <c r="L206" s="72">
        <v>55</v>
      </c>
      <c r="M206" s="94">
        <v>50</v>
      </c>
      <c r="N206" s="496">
        <v>50</v>
      </c>
      <c r="O206" s="1282" t="s">
        <v>138</v>
      </c>
      <c r="P206" s="1346">
        <v>3</v>
      </c>
      <c r="Q206" s="718">
        <v>4</v>
      </c>
      <c r="R206" s="719">
        <v>4</v>
      </c>
      <c r="S206" s="583">
        <v>4</v>
      </c>
    </row>
    <row r="207" spans="1:20" ht="18" customHeight="1" x14ac:dyDescent="0.2">
      <c r="A207" s="198"/>
      <c r="B207" s="199"/>
      <c r="C207" s="241"/>
      <c r="D207" s="304" t="s">
        <v>22</v>
      </c>
      <c r="E207" s="304"/>
      <c r="F207" s="714" t="s">
        <v>37</v>
      </c>
      <c r="G207" s="1302"/>
      <c r="H207" s="180"/>
      <c r="I207" s="1324"/>
      <c r="J207" s="721" t="s">
        <v>15</v>
      </c>
      <c r="K207" s="72">
        <v>17.2</v>
      </c>
      <c r="L207" s="722">
        <v>17.5</v>
      </c>
      <c r="M207" s="723">
        <f>+L207</f>
        <v>17.5</v>
      </c>
      <c r="N207" s="670">
        <f>+M207</f>
        <v>17.5</v>
      </c>
      <c r="O207" s="724" t="s">
        <v>41</v>
      </c>
      <c r="P207" s="436">
        <v>35</v>
      </c>
      <c r="Q207" s="725">
        <v>37.700000000000003</v>
      </c>
      <c r="R207" s="670">
        <f>+Q207</f>
        <v>37.700000000000003</v>
      </c>
      <c r="S207" s="726">
        <f>+R207</f>
        <v>37.700000000000003</v>
      </c>
      <c r="T207" s="57"/>
    </row>
    <row r="208" spans="1:20" ht="14.25" customHeight="1" x14ac:dyDescent="0.2">
      <c r="A208" s="198"/>
      <c r="B208" s="199"/>
      <c r="C208" s="200"/>
      <c r="D208" s="306" t="s">
        <v>85</v>
      </c>
      <c r="E208" s="306"/>
      <c r="F208" s="1295" t="s">
        <v>39</v>
      </c>
      <c r="G208" s="1302"/>
      <c r="H208" s="180"/>
      <c r="I208" s="1324"/>
      <c r="J208" s="721" t="s">
        <v>15</v>
      </c>
      <c r="K208" s="72">
        <v>393.6</v>
      </c>
      <c r="L208" s="72">
        <v>261.39999999999998</v>
      </c>
      <c r="M208" s="94">
        <v>287.39999999999998</v>
      </c>
      <c r="N208" s="496">
        <v>287.39999999999998</v>
      </c>
      <c r="O208" s="1906" t="s">
        <v>140</v>
      </c>
      <c r="P208" s="584">
        <v>101</v>
      </c>
      <c r="Q208" s="727">
        <v>101</v>
      </c>
      <c r="R208" s="728">
        <v>101</v>
      </c>
      <c r="S208" s="418">
        <v>101</v>
      </c>
      <c r="T208" s="57"/>
    </row>
    <row r="209" spans="1:22" ht="14.25" customHeight="1" x14ac:dyDescent="0.2">
      <c r="A209" s="198"/>
      <c r="B209" s="199"/>
      <c r="C209" s="200"/>
      <c r="D209" s="285"/>
      <c r="E209" s="285"/>
      <c r="F209" s="729"/>
      <c r="G209" s="1302"/>
      <c r="H209" s="180"/>
      <c r="I209" s="1324"/>
      <c r="J209" s="721" t="s">
        <v>87</v>
      </c>
      <c r="K209" s="72">
        <v>35.700000000000003</v>
      </c>
      <c r="L209" s="72">
        <v>26</v>
      </c>
      <c r="M209" s="94"/>
      <c r="N209" s="496"/>
      <c r="O209" s="1907"/>
      <c r="P209" s="584"/>
      <c r="Q209" s="727"/>
      <c r="R209" s="728"/>
      <c r="S209" s="418"/>
      <c r="T209" s="57"/>
    </row>
    <row r="210" spans="1:22" ht="14.25" customHeight="1" x14ac:dyDescent="0.2">
      <c r="A210" s="198"/>
      <c r="B210" s="199"/>
      <c r="C210" s="200"/>
      <c r="D210" s="307"/>
      <c r="E210" s="307"/>
      <c r="F210" s="1296"/>
      <c r="G210" s="1302"/>
      <c r="H210" s="180"/>
      <c r="I210" s="1324"/>
      <c r="J210" s="730" t="s">
        <v>18</v>
      </c>
      <c r="K210" s="72">
        <v>7.4</v>
      </c>
      <c r="L210" s="722">
        <v>2.6</v>
      </c>
      <c r="M210" s="723">
        <v>2.6</v>
      </c>
      <c r="N210" s="670">
        <v>2.6</v>
      </c>
      <c r="O210" s="1908"/>
      <c r="P210" s="584"/>
      <c r="Q210" s="727"/>
      <c r="R210" s="728"/>
      <c r="S210" s="418"/>
      <c r="T210" s="57"/>
    </row>
    <row r="211" spans="1:22" ht="27" customHeight="1" x14ac:dyDescent="0.2">
      <c r="A211" s="198"/>
      <c r="B211" s="199"/>
      <c r="C211" s="241"/>
      <c r="D211" s="1338" t="s">
        <v>86</v>
      </c>
      <c r="E211" s="1338"/>
      <c r="F211" s="731" t="s">
        <v>48</v>
      </c>
      <c r="G211" s="985"/>
      <c r="H211" s="29"/>
      <c r="I211" s="1316"/>
      <c r="J211" s="732" t="s">
        <v>15</v>
      </c>
      <c r="K211" s="72">
        <f>500-100</f>
        <v>400</v>
      </c>
      <c r="L211" s="72">
        <v>330</v>
      </c>
      <c r="M211" s="94">
        <v>400</v>
      </c>
      <c r="N211" s="496">
        <v>400</v>
      </c>
      <c r="O211" s="733" t="s">
        <v>100</v>
      </c>
      <c r="P211" s="931">
        <v>16</v>
      </c>
      <c r="Q211" s="561">
        <v>11</v>
      </c>
      <c r="R211" s="716">
        <v>12</v>
      </c>
      <c r="S211" s="6">
        <v>12</v>
      </c>
      <c r="T211" s="989"/>
    </row>
    <row r="212" spans="1:22" ht="31.5" customHeight="1" x14ac:dyDescent="0.2">
      <c r="A212" s="198"/>
      <c r="B212" s="199"/>
      <c r="C212" s="241"/>
      <c r="D212" s="304" t="s">
        <v>183</v>
      </c>
      <c r="E212" s="304"/>
      <c r="F212" s="1294" t="s">
        <v>308</v>
      </c>
      <c r="G212" s="985"/>
      <c r="H212" s="29"/>
      <c r="I212" s="1316"/>
      <c r="J212" s="931" t="s">
        <v>15</v>
      </c>
      <c r="K212" s="72">
        <v>170</v>
      </c>
      <c r="L212" s="72">
        <v>180</v>
      </c>
      <c r="M212" s="94">
        <v>170</v>
      </c>
      <c r="N212" s="496">
        <v>170</v>
      </c>
      <c r="O212" s="733" t="s">
        <v>100</v>
      </c>
      <c r="P212" s="1346">
        <v>10</v>
      </c>
      <c r="Q212" s="718">
        <v>9</v>
      </c>
      <c r="R212" s="719">
        <v>9</v>
      </c>
      <c r="S212" s="583">
        <v>9</v>
      </c>
    </row>
    <row r="213" spans="1:22" ht="18" customHeight="1" x14ac:dyDescent="0.2">
      <c r="A213" s="198"/>
      <c r="B213" s="199"/>
      <c r="C213" s="241"/>
      <c r="D213" s="304" t="s">
        <v>184</v>
      </c>
      <c r="E213" s="304"/>
      <c r="F213" s="1271" t="s">
        <v>71</v>
      </c>
      <c r="G213" s="994"/>
      <c r="H213" s="29"/>
      <c r="I213" s="1316"/>
      <c r="J213" s="732" t="s">
        <v>15</v>
      </c>
      <c r="K213" s="72">
        <f>310-6.4</f>
        <v>303.60000000000002</v>
      </c>
      <c r="L213" s="72">
        <v>200</v>
      </c>
      <c r="M213" s="94">
        <v>300</v>
      </c>
      <c r="N213" s="496">
        <v>300</v>
      </c>
      <c r="O213" s="733" t="s">
        <v>100</v>
      </c>
      <c r="P213" s="1346">
        <v>12</v>
      </c>
      <c r="Q213" s="718">
        <v>9</v>
      </c>
      <c r="R213" s="719">
        <v>11</v>
      </c>
      <c r="S213" s="583">
        <v>11</v>
      </c>
    </row>
    <row r="214" spans="1:22" ht="27.75" customHeight="1" x14ac:dyDescent="0.2">
      <c r="A214" s="198"/>
      <c r="B214" s="199"/>
      <c r="C214" s="200"/>
      <c r="D214" s="285" t="s">
        <v>5</v>
      </c>
      <c r="E214" s="285"/>
      <c r="F214" s="1773" t="s">
        <v>314</v>
      </c>
      <c r="G214" s="1956" t="s">
        <v>47</v>
      </c>
      <c r="H214" s="180"/>
      <c r="I214" s="1324"/>
      <c r="J214" s="5" t="s">
        <v>15</v>
      </c>
      <c r="K214" s="134">
        <v>64.900000000000006</v>
      </c>
      <c r="L214" s="72">
        <v>168</v>
      </c>
      <c r="M214" s="94">
        <v>120</v>
      </c>
      <c r="N214" s="496">
        <v>120</v>
      </c>
      <c r="O214" s="1297" t="s">
        <v>142</v>
      </c>
      <c r="P214" s="1346">
        <v>2</v>
      </c>
      <c r="Q214" s="718">
        <v>1</v>
      </c>
      <c r="R214" s="719">
        <v>1</v>
      </c>
      <c r="S214" s="583">
        <v>1</v>
      </c>
    </row>
    <row r="215" spans="1:22" ht="27.75" customHeight="1" x14ac:dyDescent="0.2">
      <c r="A215" s="198"/>
      <c r="B215" s="199"/>
      <c r="C215" s="200"/>
      <c r="D215" s="285"/>
      <c r="E215" s="285"/>
      <c r="F215" s="1775"/>
      <c r="G215" s="1957"/>
      <c r="H215" s="180"/>
      <c r="I215" s="1324"/>
      <c r="J215" s="5" t="s">
        <v>87</v>
      </c>
      <c r="K215" s="72">
        <f>56.4+7.4</f>
        <v>63.8</v>
      </c>
      <c r="L215" s="72">
        <v>45.1</v>
      </c>
      <c r="M215" s="94"/>
      <c r="N215" s="496"/>
      <c r="O215" s="715" t="s">
        <v>150</v>
      </c>
      <c r="P215" s="1347">
        <v>5</v>
      </c>
      <c r="Q215" s="565">
        <v>4</v>
      </c>
      <c r="R215" s="566">
        <v>3</v>
      </c>
      <c r="S215" s="567">
        <v>3</v>
      </c>
    </row>
    <row r="216" spans="1:22" ht="28.5" customHeight="1" x14ac:dyDescent="0.2">
      <c r="A216" s="198"/>
      <c r="B216" s="199"/>
      <c r="C216" s="200"/>
      <c r="D216" s="312" t="s">
        <v>185</v>
      </c>
      <c r="E216" s="312"/>
      <c r="F216" s="461" t="s">
        <v>118</v>
      </c>
      <c r="G216" s="734"/>
      <c r="H216" s="187"/>
      <c r="I216" s="1316"/>
      <c r="J216" s="67" t="s">
        <v>15</v>
      </c>
      <c r="K216" s="72">
        <v>74.5</v>
      </c>
      <c r="L216" s="72">
        <v>90</v>
      </c>
      <c r="M216" s="94">
        <v>90</v>
      </c>
      <c r="N216" s="496">
        <v>90</v>
      </c>
      <c r="O216" s="1288" t="s">
        <v>100</v>
      </c>
      <c r="P216" s="1347">
        <v>33</v>
      </c>
      <c r="Q216" s="565">
        <v>33</v>
      </c>
      <c r="R216" s="566">
        <v>33</v>
      </c>
      <c r="S216" s="567">
        <v>33</v>
      </c>
    </row>
    <row r="217" spans="1:22" ht="16.5" customHeight="1" x14ac:dyDescent="0.2">
      <c r="A217" s="198"/>
      <c r="B217" s="199"/>
      <c r="C217" s="200"/>
      <c r="D217" s="306" t="s">
        <v>186</v>
      </c>
      <c r="E217" s="1339"/>
      <c r="F217" s="1893" t="s">
        <v>325</v>
      </c>
      <c r="G217" s="735"/>
      <c r="H217" s="701"/>
      <c r="I217" s="1316"/>
      <c r="J217" s="1315" t="s">
        <v>15</v>
      </c>
      <c r="K217" s="736"/>
      <c r="L217" s="78">
        <v>85</v>
      </c>
      <c r="M217" s="129"/>
      <c r="N217" s="33"/>
      <c r="O217" s="381" t="s">
        <v>100</v>
      </c>
      <c r="P217" s="1347"/>
      <c r="Q217" s="565">
        <v>3</v>
      </c>
      <c r="R217" s="717"/>
      <c r="S217" s="567"/>
    </row>
    <row r="218" spans="1:22" ht="14.25" customHeight="1" x14ac:dyDescent="0.2">
      <c r="A218" s="198"/>
      <c r="B218" s="199"/>
      <c r="C218" s="200"/>
      <c r="D218" s="937"/>
      <c r="E218" s="1338"/>
      <c r="F218" s="1894"/>
      <c r="G218" s="735"/>
      <c r="H218" s="701"/>
      <c r="I218" s="1316"/>
      <c r="J218" s="1329"/>
      <c r="K218" s="134"/>
      <c r="L218" s="134"/>
      <c r="M218" s="130"/>
      <c r="N218" s="138"/>
      <c r="O218" s="1297"/>
      <c r="P218" s="584"/>
      <c r="Q218" s="727"/>
      <c r="R218" s="728"/>
      <c r="S218" s="418"/>
    </row>
    <row r="219" spans="1:22" ht="29.25" customHeight="1" x14ac:dyDescent="0.2">
      <c r="A219" s="198"/>
      <c r="B219" s="199"/>
      <c r="C219" s="241"/>
      <c r="D219" s="304" t="s">
        <v>187</v>
      </c>
      <c r="E219" s="304"/>
      <c r="F219" s="1294" t="s">
        <v>207</v>
      </c>
      <c r="G219" s="985"/>
      <c r="H219" s="29"/>
      <c r="I219" s="1316"/>
      <c r="J219" s="732" t="s">
        <v>15</v>
      </c>
      <c r="K219" s="773"/>
      <c r="L219" s="72"/>
      <c r="M219" s="94">
        <v>100</v>
      </c>
      <c r="N219" s="496"/>
      <c r="O219" s="733" t="s">
        <v>100</v>
      </c>
      <c r="P219" s="931"/>
      <c r="Q219" s="561"/>
      <c r="R219" s="716">
        <v>1</v>
      </c>
      <c r="S219" s="6"/>
      <c r="T219" s="989"/>
      <c r="U219" s="1801"/>
      <c r="V219" s="1801"/>
    </row>
    <row r="220" spans="1:22" ht="29.25" customHeight="1" x14ac:dyDescent="0.2">
      <c r="A220" s="198"/>
      <c r="B220" s="199"/>
      <c r="C220" s="200"/>
      <c r="D220" s="975" t="s">
        <v>188</v>
      </c>
      <c r="E220" s="821"/>
      <c r="F220" s="1262" t="s">
        <v>310</v>
      </c>
      <c r="G220" s="1281"/>
      <c r="H220" s="701"/>
      <c r="I220" s="1316"/>
      <c r="J220" s="1315" t="s">
        <v>15</v>
      </c>
      <c r="K220" s="736"/>
      <c r="L220" s="78"/>
      <c r="M220" s="129"/>
      <c r="N220" s="33"/>
      <c r="O220" s="381" t="s">
        <v>100</v>
      </c>
      <c r="P220" s="1347"/>
      <c r="Q220" s="565"/>
      <c r="R220" s="566"/>
      <c r="S220" s="567"/>
      <c r="T220" s="152"/>
      <c r="U220" s="1289"/>
      <c r="V220" s="1270"/>
    </row>
    <row r="221" spans="1:22" ht="14.25" customHeight="1" x14ac:dyDescent="0.2">
      <c r="A221" s="198"/>
      <c r="B221" s="199"/>
      <c r="C221" s="200"/>
      <c r="D221" s="306"/>
      <c r="E221" s="1339"/>
      <c r="F221" s="1773" t="s">
        <v>228</v>
      </c>
      <c r="G221" s="735"/>
      <c r="H221" s="701"/>
      <c r="I221" s="1316"/>
      <c r="J221" s="390" t="s">
        <v>18</v>
      </c>
      <c r="K221" s="736">
        <v>32.799999999999997</v>
      </c>
      <c r="L221" s="78"/>
      <c r="M221" s="129"/>
      <c r="N221" s="33"/>
      <c r="O221" s="1906" t="s">
        <v>136</v>
      </c>
      <c r="P221" s="1347">
        <v>2</v>
      </c>
      <c r="Q221" s="565"/>
      <c r="R221" s="566"/>
      <c r="S221" s="567"/>
    </row>
    <row r="222" spans="1:22" ht="14.25" customHeight="1" x14ac:dyDescent="0.2">
      <c r="A222" s="198"/>
      <c r="B222" s="199"/>
      <c r="C222" s="200"/>
      <c r="D222" s="285"/>
      <c r="E222" s="285"/>
      <c r="F222" s="1775"/>
      <c r="G222" s="735"/>
      <c r="H222" s="701"/>
      <c r="I222" s="1316"/>
      <c r="J222" s="49" t="s">
        <v>15</v>
      </c>
      <c r="K222" s="72">
        <v>16.399999999999999</v>
      </c>
      <c r="L222" s="72"/>
      <c r="M222" s="94"/>
      <c r="N222" s="61"/>
      <c r="O222" s="1908"/>
      <c r="P222" s="584"/>
      <c r="Q222" s="727"/>
      <c r="R222" s="728"/>
      <c r="S222" s="418"/>
    </row>
    <row r="223" spans="1:22" ht="30.75" customHeight="1" x14ac:dyDescent="0.2">
      <c r="A223" s="198"/>
      <c r="B223" s="199"/>
      <c r="C223" s="200"/>
      <c r="D223" s="1338"/>
      <c r="E223" s="1338"/>
      <c r="F223" s="820" t="s">
        <v>309</v>
      </c>
      <c r="G223" s="1302"/>
      <c r="H223" s="180"/>
      <c r="I223" s="1324"/>
      <c r="J223" s="990" t="s">
        <v>15</v>
      </c>
      <c r="K223" s="72">
        <v>25</v>
      </c>
      <c r="L223" s="72"/>
      <c r="M223" s="94"/>
      <c r="N223" s="496"/>
      <c r="O223" s="1288" t="s">
        <v>139</v>
      </c>
      <c r="P223" s="1347">
        <v>7</v>
      </c>
      <c r="Q223" s="565"/>
      <c r="R223" s="566"/>
      <c r="S223" s="567"/>
      <c r="T223" s="57"/>
    </row>
    <row r="224" spans="1:22" ht="25.5" customHeight="1" x14ac:dyDescent="0.2">
      <c r="A224" s="198"/>
      <c r="B224" s="199"/>
      <c r="C224" s="200"/>
      <c r="D224" s="285"/>
      <c r="E224" s="1338"/>
      <c r="F224" s="1893" t="s">
        <v>264</v>
      </c>
      <c r="G224" s="735"/>
      <c r="H224" s="701"/>
      <c r="I224" s="1316"/>
      <c r="J224" s="1315" t="s">
        <v>15</v>
      </c>
      <c r="K224" s="736"/>
      <c r="L224" s="78"/>
      <c r="M224" s="129"/>
      <c r="N224" s="33"/>
      <c r="O224" s="1906" t="s">
        <v>258</v>
      </c>
      <c r="P224" s="1347"/>
      <c r="Q224" s="565"/>
      <c r="R224" s="566"/>
      <c r="S224" s="567"/>
      <c r="U224" s="1801"/>
      <c r="V224" s="1801"/>
    </row>
    <row r="225" spans="1:23" ht="19.5" customHeight="1" x14ac:dyDescent="0.2">
      <c r="A225" s="198"/>
      <c r="B225" s="199"/>
      <c r="C225" s="200"/>
      <c r="D225" s="1338"/>
      <c r="E225" s="1338"/>
      <c r="F225" s="1894"/>
      <c r="G225" s="735"/>
      <c r="H225" s="701"/>
      <c r="I225" s="1316"/>
      <c r="J225" s="1329"/>
      <c r="K225" s="134"/>
      <c r="L225" s="452"/>
      <c r="M225" s="127"/>
      <c r="N225" s="495"/>
      <c r="O225" s="1907"/>
      <c r="P225" s="584"/>
      <c r="Q225" s="727"/>
      <c r="R225" s="728"/>
      <c r="S225" s="418"/>
    </row>
    <row r="226" spans="1:23" ht="14.25" customHeight="1" thickBot="1" x14ac:dyDescent="0.25">
      <c r="A226" s="216"/>
      <c r="B226" s="213"/>
      <c r="C226" s="214"/>
      <c r="D226" s="287"/>
      <c r="E226" s="287"/>
      <c r="F226" s="2014"/>
      <c r="G226" s="1303"/>
      <c r="H226" s="738"/>
      <c r="I226" s="1337"/>
      <c r="J226" s="68" t="s">
        <v>16</v>
      </c>
      <c r="K226" s="320">
        <f>SUM(K201:K223)</f>
        <v>2306.3000000000011</v>
      </c>
      <c r="L226" s="320">
        <f>SUM(L201:L219)</f>
        <v>2387.7999999999997</v>
      </c>
      <c r="M226" s="423">
        <f>SUM(M201:M219)</f>
        <v>2164.4</v>
      </c>
      <c r="N226" s="355">
        <f>SUM(N201:N219)</f>
        <v>2064.4</v>
      </c>
      <c r="O226" s="739"/>
      <c r="P226" s="921"/>
      <c r="Q226" s="740"/>
      <c r="R226" s="741"/>
      <c r="S226" s="742"/>
    </row>
    <row r="227" spans="1:23" s="9" customFormat="1" ht="42" customHeight="1" x14ac:dyDescent="0.2">
      <c r="A227" s="1818" t="s">
        <v>17</v>
      </c>
      <c r="B227" s="1914" t="s">
        <v>19</v>
      </c>
      <c r="C227" s="2" t="s">
        <v>17</v>
      </c>
      <c r="D227" s="397"/>
      <c r="E227" s="398"/>
      <c r="F227" s="1797" t="s">
        <v>251</v>
      </c>
      <c r="G227" s="1916"/>
      <c r="H227" s="2066">
        <v>2</v>
      </c>
      <c r="I227" s="2024" t="s">
        <v>286</v>
      </c>
      <c r="J227" s="743" t="s">
        <v>15</v>
      </c>
      <c r="K227" s="744">
        <v>31.3</v>
      </c>
      <c r="L227" s="744">
        <v>31.3</v>
      </c>
      <c r="M227" s="81">
        <v>31.3</v>
      </c>
      <c r="N227" s="79">
        <v>31.3</v>
      </c>
      <c r="O227" s="2055" t="s">
        <v>206</v>
      </c>
      <c r="P227" s="745">
        <v>300</v>
      </c>
      <c r="Q227" s="746">
        <v>300</v>
      </c>
      <c r="R227" s="747">
        <v>300</v>
      </c>
      <c r="S227" s="748">
        <v>300</v>
      </c>
    </row>
    <row r="228" spans="1:23" s="9" customFormat="1" ht="16.5" customHeight="1" thickBot="1" x14ac:dyDescent="0.25">
      <c r="A228" s="1819"/>
      <c r="B228" s="1915"/>
      <c r="C228" s="50"/>
      <c r="D228" s="294"/>
      <c r="E228" s="308"/>
      <c r="F228" s="1798"/>
      <c r="G228" s="1917"/>
      <c r="H228" s="2067"/>
      <c r="I228" s="2011"/>
      <c r="J228" s="68" t="s">
        <v>16</v>
      </c>
      <c r="K228" s="749">
        <f>SUM(K227:K227)</f>
        <v>31.3</v>
      </c>
      <c r="L228" s="749">
        <f t="shared" ref="L228:N228" si="8">SUM(L227:L227)</f>
        <v>31.3</v>
      </c>
      <c r="M228" s="750">
        <f t="shared" si="8"/>
        <v>31.3</v>
      </c>
      <c r="N228" s="751">
        <f t="shared" si="8"/>
        <v>31.3</v>
      </c>
      <c r="O228" s="2056"/>
      <c r="P228" s="752"/>
      <c r="Q228" s="753"/>
      <c r="R228" s="754"/>
      <c r="S228" s="755"/>
    </row>
    <row r="229" spans="1:23" ht="19.5" customHeight="1" x14ac:dyDescent="0.2">
      <c r="A229" s="234" t="s">
        <v>17</v>
      </c>
      <c r="B229" s="209" t="s">
        <v>19</v>
      </c>
      <c r="C229" s="252" t="s">
        <v>19</v>
      </c>
      <c r="D229" s="293"/>
      <c r="E229" s="290"/>
      <c r="F229" s="1797" t="s">
        <v>117</v>
      </c>
      <c r="G229" s="1919" t="s">
        <v>45</v>
      </c>
      <c r="H229" s="756">
        <v>2</v>
      </c>
      <c r="I229" s="2057" t="s">
        <v>286</v>
      </c>
      <c r="J229" s="52" t="s">
        <v>15</v>
      </c>
      <c r="K229" s="403">
        <f>35-15</f>
        <v>20</v>
      </c>
      <c r="L229" s="403">
        <v>30</v>
      </c>
      <c r="M229" s="404">
        <v>30</v>
      </c>
      <c r="N229" s="405">
        <v>30</v>
      </c>
      <c r="O229" s="501" t="s">
        <v>143</v>
      </c>
      <c r="P229" s="983">
        <v>2</v>
      </c>
      <c r="Q229" s="705">
        <v>3</v>
      </c>
      <c r="R229" s="706">
        <v>3</v>
      </c>
      <c r="S229" s="707">
        <v>3</v>
      </c>
    </row>
    <row r="230" spans="1:23" ht="19.5" customHeight="1" x14ac:dyDescent="0.2">
      <c r="A230" s="198"/>
      <c r="B230" s="199"/>
      <c r="C230" s="245"/>
      <c r="D230" s="286"/>
      <c r="E230" s="1338"/>
      <c r="F230" s="1774"/>
      <c r="G230" s="1920"/>
      <c r="H230" s="757"/>
      <c r="I230" s="2058"/>
      <c r="J230" s="708"/>
      <c r="K230" s="99"/>
      <c r="L230" s="99"/>
      <c r="M230" s="121"/>
      <c r="N230" s="363"/>
      <c r="O230" s="152"/>
      <c r="P230" s="456"/>
      <c r="Q230" s="712"/>
      <c r="R230" s="242"/>
      <c r="S230" s="713"/>
    </row>
    <row r="231" spans="1:23" ht="15" customHeight="1" thickBot="1" x14ac:dyDescent="0.25">
      <c r="A231" s="216"/>
      <c r="B231" s="213"/>
      <c r="C231" s="254"/>
      <c r="D231" s="295"/>
      <c r="E231" s="298"/>
      <c r="F231" s="1277"/>
      <c r="G231" s="90" t="s">
        <v>152</v>
      </c>
      <c r="H231" s="255"/>
      <c r="I231" s="1337"/>
      <c r="J231" s="68" t="s">
        <v>16</v>
      </c>
      <c r="K231" s="320">
        <f>+K229</f>
        <v>20</v>
      </c>
      <c r="L231" s="320">
        <f t="shared" ref="L231:N231" si="9">+L229</f>
        <v>30</v>
      </c>
      <c r="M231" s="423">
        <f t="shared" si="9"/>
        <v>30</v>
      </c>
      <c r="N231" s="430">
        <f t="shared" si="9"/>
        <v>30</v>
      </c>
      <c r="O231" s="466"/>
      <c r="P231" s="918"/>
      <c r="Q231" s="536"/>
      <c r="S231" s="1009"/>
    </row>
    <row r="232" spans="1:23" ht="32.25" customHeight="1" x14ac:dyDescent="0.2">
      <c r="A232" s="234" t="s">
        <v>17</v>
      </c>
      <c r="B232" s="209" t="s">
        <v>19</v>
      </c>
      <c r="C232" s="237" t="s">
        <v>21</v>
      </c>
      <c r="D232" s="290"/>
      <c r="E232" s="290"/>
      <c r="F232" s="1273" t="s">
        <v>80</v>
      </c>
      <c r="G232" s="48"/>
      <c r="H232" s="71"/>
      <c r="I232" s="1343"/>
      <c r="J232" s="58"/>
      <c r="K232" s="322"/>
      <c r="L232" s="322"/>
      <c r="M232" s="323"/>
      <c r="N232" s="324"/>
      <c r="O232" s="984"/>
      <c r="P232" s="1003"/>
      <c r="Q232" s="535"/>
      <c r="R232" s="520"/>
      <c r="S232" s="203"/>
      <c r="T232" s="1307"/>
    </row>
    <row r="233" spans="1:23" s="257" customFormat="1" ht="28.5" customHeight="1" x14ac:dyDescent="0.2">
      <c r="A233" s="198"/>
      <c r="B233" s="199"/>
      <c r="C233" s="46"/>
      <c r="D233" s="313" t="s">
        <v>14</v>
      </c>
      <c r="E233" s="313"/>
      <c r="F233" s="1909" t="s">
        <v>76</v>
      </c>
      <c r="G233" s="761"/>
      <c r="H233" s="757"/>
      <c r="I233" s="2058" t="s">
        <v>290</v>
      </c>
      <c r="J233" s="762" t="s">
        <v>15</v>
      </c>
      <c r="K233" s="568">
        <f>87+8.3</f>
        <v>95.3</v>
      </c>
      <c r="L233" s="763">
        <v>11.5</v>
      </c>
      <c r="M233" s="129">
        <v>11.5</v>
      </c>
      <c r="N233" s="24">
        <v>11.5</v>
      </c>
      <c r="O233" s="764" t="s">
        <v>145</v>
      </c>
      <c r="P233" s="1347">
        <v>59</v>
      </c>
      <c r="Q233" s="565">
        <v>79</v>
      </c>
      <c r="R233" s="566">
        <v>79</v>
      </c>
      <c r="S233" s="567">
        <v>79</v>
      </c>
      <c r="T233" s="256"/>
      <c r="U233" s="256"/>
      <c r="V233" s="256"/>
      <c r="W233" s="256"/>
    </row>
    <row r="234" spans="1:23" s="257" customFormat="1" ht="29.25" customHeight="1" x14ac:dyDescent="0.2">
      <c r="A234" s="198"/>
      <c r="B234" s="199"/>
      <c r="C234" s="46"/>
      <c r="D234" s="296"/>
      <c r="E234" s="296"/>
      <c r="F234" s="2063"/>
      <c r="G234" s="758"/>
      <c r="H234" s="757"/>
      <c r="I234" s="2058"/>
      <c r="J234" s="765"/>
      <c r="K234" s="766"/>
      <c r="L234" s="766"/>
      <c r="M234" s="767"/>
      <c r="N234" s="768"/>
      <c r="O234" s="769" t="s">
        <v>146</v>
      </c>
      <c r="P234" s="931">
        <v>20</v>
      </c>
      <c r="Q234" s="561"/>
      <c r="R234" s="716"/>
      <c r="S234" s="6"/>
      <c r="T234" s="256"/>
      <c r="U234" s="256"/>
      <c r="V234" s="256"/>
      <c r="W234" s="256"/>
    </row>
    <row r="235" spans="1:23" s="257" customFormat="1" ht="31.5" customHeight="1" x14ac:dyDescent="0.2">
      <c r="A235" s="198"/>
      <c r="B235" s="196"/>
      <c r="C235" s="46"/>
      <c r="D235" s="313" t="s">
        <v>17</v>
      </c>
      <c r="E235" s="313"/>
      <c r="F235" s="1909" t="s">
        <v>341</v>
      </c>
      <c r="G235" s="760"/>
      <c r="H235" s="757"/>
      <c r="I235" s="1334"/>
      <c r="J235" s="770" t="s">
        <v>15</v>
      </c>
      <c r="K235" s="72">
        <f>35.2-14</f>
        <v>21.200000000000003</v>
      </c>
      <c r="L235" s="72">
        <v>14</v>
      </c>
      <c r="M235" s="94">
        <v>14</v>
      </c>
      <c r="N235" s="61">
        <v>14</v>
      </c>
      <c r="O235" s="771" t="s">
        <v>147</v>
      </c>
      <c r="P235" s="931">
        <v>4</v>
      </c>
      <c r="Q235" s="561">
        <v>2</v>
      </c>
      <c r="R235" s="150">
        <v>1</v>
      </c>
      <c r="S235" s="6">
        <v>1</v>
      </c>
      <c r="T235" s="256"/>
      <c r="U235" s="256"/>
      <c r="V235" s="256"/>
      <c r="W235" s="256"/>
    </row>
    <row r="236" spans="1:23" s="257" customFormat="1" ht="20.25" customHeight="1" x14ac:dyDescent="0.2">
      <c r="A236" s="198"/>
      <c r="B236" s="196"/>
      <c r="C236" s="46"/>
      <c r="D236" s="296"/>
      <c r="E236" s="296"/>
      <c r="F236" s="1910"/>
      <c r="G236" s="760"/>
      <c r="H236" s="757"/>
      <c r="I236" s="1334"/>
      <c r="J236" s="772" t="s">
        <v>87</v>
      </c>
      <c r="K236" s="72">
        <v>6</v>
      </c>
      <c r="L236" s="72">
        <v>7.2</v>
      </c>
      <c r="M236" s="94"/>
      <c r="N236" s="61"/>
      <c r="O236" s="2087" t="s">
        <v>179</v>
      </c>
      <c r="P236" s="774">
        <v>1</v>
      </c>
      <c r="Q236" s="775">
        <v>1</v>
      </c>
      <c r="R236" s="981">
        <v>1</v>
      </c>
      <c r="S236" s="418"/>
      <c r="T236" s="256"/>
      <c r="U236" s="256"/>
      <c r="V236" s="256"/>
      <c r="W236" s="256"/>
    </row>
    <row r="237" spans="1:23" s="257" customFormat="1" ht="24" customHeight="1" x14ac:dyDescent="0.2">
      <c r="A237" s="198"/>
      <c r="B237" s="196"/>
      <c r="C237" s="46"/>
      <c r="D237" s="296"/>
      <c r="E237" s="296"/>
      <c r="F237" s="1910"/>
      <c r="G237" s="760"/>
      <c r="H237" s="757"/>
      <c r="I237" s="1334"/>
      <c r="J237" s="776" t="s">
        <v>3</v>
      </c>
      <c r="K237" s="134">
        <v>73</v>
      </c>
      <c r="L237" s="134">
        <v>36</v>
      </c>
      <c r="M237" s="130">
        <v>36</v>
      </c>
      <c r="N237" s="15">
        <v>36</v>
      </c>
      <c r="O237" s="2087"/>
      <c r="P237" s="584"/>
      <c r="Q237" s="727"/>
      <c r="R237" s="981"/>
      <c r="S237" s="418">
        <v>1</v>
      </c>
      <c r="T237" s="256"/>
      <c r="U237" s="256"/>
      <c r="V237" s="256"/>
      <c r="W237" s="256"/>
    </row>
    <row r="238" spans="1:23" ht="41.25" customHeight="1" x14ac:dyDescent="0.2">
      <c r="A238" s="198"/>
      <c r="B238" s="196"/>
      <c r="C238" s="46"/>
      <c r="D238" s="296"/>
      <c r="E238" s="296"/>
      <c r="F238" s="1910"/>
      <c r="G238" s="758"/>
      <c r="H238" s="757"/>
      <c r="I238" s="1334"/>
      <c r="J238" s="772" t="s">
        <v>3</v>
      </c>
      <c r="K238" s="72"/>
      <c r="L238" s="72">
        <v>4.5</v>
      </c>
      <c r="M238" s="94"/>
      <c r="N238" s="61"/>
      <c r="O238" s="769" t="s">
        <v>208</v>
      </c>
      <c r="P238" s="931">
        <v>1</v>
      </c>
      <c r="Q238" s="561">
        <v>2</v>
      </c>
      <c r="R238" s="150">
        <v>1</v>
      </c>
      <c r="S238" s="778">
        <v>1</v>
      </c>
    </row>
    <row r="239" spans="1:23" ht="42.75" customHeight="1" x14ac:dyDescent="0.2">
      <c r="A239" s="198"/>
      <c r="B239" s="196"/>
      <c r="C239" s="46"/>
      <c r="D239" s="296"/>
      <c r="E239" s="296"/>
      <c r="F239" s="1306"/>
      <c r="G239" s="760"/>
      <c r="H239" s="759">
        <v>2</v>
      </c>
      <c r="I239" s="1336" t="s">
        <v>286</v>
      </c>
      <c r="J239" s="587" t="s">
        <v>15</v>
      </c>
      <c r="K239" s="669">
        <v>14</v>
      </c>
      <c r="L239" s="72">
        <f>37.3-15</f>
        <v>22.299999999999997</v>
      </c>
      <c r="M239" s="94"/>
      <c r="N239" s="61"/>
      <c r="O239" s="764" t="s">
        <v>179</v>
      </c>
      <c r="P239" s="1347">
        <v>1</v>
      </c>
      <c r="Q239" s="565"/>
      <c r="R239" s="38">
        <v>1</v>
      </c>
      <c r="S239" s="567"/>
    </row>
    <row r="240" spans="1:23" ht="42.75" customHeight="1" x14ac:dyDescent="0.2">
      <c r="A240" s="198"/>
      <c r="B240" s="196"/>
      <c r="C240" s="46"/>
      <c r="D240" s="296"/>
      <c r="E240" s="296"/>
      <c r="F240" s="1306"/>
      <c r="G240" s="760"/>
      <c r="H240" s="757"/>
      <c r="I240" s="1334"/>
      <c r="J240" s="587" t="s">
        <v>3</v>
      </c>
      <c r="K240" s="78">
        <v>70</v>
      </c>
      <c r="L240" s="72">
        <v>100</v>
      </c>
      <c r="M240" s="94"/>
      <c r="N240" s="61"/>
      <c r="O240" s="764" t="s">
        <v>208</v>
      </c>
      <c r="P240" s="931">
        <v>1</v>
      </c>
      <c r="Q240" s="561">
        <v>1</v>
      </c>
      <c r="R240" s="777"/>
      <c r="S240" s="6"/>
      <c r="T240" s="247"/>
    </row>
    <row r="241" spans="1:23" s="3" customFormat="1" ht="36" customHeight="1" x14ac:dyDescent="0.2">
      <c r="A241" s="1279"/>
      <c r="B241" s="1002"/>
      <c r="C241" s="46"/>
      <c r="D241" s="313"/>
      <c r="E241" s="313"/>
      <c r="F241" s="1909" t="s">
        <v>217</v>
      </c>
      <c r="G241" s="761"/>
      <c r="H241" s="780">
        <v>6</v>
      </c>
      <c r="I241" s="2064" t="s">
        <v>311</v>
      </c>
      <c r="J241" s="772" t="s">
        <v>15</v>
      </c>
      <c r="K241" s="496">
        <v>3.6</v>
      </c>
      <c r="L241" s="781"/>
      <c r="M241" s="782"/>
      <c r="N241" s="783"/>
      <c r="O241" s="764" t="s">
        <v>144</v>
      </c>
      <c r="P241" s="1347">
        <v>1</v>
      </c>
      <c r="Q241" s="565"/>
      <c r="R241" s="784"/>
      <c r="S241" s="567"/>
      <c r="T241" s="1"/>
      <c r="U241" s="1"/>
      <c r="V241" s="1"/>
      <c r="W241" s="1"/>
    </row>
    <row r="242" spans="1:23" ht="18" customHeight="1" thickBot="1" x14ac:dyDescent="0.25">
      <c r="A242" s="198"/>
      <c r="B242" s="199"/>
      <c r="C242" s="47"/>
      <c r="D242" s="297"/>
      <c r="E242" s="297"/>
      <c r="F242" s="1910"/>
      <c r="G242" s="760"/>
      <c r="H242" s="785"/>
      <c r="I242" s="2065"/>
      <c r="J242" s="786" t="s">
        <v>16</v>
      </c>
      <c r="K242" s="320">
        <f>SUM(K233:K241)</f>
        <v>283.10000000000002</v>
      </c>
      <c r="L242" s="320">
        <f>SUM(L233:L240)</f>
        <v>195.5</v>
      </c>
      <c r="M242" s="423">
        <f>SUM(M233:M240)</f>
        <v>61.5</v>
      </c>
      <c r="N242" s="430">
        <f>SUM(N233:N240)</f>
        <v>61.5</v>
      </c>
      <c r="O242" s="787"/>
      <c r="P242" s="1316"/>
      <c r="Q242" s="858"/>
      <c r="R242" s="981"/>
      <c r="S242" s="634"/>
    </row>
    <row r="243" spans="1:23" s="170" customFormat="1" ht="30" customHeight="1" x14ac:dyDescent="0.2">
      <c r="A243" s="234" t="s">
        <v>17</v>
      </c>
      <c r="B243" s="209" t="s">
        <v>19</v>
      </c>
      <c r="C243" s="311" t="s">
        <v>22</v>
      </c>
      <c r="D243" s="293"/>
      <c r="E243" s="284"/>
      <c r="F243" s="1797" t="s">
        <v>306</v>
      </c>
      <c r="G243" s="955"/>
      <c r="H243" s="952">
        <v>6</v>
      </c>
      <c r="I243" s="1994" t="s">
        <v>283</v>
      </c>
      <c r="J243" s="1265" t="s">
        <v>15</v>
      </c>
      <c r="K243" s="632">
        <v>1653.3</v>
      </c>
      <c r="L243" s="351">
        <v>1951.3</v>
      </c>
      <c r="M243" s="446">
        <v>2301.3000000000002</v>
      </c>
      <c r="N243" s="445">
        <v>2301.3000000000002</v>
      </c>
      <c r="O243" s="462" t="s">
        <v>100</v>
      </c>
      <c r="P243" s="1315">
        <v>92</v>
      </c>
      <c r="Q243" s="830">
        <v>92</v>
      </c>
      <c r="R243" s="373">
        <v>92</v>
      </c>
      <c r="S243" s="13">
        <v>92</v>
      </c>
    </row>
    <row r="244" spans="1:23" ht="26.25" customHeight="1" x14ac:dyDescent="0.2">
      <c r="A244" s="198"/>
      <c r="B244" s="199"/>
      <c r="C244" s="200"/>
      <c r="D244" s="2049"/>
      <c r="E244" s="285"/>
      <c r="F244" s="1774"/>
      <c r="G244" s="956"/>
      <c r="H244" s="953"/>
      <c r="I244" s="1993"/>
      <c r="J244" s="5" t="s">
        <v>87</v>
      </c>
      <c r="K244" s="78">
        <v>382.8</v>
      </c>
      <c r="L244" s="72">
        <v>350</v>
      </c>
      <c r="M244" s="1004"/>
      <c r="N244" s="73"/>
      <c r="O244" s="76"/>
      <c r="P244" s="1316"/>
      <c r="Q244" s="996"/>
      <c r="R244" s="29"/>
      <c r="S244" s="1005"/>
    </row>
    <row r="245" spans="1:23" ht="18" customHeight="1" x14ac:dyDescent="0.2">
      <c r="A245" s="198"/>
      <c r="B245" s="199"/>
      <c r="C245" s="200"/>
      <c r="D245" s="2049"/>
      <c r="E245" s="285"/>
      <c r="F245" s="1774"/>
      <c r="G245" s="956"/>
      <c r="H245" s="954">
        <v>2</v>
      </c>
      <c r="I245" s="1994" t="s">
        <v>286</v>
      </c>
      <c r="J245" s="562" t="s">
        <v>15</v>
      </c>
      <c r="K245" s="618">
        <v>56.5</v>
      </c>
      <c r="L245" s="351"/>
      <c r="M245" s="276"/>
      <c r="N245" s="351"/>
      <c r="O245" s="76"/>
      <c r="P245" s="1316"/>
      <c r="Q245" s="996"/>
      <c r="R245" s="29"/>
      <c r="S245" s="1005"/>
    </row>
    <row r="246" spans="1:23" ht="18" customHeight="1" thickBot="1" x14ac:dyDescent="0.25">
      <c r="A246" s="198"/>
      <c r="B246" s="199"/>
      <c r="C246" s="47"/>
      <c r="D246" s="297"/>
      <c r="E246" s="297"/>
      <c r="F246" s="1263"/>
      <c r="G246" s="760"/>
      <c r="H246" s="785"/>
      <c r="I246" s="2011"/>
      <c r="J246" s="786" t="s">
        <v>16</v>
      </c>
      <c r="K246" s="320">
        <f>SUM(K243:K245)</f>
        <v>2092.6</v>
      </c>
      <c r="L246" s="320">
        <f>SUM(L243:L245)</f>
        <v>2301.3000000000002</v>
      </c>
      <c r="M246" s="423">
        <f t="shared" ref="M246:N246" si="10">SUM(M243:M245)</f>
        <v>2301.3000000000002</v>
      </c>
      <c r="N246" s="430">
        <f t="shared" si="10"/>
        <v>2301.3000000000002</v>
      </c>
      <c r="O246" s="787"/>
      <c r="P246" s="1316"/>
      <c r="Q246" s="858"/>
      <c r="R246" s="981"/>
      <c r="S246" s="634"/>
    </row>
    <row r="247" spans="1:23" s="260" customFormat="1" ht="14.25" customHeight="1" thickBot="1" x14ac:dyDescent="0.25">
      <c r="A247" s="259" t="s">
        <v>17</v>
      </c>
      <c r="B247" s="250" t="s">
        <v>19</v>
      </c>
      <c r="C247" s="1843" t="s">
        <v>20</v>
      </c>
      <c r="D247" s="1844"/>
      <c r="E247" s="1844"/>
      <c r="F247" s="1844"/>
      <c r="G247" s="1844"/>
      <c r="H247" s="1844"/>
      <c r="I247" s="1844"/>
      <c r="J247" s="1844"/>
      <c r="K247" s="343">
        <f>K228+K231+K242+K226</f>
        <v>2640.7000000000012</v>
      </c>
      <c r="L247" s="343">
        <f>L228+L231+L242+L226+L246</f>
        <v>4945.8999999999996</v>
      </c>
      <c r="M247" s="344">
        <f t="shared" ref="M247" si="11">M228+M231+M242+M226+M246</f>
        <v>4588.5</v>
      </c>
      <c r="N247" s="345">
        <f>N228+N231+N242+N226+N246</f>
        <v>4488.5</v>
      </c>
      <c r="O247" s="231"/>
      <c r="P247" s="232"/>
      <c r="Q247" s="232"/>
      <c r="R247" s="232"/>
      <c r="S247" s="233"/>
    </row>
    <row r="248" spans="1:23" s="164" customFormat="1" ht="14.25" customHeight="1" thickBot="1" x14ac:dyDescent="0.25">
      <c r="A248" s="259" t="s">
        <v>17</v>
      </c>
      <c r="B248" s="1845" t="s">
        <v>6</v>
      </c>
      <c r="C248" s="1846"/>
      <c r="D248" s="1846"/>
      <c r="E248" s="1846"/>
      <c r="F248" s="1846"/>
      <c r="G248" s="1846"/>
      <c r="H248" s="1846"/>
      <c r="I248" s="1846"/>
      <c r="J248" s="1846"/>
      <c r="K248" s="395">
        <f>K247+K197+K183</f>
        <v>7150.8000000000011</v>
      </c>
      <c r="L248" s="395">
        <f>L247+L197+L183</f>
        <v>14671.599999999999</v>
      </c>
      <c r="M248" s="358">
        <f>M247+M197+M183</f>
        <v>14397.000000000002</v>
      </c>
      <c r="N248" s="359">
        <f>N247+N197+N183</f>
        <v>8844.0999999999985</v>
      </c>
      <c r="O248" s="160"/>
      <c r="P248" s="160"/>
      <c r="Q248" s="160"/>
      <c r="R248" s="160"/>
      <c r="S248" s="161"/>
    </row>
    <row r="249" spans="1:23" s="164" customFormat="1" ht="14.25" customHeight="1" thickBot="1" x14ac:dyDescent="0.25">
      <c r="A249" s="261" t="s">
        <v>5</v>
      </c>
      <c r="B249" s="1927" t="s">
        <v>7</v>
      </c>
      <c r="C249" s="1928"/>
      <c r="D249" s="1928"/>
      <c r="E249" s="1928"/>
      <c r="F249" s="1928"/>
      <c r="G249" s="1928"/>
      <c r="H249" s="1928"/>
      <c r="I249" s="1928"/>
      <c r="J249" s="1928"/>
      <c r="K249" s="396">
        <f>K248+K107</f>
        <v>87759.800000000017</v>
      </c>
      <c r="L249" s="396">
        <f>L248+L107</f>
        <v>106510.70000000001</v>
      </c>
      <c r="M249" s="360">
        <f>M248+M107</f>
        <v>104387.5</v>
      </c>
      <c r="N249" s="361">
        <f>N248+N107</f>
        <v>98660.700000000012</v>
      </c>
      <c r="O249" s="262"/>
      <c r="P249" s="262"/>
      <c r="Q249" s="262"/>
      <c r="R249" s="262"/>
      <c r="S249" s="263"/>
    </row>
    <row r="250" spans="1:23" s="164" customFormat="1" ht="14.25" customHeight="1" x14ac:dyDescent="0.2">
      <c r="A250" s="2080" t="s">
        <v>278</v>
      </c>
      <c r="B250" s="2080"/>
      <c r="C250" s="2080"/>
      <c r="D250" s="2080"/>
      <c r="E250" s="2080"/>
      <c r="F250" s="2080"/>
      <c r="G250" s="2080"/>
      <c r="H250" s="2080"/>
      <c r="I250" s="2080"/>
      <c r="J250" s="2080"/>
      <c r="K250" s="2080"/>
      <c r="L250" s="2080"/>
      <c r="M250" s="2080"/>
      <c r="N250" s="2080"/>
      <c r="O250" s="2080"/>
      <c r="P250" s="2080"/>
      <c r="Q250" s="2080"/>
      <c r="R250" s="2080"/>
      <c r="S250" s="2080"/>
    </row>
    <row r="251" spans="1:23" s="164" customFormat="1" ht="23.25" customHeight="1" thickBot="1" x14ac:dyDescent="0.25">
      <c r="A251" s="1929" t="s">
        <v>0</v>
      </c>
      <c r="B251" s="1929"/>
      <c r="C251" s="1929"/>
      <c r="D251" s="1929"/>
      <c r="E251" s="1929"/>
      <c r="F251" s="1929"/>
      <c r="G251" s="1929"/>
      <c r="H251" s="1929"/>
      <c r="I251" s="1929"/>
      <c r="J251" s="1929"/>
      <c r="K251" s="1929"/>
      <c r="L251" s="1929"/>
      <c r="M251" s="1929"/>
      <c r="N251" s="1929"/>
      <c r="O251" s="569"/>
      <c r="P251" s="569"/>
      <c r="Q251" s="569"/>
      <c r="R251" s="569"/>
      <c r="S251" s="569"/>
    </row>
    <row r="252" spans="1:23" s="164" customFormat="1" ht="59.25" customHeight="1" thickBot="1" x14ac:dyDescent="0.25">
      <c r="A252" s="1930" t="s">
        <v>1</v>
      </c>
      <c r="B252" s="1931"/>
      <c r="C252" s="1931"/>
      <c r="D252" s="1931"/>
      <c r="E252" s="1931"/>
      <c r="F252" s="1931"/>
      <c r="G252" s="1931"/>
      <c r="H252" s="1931"/>
      <c r="I252" s="1931"/>
      <c r="J252" s="1932"/>
      <c r="K252" s="158" t="s">
        <v>236</v>
      </c>
      <c r="L252" s="158" t="s">
        <v>97</v>
      </c>
      <c r="M252" s="281" t="s">
        <v>181</v>
      </c>
      <c r="N252" s="280" t="s">
        <v>231</v>
      </c>
      <c r="O252" s="665"/>
      <c r="P252" s="162"/>
      <c r="Q252" s="162"/>
      <c r="R252" s="162"/>
      <c r="S252" s="162"/>
    </row>
    <row r="253" spans="1:23" s="164" customFormat="1" ht="13.5" customHeight="1" x14ac:dyDescent="0.2">
      <c r="A253" s="1933" t="s">
        <v>24</v>
      </c>
      <c r="B253" s="1934"/>
      <c r="C253" s="1934"/>
      <c r="D253" s="1934"/>
      <c r="E253" s="1934"/>
      <c r="F253" s="1934"/>
      <c r="G253" s="1934"/>
      <c r="H253" s="1934"/>
      <c r="I253" s="1934"/>
      <c r="J253" s="1934"/>
      <c r="K253" s="279">
        <f>+K254+K261+K262+K263+K264</f>
        <v>87107.39999999998</v>
      </c>
      <c r="L253" s="159">
        <f>+L254+L261+L262+L263+L264</f>
        <v>104243.20000000003</v>
      </c>
      <c r="M253" s="282">
        <f>+M254+M261+M262+M263+M264</f>
        <v>103419.5</v>
      </c>
      <c r="N253" s="473">
        <f>+N254+N261+N262+N263+N264</f>
        <v>98624.7</v>
      </c>
      <c r="O253" s="665"/>
      <c r="P253" s="162"/>
      <c r="Q253" s="162"/>
      <c r="R253" s="162"/>
      <c r="S253" s="162"/>
    </row>
    <row r="254" spans="1:23" s="164" customFormat="1" ht="13.5" customHeight="1" x14ac:dyDescent="0.2">
      <c r="A254" s="1935" t="s">
        <v>220</v>
      </c>
      <c r="B254" s="1936"/>
      <c r="C254" s="1936"/>
      <c r="D254" s="1936"/>
      <c r="E254" s="1936"/>
      <c r="F254" s="1936"/>
      <c r="G254" s="1936"/>
      <c r="H254" s="1936"/>
      <c r="I254" s="1936"/>
      <c r="J254" s="1936"/>
      <c r="K254" s="432">
        <f>SUM(K255:K260)</f>
        <v>85970.599999999991</v>
      </c>
      <c r="L254" s="432">
        <f t="shared" ref="L254:N254" si="12">SUM(L255:L260)</f>
        <v>98091.900000000023</v>
      </c>
      <c r="M254" s="941">
        <f t="shared" si="12"/>
        <v>103419.5</v>
      </c>
      <c r="N254" s="447">
        <f t="shared" si="12"/>
        <v>98624.7</v>
      </c>
      <c r="O254" s="665"/>
      <c r="P254" s="162"/>
      <c r="Q254" s="162"/>
      <c r="R254" s="162"/>
      <c r="S254" s="162"/>
    </row>
    <row r="255" spans="1:23" s="164" customFormat="1" ht="14.25" customHeight="1" x14ac:dyDescent="0.2">
      <c r="A255" s="1921" t="s">
        <v>27</v>
      </c>
      <c r="B255" s="1922"/>
      <c r="C255" s="1922"/>
      <c r="D255" s="1922"/>
      <c r="E255" s="1922"/>
      <c r="F255" s="1922"/>
      <c r="G255" s="1922"/>
      <c r="H255" s="1922"/>
      <c r="I255" s="1922"/>
      <c r="J255" s="1922"/>
      <c r="K255" s="53">
        <f>SUMIF(J13:J241,"sb",K13:K241)</f>
        <v>38010.999999999993</v>
      </c>
      <c r="L255" s="362">
        <f>SUMIF(J13:J245,"sb",L13:L245)</f>
        <v>44854.000000000007</v>
      </c>
      <c r="M255" s="65">
        <f>SUMIF(J13:J245,"sb",M13:M245)</f>
        <v>48761.299999999996</v>
      </c>
      <c r="N255" s="474">
        <f>SUMIF(J13:J245,"sb",N13:N245)</f>
        <v>46939</v>
      </c>
      <c r="O255" s="120"/>
      <c r="P255" s="162"/>
      <c r="Q255" s="162"/>
      <c r="R255" s="162"/>
      <c r="S255" s="162"/>
    </row>
    <row r="256" spans="1:23" s="164" customFormat="1" ht="15.75" customHeight="1" x14ac:dyDescent="0.2">
      <c r="A256" s="1921" t="s">
        <v>31</v>
      </c>
      <c r="B256" s="1922"/>
      <c r="C256" s="1922"/>
      <c r="D256" s="1922"/>
      <c r="E256" s="1922"/>
      <c r="F256" s="1922"/>
      <c r="G256" s="1922"/>
      <c r="H256" s="1922"/>
      <c r="I256" s="1922"/>
      <c r="J256" s="1922"/>
      <c r="K256" s="53">
        <f>SUMIF(J13:J240,"sb(sp)",K13:K240)</f>
        <v>5544.9000000000005</v>
      </c>
      <c r="L256" s="362">
        <f>SUMIF(J13:J240,"sb(sp)",L13:L240)</f>
        <v>5390</v>
      </c>
      <c r="M256" s="65">
        <f>SUMIF(J14:J241,"sb(sp)",M14:M241)</f>
        <v>5390</v>
      </c>
      <c r="N256" s="474">
        <f>SUMIF(J13:J240,"sb(sp)",N13:N240)</f>
        <v>5390</v>
      </c>
      <c r="O256" s="251"/>
      <c r="P256" s="162"/>
      <c r="Q256" s="162"/>
      <c r="R256" s="162"/>
      <c r="S256" s="162"/>
    </row>
    <row r="257" spans="1:20" s="164" customFormat="1" ht="15.75" customHeight="1" x14ac:dyDescent="0.2">
      <c r="A257" s="1921" t="s">
        <v>156</v>
      </c>
      <c r="B257" s="1922"/>
      <c r="C257" s="1922"/>
      <c r="D257" s="1922"/>
      <c r="E257" s="1922"/>
      <c r="F257" s="1922"/>
      <c r="G257" s="1922"/>
      <c r="H257" s="1922"/>
      <c r="I257" s="1922"/>
      <c r="J257" s="1922"/>
      <c r="K257" s="53">
        <f>SUMIF(J13:J240,"sb(p)",K13:K240)</f>
        <v>96.2</v>
      </c>
      <c r="L257" s="362">
        <f>SUMIF(J13:J240,"sb(p)",L13:L240)</f>
        <v>0</v>
      </c>
      <c r="M257" s="65">
        <f>SUMIF(J14:J241,"sb(p)",M14:M241)</f>
        <v>2900</v>
      </c>
      <c r="N257" s="474">
        <f>SUMIF(J13:J240,"sb(p)",N13:N240)</f>
        <v>0</v>
      </c>
      <c r="O257" s="251"/>
      <c r="P257" s="162"/>
      <c r="Q257" s="162"/>
      <c r="R257" s="162"/>
      <c r="S257" s="162"/>
    </row>
    <row r="258" spans="1:20" s="164" customFormat="1" ht="15.75" customHeight="1" x14ac:dyDescent="0.2">
      <c r="A258" s="1923" t="s">
        <v>28</v>
      </c>
      <c r="B258" s="1924"/>
      <c r="C258" s="1924"/>
      <c r="D258" s="1924"/>
      <c r="E258" s="1924"/>
      <c r="F258" s="1924"/>
      <c r="G258" s="1924"/>
      <c r="H258" s="1924"/>
      <c r="I258" s="1924"/>
      <c r="J258" s="1924"/>
      <c r="K258" s="54">
        <f>SUMIF(J13:J240,"sb(vb)",K13:K240)</f>
        <v>40766.1</v>
      </c>
      <c r="L258" s="362">
        <f>SUMIF(J13:J240,"sb(vb)",L13:L240)</f>
        <v>45993.3</v>
      </c>
      <c r="M258" s="65">
        <f>SUMIF(J14:J241,"sb(vb)",M14:M241)</f>
        <v>45566.3</v>
      </c>
      <c r="N258" s="474">
        <f>SUMIF(J13:J240,"sb(vb)",N13:N240)</f>
        <v>45565.4</v>
      </c>
      <c r="O258" s="251"/>
      <c r="P258" s="162"/>
      <c r="Q258" s="162"/>
      <c r="R258" s="162"/>
      <c r="S258" s="162"/>
    </row>
    <row r="259" spans="1:20" ht="30" customHeight="1" x14ac:dyDescent="0.2">
      <c r="A259" s="1921" t="s">
        <v>149</v>
      </c>
      <c r="B259" s="1922"/>
      <c r="C259" s="1922"/>
      <c r="D259" s="1922"/>
      <c r="E259" s="1922"/>
      <c r="F259" s="1922"/>
      <c r="G259" s="1922"/>
      <c r="H259" s="1922"/>
      <c r="I259" s="1922"/>
      <c r="J259" s="1922"/>
      <c r="K259" s="99">
        <f>SUMIF(J13:J240,"sb(esa)",K13:K240)</f>
        <v>47.3</v>
      </c>
      <c r="L259" s="362">
        <f>SUMIF(J13:J242,"sb(esa)",L13:L242)</f>
        <v>46.5</v>
      </c>
      <c r="M259" s="65">
        <f>SUMIF(J12:J241,"sb(esa)",M12:M241)</f>
        <v>0</v>
      </c>
      <c r="N259" s="474">
        <f>SUMIF(J13:J242,"sb(esa)",N13:N242)</f>
        <v>0</v>
      </c>
      <c r="O259" s="251"/>
      <c r="P259" s="162"/>
      <c r="Q259" s="162"/>
      <c r="R259" s="162"/>
      <c r="S259" s="162"/>
      <c r="T259" s="164"/>
    </row>
    <row r="260" spans="1:20" ht="15.75" customHeight="1" x14ac:dyDescent="0.2">
      <c r="A260" s="1925" t="s">
        <v>218</v>
      </c>
      <c r="B260" s="1926"/>
      <c r="C260" s="1926"/>
      <c r="D260" s="1926"/>
      <c r="E260" s="1926"/>
      <c r="F260" s="1926"/>
      <c r="G260" s="1926"/>
      <c r="H260" s="1926"/>
      <c r="I260" s="1926"/>
      <c r="J260" s="1926"/>
      <c r="K260" s="433">
        <f>SUMIF(J13:J240,"sb(es)",K13:K240)</f>
        <v>1505.1</v>
      </c>
      <c r="L260" s="362">
        <f>SUMIF(J13:J242,"sb(es)",L13:L242)</f>
        <v>1808.1</v>
      </c>
      <c r="M260" s="65">
        <f>SUMIF(J12:J241,"sb(es)",M12:M241)</f>
        <v>801.9</v>
      </c>
      <c r="N260" s="474">
        <f>SUMIF(J13:J242,"sb(es)",N13:N242)</f>
        <v>730.3</v>
      </c>
      <c r="O260" s="251"/>
      <c r="P260" s="162"/>
      <c r="Q260" s="162"/>
      <c r="R260" s="162"/>
      <c r="S260" s="162"/>
      <c r="T260" s="164"/>
    </row>
    <row r="261" spans="1:20" ht="15.75" customHeight="1" x14ac:dyDescent="0.2">
      <c r="A261" s="1945" t="s">
        <v>88</v>
      </c>
      <c r="B261" s="1945"/>
      <c r="C261" s="1945"/>
      <c r="D261" s="1945"/>
      <c r="E261" s="1945"/>
      <c r="F261" s="1945"/>
      <c r="G261" s="1945"/>
      <c r="H261" s="1945"/>
      <c r="I261" s="1946"/>
      <c r="J261" s="1946"/>
      <c r="K261" s="450">
        <f>SUMIF(J13:J240,"sb(l)",K13:K240)</f>
        <v>642.4</v>
      </c>
      <c r="L261" s="476">
        <f>SUMIF(J13:J245,"sb(l)",L13:L245)</f>
        <v>5240.5000000000009</v>
      </c>
      <c r="M261" s="449">
        <f>SUMIF(J14:J241,"sb(l)",M14:M241)</f>
        <v>0</v>
      </c>
      <c r="N261" s="475">
        <f>SUMIF(J13:J240,"sb(l)",N13:N240)</f>
        <v>0</v>
      </c>
      <c r="O261" s="251"/>
      <c r="P261" s="162"/>
      <c r="Q261" s="162"/>
      <c r="R261" s="162"/>
      <c r="S261" s="162"/>
      <c r="T261" s="164"/>
    </row>
    <row r="262" spans="1:20" ht="15.75" customHeight="1" x14ac:dyDescent="0.2">
      <c r="A262" s="1945" t="s">
        <v>219</v>
      </c>
      <c r="B262" s="1945"/>
      <c r="C262" s="1945"/>
      <c r="D262" s="1945"/>
      <c r="E262" s="1945"/>
      <c r="F262" s="1945"/>
      <c r="G262" s="1945"/>
      <c r="H262" s="1945"/>
      <c r="I262" s="1946"/>
      <c r="J262" s="1946"/>
      <c r="K262" s="450">
        <f>SUMIF(J14:J240,"sb(esl)",K14:K240)</f>
        <v>11.399999999999999</v>
      </c>
      <c r="L262" s="476">
        <f>SUMIF(J14:J242,"sb(esl)",L14:L242)</f>
        <v>491.8</v>
      </c>
      <c r="M262" s="449">
        <f>SUMIF(J13:J241,"sb(esl)",M13:M241)</f>
        <v>0</v>
      </c>
      <c r="N262" s="475">
        <f>SUMIF(J14:J242,"sb(esl)",N14:N242)</f>
        <v>0</v>
      </c>
      <c r="O262" s="251"/>
      <c r="P262" s="162"/>
      <c r="Q262" s="162"/>
      <c r="R262" s="162"/>
      <c r="S262" s="162"/>
      <c r="T262" s="164"/>
    </row>
    <row r="263" spans="1:20" ht="16.5" customHeight="1" x14ac:dyDescent="0.2">
      <c r="A263" s="1945" t="s">
        <v>63</v>
      </c>
      <c r="B263" s="1945"/>
      <c r="C263" s="1945"/>
      <c r="D263" s="1945"/>
      <c r="E263" s="1945"/>
      <c r="F263" s="1945"/>
      <c r="G263" s="1945"/>
      <c r="H263" s="1945"/>
      <c r="I263" s="1946"/>
      <c r="J263" s="1946"/>
      <c r="K263" s="450">
        <f>SUMIF(J13:J240,"sb(spl)",K13:K240)</f>
        <v>482.3</v>
      </c>
      <c r="L263" s="476">
        <f>SUMIF(J13:J246,"sb(spl)",L13:L247)</f>
        <v>415.4</v>
      </c>
      <c r="M263" s="449">
        <f>SUMIF(J13:J241,"sb(spl)",M13:M241)</f>
        <v>0</v>
      </c>
      <c r="N263" s="475">
        <f>SUMIF(K14:K247,"sb(spl)",N14:N247)</f>
        <v>0</v>
      </c>
      <c r="O263" s="251"/>
      <c r="P263" s="162"/>
      <c r="Q263" s="162"/>
      <c r="R263" s="162"/>
      <c r="S263" s="162"/>
      <c r="T263" s="164"/>
    </row>
    <row r="264" spans="1:20" ht="16.5" customHeight="1" x14ac:dyDescent="0.2">
      <c r="A264" s="1945" t="s">
        <v>225</v>
      </c>
      <c r="B264" s="1945"/>
      <c r="C264" s="1945"/>
      <c r="D264" s="1945"/>
      <c r="E264" s="1945"/>
      <c r="F264" s="1945"/>
      <c r="G264" s="1945"/>
      <c r="H264" s="1945"/>
      <c r="I264" s="1946"/>
      <c r="J264" s="1946"/>
      <c r="K264" s="450">
        <f>SUMIF(J13:J240,"sb(vbl)",K13:K240)</f>
        <v>0.7</v>
      </c>
      <c r="L264" s="476">
        <f>SUMIF(J14:J248,"sb(vbl)",L14:L248)</f>
        <v>3.6</v>
      </c>
      <c r="M264" s="449">
        <f>SUMIF(J11:J241,"sb(vbl)",M11:M241)</f>
        <v>0</v>
      </c>
      <c r="N264" s="475">
        <f>SUMIF(J14:J248,"sb(vbl)",N14:N248)</f>
        <v>0</v>
      </c>
      <c r="O264" s="251"/>
      <c r="P264" s="162"/>
      <c r="Q264" s="162"/>
      <c r="R264" s="162"/>
      <c r="S264" s="162"/>
      <c r="T264" s="164"/>
    </row>
    <row r="265" spans="1:20" ht="17.25" customHeight="1" thickBot="1" x14ac:dyDescent="0.25">
      <c r="A265" s="1947" t="s">
        <v>25</v>
      </c>
      <c r="B265" s="1948"/>
      <c r="C265" s="1948"/>
      <c r="D265" s="1948"/>
      <c r="E265" s="1948"/>
      <c r="F265" s="1948"/>
      <c r="G265" s="1948"/>
      <c r="H265" s="1948"/>
      <c r="I265" s="1948"/>
      <c r="J265" s="1948"/>
      <c r="K265" s="448">
        <f>SUM(K266:K269)</f>
        <v>652.4</v>
      </c>
      <c r="L265" s="947">
        <f>SUM(L266:L269)</f>
        <v>2267.5</v>
      </c>
      <c r="M265" s="948">
        <f>SUM(M266:M268)</f>
        <v>968</v>
      </c>
      <c r="N265" s="949">
        <f t="shared" ref="N265" si="13">SUM(N266:N268)</f>
        <v>36</v>
      </c>
      <c r="O265" s="665"/>
      <c r="P265" s="162"/>
      <c r="Q265" s="162"/>
      <c r="R265" s="162"/>
      <c r="S265" s="162"/>
      <c r="T265" s="164"/>
    </row>
    <row r="266" spans="1:20" ht="15" customHeight="1" x14ac:dyDescent="0.2">
      <c r="A266" s="1949" t="s">
        <v>91</v>
      </c>
      <c r="B266" s="1950"/>
      <c r="C266" s="1950"/>
      <c r="D266" s="1950"/>
      <c r="E266" s="1950"/>
      <c r="F266" s="1950"/>
      <c r="G266" s="1950"/>
      <c r="H266" s="1950"/>
      <c r="I266" s="1950"/>
      <c r="J266" s="1950"/>
      <c r="K266" s="55">
        <f>SUMIF(J13:J240,"lrvb",K13:K240)</f>
        <v>143</v>
      </c>
      <c r="L266" s="944">
        <f>SUMIF(J13:J240,"lrvb",L13:L240)</f>
        <v>332.1</v>
      </c>
      <c r="M266" s="945">
        <f>SUMIF(J14:J241,"lrvb",M14:M241)</f>
        <v>36</v>
      </c>
      <c r="N266" s="946">
        <f>SUMIF(J13:J240,"lrvb",N13:N240)</f>
        <v>36</v>
      </c>
      <c r="O266" s="251"/>
      <c r="P266" s="162"/>
      <c r="Q266" s="162"/>
      <c r="R266" s="162"/>
      <c r="S266" s="162"/>
    </row>
    <row r="267" spans="1:20" ht="15.75" customHeight="1" x14ac:dyDescent="0.2">
      <c r="A267" s="1922" t="s">
        <v>303</v>
      </c>
      <c r="B267" s="1922"/>
      <c r="C267" s="1922"/>
      <c r="D267" s="1922"/>
      <c r="E267" s="1922"/>
      <c r="F267" s="1922"/>
      <c r="G267" s="1922"/>
      <c r="H267" s="1922"/>
      <c r="I267" s="1922"/>
      <c r="J267" s="1937"/>
      <c r="K267" s="433">
        <f>SUMIF(J14:J241,"sb(pfm)",K14:K241)</f>
        <v>0</v>
      </c>
      <c r="L267" s="362">
        <f>SUMIF(J14:J241,"pfm",L14:L241)</f>
        <v>692.9</v>
      </c>
      <c r="M267" s="65">
        <f>SUMIF(J14:J241,"pfm",M14:M241)</f>
        <v>551</v>
      </c>
      <c r="N267" s="474">
        <f>SUMIF(J14:J241,"pfm",N14:N241)</f>
        <v>0</v>
      </c>
      <c r="O267" s="251"/>
      <c r="P267" s="162"/>
      <c r="Q267" s="162"/>
      <c r="R267" s="162"/>
      <c r="S267" s="162"/>
      <c r="T267" s="164"/>
    </row>
    <row r="268" spans="1:20" ht="15" customHeight="1" x14ac:dyDescent="0.2">
      <c r="A268" s="1938" t="s">
        <v>209</v>
      </c>
      <c r="B268" s="1939"/>
      <c r="C268" s="1939"/>
      <c r="D268" s="1939"/>
      <c r="E268" s="1939"/>
      <c r="F268" s="1939"/>
      <c r="G268" s="1939"/>
      <c r="H268" s="1939"/>
      <c r="I268" s="1939"/>
      <c r="J268" s="1939"/>
      <c r="K268" s="55">
        <f>SUMIF(J14:J240,"es",K14:K240)</f>
        <v>509.4</v>
      </c>
      <c r="L268" s="943">
        <f>SUMIF(J14:J242,"es",L14:L242)</f>
        <v>1152.5999999999999</v>
      </c>
      <c r="M268" s="942">
        <f>SUMIF(J13:J241,"es",M13:M241)</f>
        <v>381</v>
      </c>
      <c r="N268" s="437">
        <f>SUMIF(J14:J242,"es",N14:N242)</f>
        <v>0</v>
      </c>
      <c r="O268" s="251"/>
      <c r="P268" s="162"/>
      <c r="Q268" s="162"/>
      <c r="R268" s="162"/>
      <c r="S268" s="162"/>
    </row>
    <row r="269" spans="1:20" ht="15" customHeight="1" x14ac:dyDescent="0.2">
      <c r="A269" s="1938" t="s">
        <v>293</v>
      </c>
      <c r="B269" s="1939"/>
      <c r="C269" s="1939"/>
      <c r="D269" s="1939"/>
      <c r="E269" s="1939"/>
      <c r="F269" s="1939"/>
      <c r="G269" s="1939"/>
      <c r="H269" s="1939"/>
      <c r="I269" s="1939"/>
      <c r="J269" s="1940"/>
      <c r="K269" s="55"/>
      <c r="L269" s="943">
        <f>SUMIF(J15:J247,"kt",L15:L247)</f>
        <v>89.9</v>
      </c>
      <c r="M269" s="942"/>
      <c r="N269" s="437"/>
      <c r="O269" s="251"/>
      <c r="P269" s="162"/>
      <c r="Q269" s="162"/>
      <c r="R269" s="162"/>
      <c r="S269" s="162"/>
    </row>
    <row r="270" spans="1:20" ht="16.5" customHeight="1" thickBot="1" x14ac:dyDescent="0.25">
      <c r="A270" s="1941" t="s">
        <v>26</v>
      </c>
      <c r="B270" s="1942"/>
      <c r="C270" s="1942"/>
      <c r="D270" s="1942"/>
      <c r="E270" s="1942"/>
      <c r="F270" s="1942"/>
      <c r="G270" s="1942"/>
      <c r="H270" s="1942"/>
      <c r="I270" s="1942"/>
      <c r="J270" s="1942"/>
      <c r="K270" s="320">
        <f>K265+K253</f>
        <v>87759.799999999974</v>
      </c>
      <c r="L270" s="80">
        <f>L265+L253</f>
        <v>106510.70000000003</v>
      </c>
      <c r="M270" s="423">
        <f>M265+M253</f>
        <v>104387.5</v>
      </c>
      <c r="N270" s="133">
        <f>N265+N253</f>
        <v>98660.7</v>
      </c>
      <c r="O270" s="665"/>
    </row>
    <row r="271" spans="1:20" ht="22.5" customHeight="1" x14ac:dyDescent="0.2">
      <c r="A271" s="1943" t="s">
        <v>157</v>
      </c>
      <c r="B271" s="1943"/>
      <c r="C271" s="1943"/>
      <c r="D271" s="1943"/>
      <c r="E271" s="1943"/>
      <c r="F271" s="1943"/>
      <c r="G271" s="1943"/>
      <c r="H271" s="1943"/>
      <c r="I271" s="1943"/>
      <c r="J271" s="1943"/>
      <c r="K271" s="1943"/>
      <c r="L271" s="1943"/>
      <c r="M271" s="1943"/>
      <c r="N271" s="1943"/>
      <c r="O271" s="1943"/>
      <c r="P271" s="1943"/>
      <c r="Q271" s="1943"/>
      <c r="R271" s="1943"/>
      <c r="S271" s="1943"/>
    </row>
    <row r="272" spans="1:20" x14ac:dyDescent="0.2">
      <c r="F272" s="167"/>
      <c r="G272" s="1307"/>
      <c r="H272" s="1307"/>
      <c r="I272" s="242"/>
      <c r="J272" s="981"/>
      <c r="K272" s="1417">
        <f>+K270-K249</f>
        <v>0</v>
      </c>
      <c r="L272" s="1417">
        <f>+L270-L249</f>
        <v>0</v>
      </c>
      <c r="M272" s="1417">
        <f>+M270-M249</f>
        <v>0</v>
      </c>
      <c r="N272" s="1417">
        <f>+N270-N249</f>
        <v>0</v>
      </c>
      <c r="O272" s="1418"/>
    </row>
    <row r="273" spans="1:19" x14ac:dyDescent="0.2">
      <c r="F273" s="167"/>
      <c r="G273" s="1307"/>
      <c r="H273" s="1307"/>
      <c r="I273" s="242"/>
      <c r="J273" s="701"/>
      <c r="K273" s="865"/>
      <c r="L273" s="865"/>
      <c r="M273" s="371"/>
      <c r="N273" s="2075"/>
      <c r="O273" s="2075"/>
    </row>
    <row r="274" spans="1:19" x14ac:dyDescent="0.2">
      <c r="F274" s="167"/>
      <c r="G274" s="1307"/>
      <c r="H274" s="1307"/>
      <c r="I274" s="242"/>
      <c r="J274" s="242"/>
      <c r="K274" s="863"/>
      <c r="L274" s="863"/>
      <c r="M274" s="863"/>
      <c r="N274" s="863"/>
      <c r="O274" s="864"/>
    </row>
    <row r="275" spans="1:19" x14ac:dyDescent="0.2">
      <c r="F275" s="167"/>
      <c r="G275" s="1307"/>
      <c r="H275" s="1307"/>
      <c r="I275" s="242"/>
      <c r="J275" s="242"/>
      <c r="K275" s="863"/>
      <c r="L275" s="863"/>
      <c r="M275" s="863"/>
      <c r="N275" s="863"/>
      <c r="O275" s="864"/>
      <c r="P275" s="167"/>
      <c r="Q275" s="167"/>
      <c r="R275" s="167"/>
      <c r="S275" s="167"/>
    </row>
    <row r="276" spans="1:19" x14ac:dyDescent="0.2">
      <c r="F276" s="167"/>
      <c r="G276" s="1307"/>
      <c r="H276" s="1307"/>
      <c r="I276" s="242"/>
      <c r="J276" s="242"/>
      <c r="K276" s="863"/>
      <c r="L276" s="863"/>
      <c r="M276" s="863"/>
      <c r="N276" s="863"/>
      <c r="O276" s="864"/>
      <c r="P276" s="167"/>
      <c r="Q276" s="167"/>
      <c r="R276" s="167"/>
      <c r="S276" s="167"/>
    </row>
    <row r="277" spans="1:19" x14ac:dyDescent="0.2">
      <c r="F277" s="167"/>
      <c r="G277" s="1307"/>
      <c r="H277" s="1307"/>
      <c r="I277" s="242"/>
      <c r="J277" s="242"/>
      <c r="K277" s="258"/>
      <c r="L277" s="258"/>
      <c r="M277" s="258"/>
      <c r="N277" s="258"/>
      <c r="P277" s="167"/>
      <c r="Q277" s="167"/>
      <c r="R277" s="167"/>
      <c r="S277" s="167"/>
    </row>
    <row r="278" spans="1:19" x14ac:dyDescent="0.2">
      <c r="F278" s="167"/>
      <c r="G278" s="1307"/>
      <c r="H278" s="1307"/>
      <c r="I278" s="242"/>
      <c r="J278" s="242"/>
      <c r="K278" s="258"/>
      <c r="L278" s="258"/>
      <c r="M278" s="258"/>
      <c r="N278" s="258"/>
      <c r="P278" s="167"/>
      <c r="Q278" s="167"/>
      <c r="R278" s="167"/>
      <c r="S278" s="167"/>
    </row>
    <row r="279" spans="1:19" x14ac:dyDescent="0.2">
      <c r="F279" s="167"/>
      <c r="G279" s="1307"/>
      <c r="H279" s="1307"/>
      <c r="I279" s="242"/>
      <c r="J279" s="242"/>
      <c r="K279" s="258"/>
      <c r="L279" s="258"/>
      <c r="M279" s="258"/>
      <c r="N279" s="258"/>
      <c r="P279" s="167"/>
      <c r="Q279" s="167"/>
      <c r="R279" s="167"/>
      <c r="S279" s="167"/>
    </row>
    <row r="280" spans="1:19" x14ac:dyDescent="0.2">
      <c r="A280" s="246"/>
      <c r="B280" s="246"/>
      <c r="C280" s="246"/>
      <c r="D280" s="291"/>
      <c r="E280" s="309"/>
      <c r="F280" s="167"/>
      <c r="G280" s="1307"/>
      <c r="H280" s="1307"/>
      <c r="I280" s="242"/>
      <c r="J280" s="242"/>
      <c r="K280" s="258"/>
      <c r="L280" s="258"/>
      <c r="M280" s="258"/>
      <c r="N280" s="258"/>
      <c r="O280" s="167"/>
      <c r="P280" s="167"/>
      <c r="Q280" s="167"/>
      <c r="R280" s="167"/>
      <c r="S280" s="167"/>
    </row>
    <row r="281" spans="1:19" x14ac:dyDescent="0.2">
      <c r="A281" s="246"/>
      <c r="B281" s="246"/>
      <c r="C281" s="246"/>
      <c r="D281" s="291"/>
      <c r="E281" s="309"/>
      <c r="F281" s="167"/>
      <c r="G281" s="1307"/>
      <c r="H281" s="1307"/>
      <c r="I281" s="242"/>
      <c r="J281" s="242"/>
      <c r="K281" s="258"/>
      <c r="L281" s="258"/>
      <c r="M281" s="258"/>
      <c r="N281" s="258"/>
      <c r="O281" s="167"/>
      <c r="P281" s="167"/>
      <c r="Q281" s="167"/>
      <c r="R281" s="167"/>
      <c r="S281" s="167"/>
    </row>
    <row r="282" spans="1:19" x14ac:dyDescent="0.2">
      <c r="A282" s="246"/>
      <c r="B282" s="246"/>
      <c r="C282" s="246"/>
      <c r="D282" s="291"/>
      <c r="E282" s="309"/>
      <c r="F282" s="167"/>
      <c r="G282" s="1307"/>
      <c r="H282" s="1307"/>
      <c r="I282" s="242"/>
      <c r="J282" s="242"/>
      <c r="K282" s="258"/>
      <c r="L282" s="258"/>
      <c r="M282" s="258"/>
      <c r="N282" s="258"/>
      <c r="O282" s="167"/>
      <c r="P282" s="167"/>
      <c r="Q282" s="167"/>
      <c r="R282" s="167"/>
      <c r="S282" s="167"/>
    </row>
    <row r="283" spans="1:19" x14ac:dyDescent="0.2">
      <c r="A283" s="246"/>
      <c r="B283" s="246"/>
      <c r="C283" s="246"/>
      <c r="D283" s="291"/>
      <c r="E283" s="309"/>
      <c r="F283" s="167"/>
      <c r="G283" s="1307"/>
      <c r="H283" s="1307"/>
      <c r="I283" s="242"/>
      <c r="J283" s="242"/>
      <c r="K283" s="258"/>
      <c r="L283" s="258"/>
      <c r="M283" s="258"/>
      <c r="N283" s="258"/>
      <c r="O283" s="167"/>
      <c r="P283" s="167"/>
      <c r="Q283" s="167"/>
      <c r="R283" s="167"/>
      <c r="S283" s="167"/>
    </row>
    <row r="284" spans="1:19" x14ac:dyDescent="0.2">
      <c r="A284" s="246"/>
      <c r="B284" s="246"/>
      <c r="C284" s="246"/>
      <c r="D284" s="291"/>
      <c r="E284" s="309"/>
      <c r="F284" s="167"/>
      <c r="G284" s="1307"/>
      <c r="H284" s="1307"/>
      <c r="I284" s="242"/>
      <c r="J284" s="242"/>
      <c r="K284" s="258"/>
      <c r="L284" s="258"/>
      <c r="M284" s="258"/>
      <c r="N284" s="258"/>
      <c r="O284" s="167"/>
      <c r="P284" s="167"/>
      <c r="Q284" s="167"/>
      <c r="R284" s="167"/>
      <c r="S284" s="167"/>
    </row>
    <row r="285" spans="1:19" x14ac:dyDescent="0.2">
      <c r="A285" s="246"/>
      <c r="B285" s="246"/>
      <c r="C285" s="246"/>
      <c r="D285" s="291"/>
      <c r="E285" s="309"/>
      <c r="F285" s="167"/>
      <c r="G285" s="1307"/>
      <c r="H285" s="1307"/>
      <c r="I285" s="242"/>
      <c r="J285" s="242"/>
      <c r="K285" s="258"/>
      <c r="L285" s="258"/>
      <c r="M285" s="258"/>
      <c r="N285" s="258"/>
      <c r="O285" s="167"/>
      <c r="P285" s="167"/>
      <c r="Q285" s="167"/>
      <c r="R285" s="167"/>
      <c r="S285" s="167"/>
    </row>
    <row r="286" spans="1:19" x14ac:dyDescent="0.2">
      <c r="A286" s="246"/>
      <c r="B286" s="246"/>
      <c r="C286" s="246"/>
      <c r="D286" s="291"/>
      <c r="E286" s="309"/>
      <c r="F286" s="167"/>
      <c r="G286" s="1307"/>
      <c r="H286" s="1307"/>
      <c r="I286" s="242"/>
      <c r="J286" s="242"/>
      <c r="K286" s="258"/>
      <c r="L286" s="258"/>
      <c r="M286" s="258"/>
      <c r="N286" s="258"/>
      <c r="O286" s="167"/>
      <c r="P286" s="167"/>
      <c r="Q286" s="167"/>
      <c r="R286" s="167"/>
      <c r="S286" s="167"/>
    </row>
    <row r="287" spans="1:19" x14ac:dyDescent="0.2">
      <c r="A287" s="246"/>
      <c r="B287" s="246"/>
      <c r="C287" s="246"/>
      <c r="D287" s="291"/>
      <c r="E287" s="309"/>
      <c r="F287" s="167"/>
      <c r="G287" s="1307"/>
      <c r="H287" s="1307"/>
      <c r="I287" s="242"/>
      <c r="J287" s="242"/>
      <c r="K287" s="258"/>
      <c r="L287" s="258"/>
      <c r="M287" s="258"/>
      <c r="N287" s="258"/>
      <c r="O287" s="167"/>
      <c r="P287" s="167"/>
      <c r="Q287" s="167"/>
      <c r="R287" s="167"/>
      <c r="S287" s="167"/>
    </row>
    <row r="288" spans="1:19" x14ac:dyDescent="0.2">
      <c r="A288" s="246"/>
      <c r="B288" s="246"/>
      <c r="C288" s="246"/>
      <c r="D288" s="291"/>
      <c r="E288" s="309"/>
      <c r="F288" s="167"/>
      <c r="G288" s="1307"/>
      <c r="H288" s="1307"/>
      <c r="I288" s="242"/>
      <c r="J288" s="242"/>
      <c r="K288" s="258"/>
      <c r="L288" s="258"/>
      <c r="M288" s="258"/>
      <c r="N288" s="258"/>
      <c r="O288" s="167"/>
      <c r="P288" s="167"/>
      <c r="Q288" s="167"/>
      <c r="R288" s="167"/>
      <c r="S288" s="167"/>
    </row>
    <row r="289" spans="1:19" x14ac:dyDescent="0.2">
      <c r="A289" s="246"/>
      <c r="B289" s="246"/>
      <c r="C289" s="246"/>
      <c r="D289" s="291"/>
      <c r="E289" s="309"/>
      <c r="F289" s="167"/>
      <c r="G289" s="1307"/>
      <c r="H289" s="1307"/>
      <c r="I289" s="242"/>
      <c r="J289" s="242"/>
      <c r="K289" s="258"/>
      <c r="L289" s="258"/>
      <c r="M289" s="258"/>
      <c r="N289" s="258"/>
      <c r="O289" s="167"/>
      <c r="P289" s="167"/>
      <c r="Q289" s="167"/>
      <c r="R289" s="167"/>
      <c r="S289" s="167"/>
    </row>
    <row r="290" spans="1:19" x14ac:dyDescent="0.2">
      <c r="A290" s="246"/>
      <c r="B290" s="246"/>
      <c r="C290" s="246"/>
      <c r="D290" s="291"/>
      <c r="E290" s="309"/>
      <c r="F290" s="167"/>
      <c r="G290" s="1307"/>
      <c r="H290" s="1307"/>
      <c r="I290" s="242"/>
      <c r="J290" s="242"/>
      <c r="K290" s="258"/>
      <c r="L290" s="258"/>
      <c r="M290" s="258"/>
      <c r="N290" s="258"/>
      <c r="O290" s="167"/>
      <c r="P290" s="167"/>
      <c r="Q290" s="167"/>
      <c r="R290" s="167"/>
      <c r="S290" s="167"/>
    </row>
    <row r="291" spans="1:19" x14ac:dyDescent="0.2">
      <c r="A291" s="246"/>
      <c r="B291" s="246"/>
      <c r="C291" s="246"/>
      <c r="D291" s="291"/>
      <c r="E291" s="309"/>
      <c r="F291" s="167"/>
      <c r="G291" s="1307"/>
      <c r="H291" s="1307"/>
      <c r="I291" s="242"/>
      <c r="J291" s="242"/>
      <c r="K291" s="258"/>
      <c r="L291" s="258"/>
      <c r="M291" s="258"/>
      <c r="N291" s="258"/>
      <c r="O291" s="167"/>
      <c r="P291" s="167"/>
      <c r="Q291" s="167"/>
      <c r="R291" s="167"/>
      <c r="S291" s="167"/>
    </row>
    <row r="292" spans="1:19" x14ac:dyDescent="0.2">
      <c r="A292" s="246"/>
      <c r="B292" s="246"/>
      <c r="C292" s="246"/>
      <c r="D292" s="291"/>
      <c r="E292" s="309"/>
      <c r="F292" s="167"/>
      <c r="G292" s="1307"/>
      <c r="H292" s="1307"/>
      <c r="I292" s="242"/>
      <c r="J292" s="242"/>
      <c r="K292" s="258"/>
      <c r="L292" s="258"/>
      <c r="M292" s="258"/>
      <c r="N292" s="258"/>
      <c r="O292" s="167"/>
      <c r="P292" s="167"/>
      <c r="Q292" s="167"/>
      <c r="R292" s="167"/>
      <c r="S292" s="167"/>
    </row>
  </sheetData>
  <mergeCells count="238">
    <mergeCell ref="A227:A228"/>
    <mergeCell ref="I227:I228"/>
    <mergeCell ref="B227:B228"/>
    <mergeCell ref="A250:S250"/>
    <mergeCell ref="A110:A114"/>
    <mergeCell ref="F156:F157"/>
    <mergeCell ref="F158:F159"/>
    <mergeCell ref="U49:W49"/>
    <mergeCell ref="U77:V77"/>
    <mergeCell ref="U124:Y124"/>
    <mergeCell ref="I160:I161"/>
    <mergeCell ref="F149:F150"/>
    <mergeCell ref="I149:I150"/>
    <mergeCell ref="G182:J182"/>
    <mergeCell ref="I144:I147"/>
    <mergeCell ref="F168:F171"/>
    <mergeCell ref="F173:F174"/>
    <mergeCell ref="L180:L181"/>
    <mergeCell ref="M180:M181"/>
    <mergeCell ref="F142:F143"/>
    <mergeCell ref="B248:J248"/>
    <mergeCell ref="B249:J249"/>
    <mergeCell ref="O236:O237"/>
    <mergeCell ref="F217:F218"/>
    <mergeCell ref="N273:O273"/>
    <mergeCell ref="U97:V97"/>
    <mergeCell ref="U99:V99"/>
    <mergeCell ref="U104:W104"/>
    <mergeCell ref="U173:V173"/>
    <mergeCell ref="U187:W187"/>
    <mergeCell ref="U189:W189"/>
    <mergeCell ref="U137:V137"/>
    <mergeCell ref="U134:V134"/>
    <mergeCell ref="U139:V139"/>
    <mergeCell ref="U117:V117"/>
    <mergeCell ref="U224:V224"/>
    <mergeCell ref="U158:V158"/>
    <mergeCell ref="U168:X168"/>
    <mergeCell ref="P134:P136"/>
    <mergeCell ref="C198:S198"/>
    <mergeCell ref="F151:F154"/>
    <mergeCell ref="F241:F242"/>
    <mergeCell ref="F199:F200"/>
    <mergeCell ref="O208:O210"/>
    <mergeCell ref="F203:F204"/>
    <mergeCell ref="Q134:Q136"/>
    <mergeCell ref="A251:N251"/>
    <mergeCell ref="C247:J247"/>
    <mergeCell ref="U32:V32"/>
    <mergeCell ref="O134:O136"/>
    <mergeCell ref="F134:F136"/>
    <mergeCell ref="F162:F167"/>
    <mergeCell ref="I162:I167"/>
    <mergeCell ref="G137:G138"/>
    <mergeCell ref="U40:V40"/>
    <mergeCell ref="I113:I114"/>
    <mergeCell ref="I115:I116"/>
    <mergeCell ref="I117:I119"/>
    <mergeCell ref="I137:I138"/>
    <mergeCell ref="O113:O114"/>
    <mergeCell ref="F61:F62"/>
    <mergeCell ref="F63:F65"/>
    <mergeCell ref="F71:F72"/>
    <mergeCell ref="I88:I89"/>
    <mergeCell ref="F99:F101"/>
    <mergeCell ref="O100:O101"/>
    <mergeCell ref="N79:N80"/>
    <mergeCell ref="F74:F75"/>
    <mergeCell ref="F79:F80"/>
    <mergeCell ref="G79:G80"/>
    <mergeCell ref="U127:X127"/>
    <mergeCell ref="F83:F84"/>
    <mergeCell ref="F233:F234"/>
    <mergeCell ref="F235:F238"/>
    <mergeCell ref="F221:F222"/>
    <mergeCell ref="F243:F245"/>
    <mergeCell ref="I233:I234"/>
    <mergeCell ref="I245:I246"/>
    <mergeCell ref="I241:I242"/>
    <mergeCell ref="D244:D245"/>
    <mergeCell ref="G227:G228"/>
    <mergeCell ref="H227:H228"/>
    <mergeCell ref="D127:D129"/>
    <mergeCell ref="I124:I126"/>
    <mergeCell ref="I243:I244"/>
    <mergeCell ref="E127:E129"/>
    <mergeCell ref="F137:F138"/>
    <mergeCell ref="G149:G150"/>
    <mergeCell ref="O144:O145"/>
    <mergeCell ref="I142:I143"/>
    <mergeCell ref="G134:G136"/>
    <mergeCell ref="F144:F147"/>
    <mergeCell ref="F124:F126"/>
    <mergeCell ref="C197:J197"/>
    <mergeCell ref="I199:I201"/>
    <mergeCell ref="O227:O228"/>
    <mergeCell ref="G229:G230"/>
    <mergeCell ref="I229:I230"/>
    <mergeCell ref="F229:F230"/>
    <mergeCell ref="F227:F228"/>
    <mergeCell ref="I139:I141"/>
    <mergeCell ref="F139:F141"/>
    <mergeCell ref="D193:D194"/>
    <mergeCell ref="E193:E194"/>
    <mergeCell ref="O169:O171"/>
    <mergeCell ref="I189:I190"/>
    <mergeCell ref="A270:J270"/>
    <mergeCell ref="A271:S271"/>
    <mergeCell ref="A258:J258"/>
    <mergeCell ref="A259:J259"/>
    <mergeCell ref="A260:J260"/>
    <mergeCell ref="A261:J261"/>
    <mergeCell ref="A262:J262"/>
    <mergeCell ref="A263:J263"/>
    <mergeCell ref="A252:J252"/>
    <mergeCell ref="A253:J253"/>
    <mergeCell ref="A254:J254"/>
    <mergeCell ref="A255:J255"/>
    <mergeCell ref="A256:J256"/>
    <mergeCell ref="A257:J257"/>
    <mergeCell ref="A264:J264"/>
    <mergeCell ref="A265:J265"/>
    <mergeCell ref="A266:J266"/>
    <mergeCell ref="A268:J268"/>
    <mergeCell ref="A267:J267"/>
    <mergeCell ref="A269:J269"/>
    <mergeCell ref="F85:F86"/>
    <mergeCell ref="G74:G75"/>
    <mergeCell ref="F93:F94"/>
    <mergeCell ref="G87:J87"/>
    <mergeCell ref="I95:I96"/>
    <mergeCell ref="F95:F96"/>
    <mergeCell ref="O97:O98"/>
    <mergeCell ref="F97:F98"/>
    <mergeCell ref="I97:I98"/>
    <mergeCell ref="F17:F18"/>
    <mergeCell ref="F22:F24"/>
    <mergeCell ref="F55:F57"/>
    <mergeCell ref="O55:O57"/>
    <mergeCell ref="B11:S11"/>
    <mergeCell ref="C12:S12"/>
    <mergeCell ref="F14:F16"/>
    <mergeCell ref="I13:I14"/>
    <mergeCell ref="A9:S9"/>
    <mergeCell ref="A10:S10"/>
    <mergeCell ref="F52:F54"/>
    <mergeCell ref="O40:O41"/>
    <mergeCell ref="F42:F48"/>
    <mergeCell ref="F33:F36"/>
    <mergeCell ref="F49:F50"/>
    <mergeCell ref="F19:F21"/>
    <mergeCell ref="F27:F30"/>
    <mergeCell ref="F38:F39"/>
    <mergeCell ref="F40:F41"/>
    <mergeCell ref="F25:F26"/>
    <mergeCell ref="O1:S1"/>
    <mergeCell ref="A2:S2"/>
    <mergeCell ref="A3:S3"/>
    <mergeCell ref="A4:S4"/>
    <mergeCell ref="Q5:S5"/>
    <mergeCell ref="A6:A8"/>
    <mergeCell ref="B6:B8"/>
    <mergeCell ref="C6:C8"/>
    <mergeCell ref="D6:D8"/>
    <mergeCell ref="E6:E8"/>
    <mergeCell ref="M6:M8"/>
    <mergeCell ref="O6:S6"/>
    <mergeCell ref="O7:O8"/>
    <mergeCell ref="P7:S7"/>
    <mergeCell ref="N6:N8"/>
    <mergeCell ref="F6:F8"/>
    <mergeCell ref="G6:G8"/>
    <mergeCell ref="H6:H8"/>
    <mergeCell ref="J6:J8"/>
    <mergeCell ref="K6:K8"/>
    <mergeCell ref="L6:L8"/>
    <mergeCell ref="I6:I8"/>
    <mergeCell ref="F102:F103"/>
    <mergeCell ref="C106:J106"/>
    <mergeCell ref="B107:J107"/>
    <mergeCell ref="B108:S108"/>
    <mergeCell ref="C109:S109"/>
    <mergeCell ref="P113:P114"/>
    <mergeCell ref="Q113:Q114"/>
    <mergeCell ref="R113:R114"/>
    <mergeCell ref="S113:S114"/>
    <mergeCell ref="F104:F105"/>
    <mergeCell ref="I102:I103"/>
    <mergeCell ref="I104:I105"/>
    <mergeCell ref="O110:O111"/>
    <mergeCell ref="B110:B114"/>
    <mergeCell ref="C110:C114"/>
    <mergeCell ref="F110:F114"/>
    <mergeCell ref="G110:G114"/>
    <mergeCell ref="C183:J183"/>
    <mergeCell ref="C184:S184"/>
    <mergeCell ref="O224:O225"/>
    <mergeCell ref="F214:F215"/>
    <mergeCell ref="G214:G215"/>
    <mergeCell ref="O221:O222"/>
    <mergeCell ref="F189:F190"/>
    <mergeCell ref="I193:I196"/>
    <mergeCell ref="G193:G194"/>
    <mergeCell ref="F224:F226"/>
    <mergeCell ref="F117:F121"/>
    <mergeCell ref="F130:F131"/>
    <mergeCell ref="I127:I130"/>
    <mergeCell ref="O130:O131"/>
    <mergeCell ref="G139:G141"/>
    <mergeCell ref="O128:O129"/>
    <mergeCell ref="O117:O118"/>
    <mergeCell ref="O119:O120"/>
    <mergeCell ref="F127:F129"/>
    <mergeCell ref="F132:F133"/>
    <mergeCell ref="I70:I73"/>
    <mergeCell ref="O156:O157"/>
    <mergeCell ref="U219:V219"/>
    <mergeCell ref="F160:F161"/>
    <mergeCell ref="I134:I136"/>
    <mergeCell ref="F180:F182"/>
    <mergeCell ref="I168:I169"/>
    <mergeCell ref="F178:F179"/>
    <mergeCell ref="I187:I188"/>
    <mergeCell ref="F187:F188"/>
    <mergeCell ref="G171:J171"/>
    <mergeCell ref="J180:J181"/>
    <mergeCell ref="K180:K181"/>
    <mergeCell ref="P195:P196"/>
    <mergeCell ref="O195:O196"/>
    <mergeCell ref="F195:F196"/>
    <mergeCell ref="F193:F194"/>
    <mergeCell ref="V151:W151"/>
    <mergeCell ref="I151:I153"/>
    <mergeCell ref="O151:O153"/>
    <mergeCell ref="F201:F202"/>
    <mergeCell ref="Q195:Q196"/>
    <mergeCell ref="S195:S196"/>
    <mergeCell ref="R195:R196"/>
  </mergeCells>
  <printOptions horizontalCentered="1"/>
  <pageMargins left="0.78740157480314965" right="0" top="0.19685039370078741" bottom="0.19685039370078741" header="0.31496062992125984" footer="0.31496062992125984"/>
  <pageSetup paperSize="9" scale="60" orientation="portrait" r:id="rId1"/>
  <rowBreaks count="3" manualBreakCount="3">
    <brk id="62" max="18" man="1"/>
    <brk id="116" max="18" man="1"/>
    <brk id="23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Lyginamasis po komitetų pastabų</vt:lpstr>
      <vt:lpstr>10 programa</vt:lpstr>
      <vt:lpstr>Aiskinamoji lentelė</vt:lpstr>
      <vt:lpstr>'10 programa'!Print_Area</vt:lpstr>
      <vt:lpstr>'Aiskinamoji lentelė'!Print_Area</vt:lpstr>
      <vt:lpstr>'Lyginamasis po komitetų pastabų'!Print_Area</vt:lpstr>
      <vt:lpstr>'10 programa'!Print_Titles</vt:lpstr>
      <vt:lpstr>'Aiskinamoji lentelė'!Print_Titles</vt:lpstr>
      <vt:lpstr>'Lyginamasis po komitetų pastabų'!Print_Titles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2020-02-27T08:37:03Z</cp:lastPrinted>
  <dcterms:created xsi:type="dcterms:W3CDTF">2006-05-12T05:50:12Z</dcterms:created>
  <dcterms:modified xsi:type="dcterms:W3CDTF">2020-03-02T13:08:22Z</dcterms:modified>
</cp:coreProperties>
</file>