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luosnis\Kmsa\Strateginio planavimo skyrius\SVP ATASKAITOS\2019 SVP ataskaita\2019 SVP ataskaita\"/>
    </mc:Choice>
  </mc:AlternateContent>
  <bookViews>
    <workbookView xWindow="-120" yWindow="-120" windowWidth="24240" windowHeight="13140"/>
  </bookViews>
  <sheets>
    <sheet name="Ataskaita" sheetId="4" r:id="rId1"/>
    <sheet name="11 programa" sheetId="5" r:id="rId2"/>
    <sheet name="SPIS" sheetId="6" state="hidden" r:id="rId3"/>
    <sheet name="Lyginamasis" sheetId="3" state="hidden" r:id="rId4"/>
  </sheets>
  <definedNames>
    <definedName name="_xlnm.Print_Area" localSheetId="1">'11 programa'!$A$1:$Q$161</definedName>
    <definedName name="_xlnm.Print_Area" localSheetId="0">Ataskaita!$A$1:$H$31</definedName>
    <definedName name="_xlnm.Print_Area" localSheetId="3">Lyginamasis!$A$1:$U$108</definedName>
    <definedName name="_xlnm.Print_Titles" localSheetId="1">'11 programa'!$4:$6</definedName>
    <definedName name="_xlnm.Print_Titles" localSheetId="3">Lyginamasis!$6:$8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13" i="5" l="1"/>
  <c r="L76" i="5" l="1"/>
  <c r="F150" i="6" l="1"/>
  <c r="E150" i="6"/>
  <c r="D150" i="6"/>
  <c r="C150" i="6"/>
  <c r="H134" i="6"/>
  <c r="G134" i="6"/>
  <c r="F134" i="6"/>
  <c r="E134" i="6"/>
  <c r="H132" i="6"/>
  <c r="G132" i="6"/>
  <c r="F132" i="6"/>
  <c r="E132" i="6"/>
  <c r="H131" i="6"/>
  <c r="G131" i="6"/>
  <c r="F131" i="6"/>
  <c r="E131" i="6"/>
  <c r="H130" i="6"/>
  <c r="G130" i="6"/>
  <c r="F130" i="6"/>
  <c r="E130" i="6"/>
  <c r="H128" i="6"/>
  <c r="G128" i="6"/>
  <c r="F128" i="6"/>
  <c r="E128" i="6"/>
  <c r="H125" i="6"/>
  <c r="G125" i="6"/>
  <c r="F125" i="6"/>
  <c r="E125" i="6"/>
  <c r="H122" i="6"/>
  <c r="G122" i="6"/>
  <c r="F122" i="6"/>
  <c r="E122" i="6"/>
  <c r="H117" i="6"/>
  <c r="G117" i="6"/>
  <c r="F117" i="6"/>
  <c r="E117" i="6"/>
  <c r="E116" i="6" s="1"/>
  <c r="H116" i="6"/>
  <c r="G116" i="6"/>
  <c r="G96" i="6" s="1"/>
  <c r="F116" i="6"/>
  <c r="H114" i="6"/>
  <c r="G114" i="6"/>
  <c r="F114" i="6"/>
  <c r="E114" i="6"/>
  <c r="H113" i="6"/>
  <c r="G113" i="6"/>
  <c r="F113" i="6"/>
  <c r="E113" i="6"/>
  <c r="H108" i="6"/>
  <c r="G108" i="6"/>
  <c r="F108" i="6"/>
  <c r="E108" i="6"/>
  <c r="H105" i="6"/>
  <c r="G105" i="6"/>
  <c r="F105" i="6"/>
  <c r="E105" i="6"/>
  <c r="H100" i="6"/>
  <c r="G100" i="6"/>
  <c r="F100" i="6"/>
  <c r="E100" i="6"/>
  <c r="H98" i="6"/>
  <c r="G98" i="6"/>
  <c r="F98" i="6"/>
  <c r="E98" i="6"/>
  <c r="H97" i="6"/>
  <c r="G97" i="6"/>
  <c r="F97" i="6"/>
  <c r="E97" i="6"/>
  <c r="H96" i="6"/>
  <c r="F96" i="6"/>
  <c r="H94" i="6"/>
  <c r="G94" i="6"/>
  <c r="F94" i="6"/>
  <c r="E94" i="6"/>
  <c r="H93" i="6"/>
  <c r="G93" i="6"/>
  <c r="F93" i="6"/>
  <c r="E93" i="6"/>
  <c r="H91" i="6"/>
  <c r="G91" i="6"/>
  <c r="F91" i="6"/>
  <c r="E91" i="6"/>
  <c r="H89" i="6"/>
  <c r="G89" i="6"/>
  <c r="F89" i="6"/>
  <c r="E89" i="6"/>
  <c r="H87" i="6"/>
  <c r="G87" i="6"/>
  <c r="F87" i="6"/>
  <c r="E87" i="6"/>
  <c r="H85" i="6"/>
  <c r="G85" i="6"/>
  <c r="F85" i="6"/>
  <c r="E85" i="6"/>
  <c r="H81" i="6"/>
  <c r="G81" i="6"/>
  <c r="F81" i="6"/>
  <c r="E81" i="6"/>
  <c r="E77" i="6" s="1"/>
  <c r="H77" i="6"/>
  <c r="G77" i="6"/>
  <c r="G30" i="6" s="1"/>
  <c r="F77" i="6"/>
  <c r="H68" i="6"/>
  <c r="G68" i="6"/>
  <c r="F68" i="6"/>
  <c r="E68" i="6"/>
  <c r="H61" i="6"/>
  <c r="G61" i="6"/>
  <c r="F61" i="6"/>
  <c r="E61" i="6"/>
  <c r="H56" i="6"/>
  <c r="G56" i="6"/>
  <c r="F56" i="6"/>
  <c r="E56" i="6"/>
  <c r="H50" i="6"/>
  <c r="G50" i="6"/>
  <c r="F50" i="6"/>
  <c r="E50" i="6"/>
  <c r="H45" i="6"/>
  <c r="G45" i="6"/>
  <c r="F45" i="6"/>
  <c r="E45" i="6"/>
  <c r="H37" i="6"/>
  <c r="G37" i="6"/>
  <c r="F37" i="6"/>
  <c r="E37" i="6"/>
  <c r="H31" i="6"/>
  <c r="G31" i="6"/>
  <c r="F31" i="6"/>
  <c r="E31" i="6"/>
  <c r="H30" i="6"/>
  <c r="F30" i="6"/>
  <c r="H26" i="6"/>
  <c r="G26" i="6"/>
  <c r="F26" i="6"/>
  <c r="E26" i="6"/>
  <c r="H25" i="6"/>
  <c r="G25" i="6"/>
  <c r="F25" i="6"/>
  <c r="E25" i="6"/>
  <c r="H23" i="6"/>
  <c r="G23" i="6"/>
  <c r="F23" i="6"/>
  <c r="E23" i="6"/>
  <c r="E22" i="6" s="1"/>
  <c r="E11" i="6" s="1"/>
  <c r="H22" i="6"/>
  <c r="G22" i="6"/>
  <c r="G11" i="6" s="1"/>
  <c r="G5" i="6" s="1"/>
  <c r="G4" i="6" s="1"/>
  <c r="F22" i="6"/>
  <c r="H20" i="6"/>
  <c r="G20" i="6"/>
  <c r="F20" i="6"/>
  <c r="E20" i="6"/>
  <c r="H16" i="6"/>
  <c r="G16" i="6"/>
  <c r="F16" i="6"/>
  <c r="E16" i="6"/>
  <c r="H15" i="6"/>
  <c r="G15" i="6"/>
  <c r="F15" i="6"/>
  <c r="E15" i="6"/>
  <c r="H13" i="6"/>
  <c r="G13" i="6"/>
  <c r="F13" i="6"/>
  <c r="E13" i="6"/>
  <c r="H12" i="6"/>
  <c r="G12" i="6"/>
  <c r="F12" i="6"/>
  <c r="E12" i="6"/>
  <c r="H11" i="6"/>
  <c r="H5" i="6" s="1"/>
  <c r="H4" i="6" s="1"/>
  <c r="F11" i="6"/>
  <c r="F5" i="6" s="1"/>
  <c r="F4" i="6" s="1"/>
  <c r="L159" i="5"/>
  <c r="L158" i="5" s="1"/>
  <c r="K159" i="5"/>
  <c r="K158" i="5" s="1"/>
  <c r="J159" i="5"/>
  <c r="J158" i="5" s="1"/>
  <c r="L157" i="5"/>
  <c r="K157" i="5"/>
  <c r="J157" i="5"/>
  <c r="L156" i="5"/>
  <c r="K156" i="5"/>
  <c r="J156" i="5"/>
  <c r="L155" i="5"/>
  <c r="K155" i="5"/>
  <c r="J155" i="5"/>
  <c r="L154" i="5"/>
  <c r="K154" i="5"/>
  <c r="J154" i="5"/>
  <c r="L153" i="5"/>
  <c r="K153" i="5"/>
  <c r="J153" i="5"/>
  <c r="L140" i="5"/>
  <c r="K140" i="5"/>
  <c r="J140" i="5"/>
  <c r="L138" i="5"/>
  <c r="K138" i="5"/>
  <c r="J138" i="5"/>
  <c r="L134" i="5"/>
  <c r="K134" i="5"/>
  <c r="J134" i="5"/>
  <c r="L131" i="5"/>
  <c r="K131" i="5"/>
  <c r="J131" i="5"/>
  <c r="L128" i="5"/>
  <c r="K128" i="5"/>
  <c r="J128" i="5"/>
  <c r="L126" i="5"/>
  <c r="K126" i="5"/>
  <c r="J126" i="5"/>
  <c r="L123" i="5"/>
  <c r="K123" i="5"/>
  <c r="J123" i="5"/>
  <c r="L152" i="5"/>
  <c r="K152" i="5"/>
  <c r="J107" i="5"/>
  <c r="J152" i="5" s="1"/>
  <c r="L98" i="5"/>
  <c r="K98" i="5"/>
  <c r="J98" i="5"/>
  <c r="L94" i="5"/>
  <c r="K94" i="5"/>
  <c r="J94" i="5"/>
  <c r="L92" i="5"/>
  <c r="K92" i="5"/>
  <c r="J92" i="5"/>
  <c r="L90" i="5"/>
  <c r="K90" i="5"/>
  <c r="J90" i="5"/>
  <c r="L88" i="5"/>
  <c r="K87" i="5"/>
  <c r="K88" i="5" s="1"/>
  <c r="J87" i="5"/>
  <c r="J88" i="5" s="1"/>
  <c r="L86" i="5"/>
  <c r="K86" i="5"/>
  <c r="J86" i="5"/>
  <c r="L84" i="5"/>
  <c r="K84" i="5"/>
  <c r="J84" i="5"/>
  <c r="K68" i="5"/>
  <c r="J68" i="5"/>
  <c r="K38" i="5"/>
  <c r="J38" i="5"/>
  <c r="L29" i="5"/>
  <c r="K29" i="5"/>
  <c r="J29" i="5"/>
  <c r="L27" i="5"/>
  <c r="K27" i="5"/>
  <c r="J27" i="5"/>
  <c r="L24" i="5"/>
  <c r="K24" i="5"/>
  <c r="J24" i="5"/>
  <c r="L21" i="5"/>
  <c r="K21" i="5"/>
  <c r="J21" i="5"/>
  <c r="L18" i="5"/>
  <c r="K18" i="5"/>
  <c r="J18" i="5"/>
  <c r="K113" i="5" l="1"/>
  <c r="L95" i="5"/>
  <c r="E30" i="6"/>
  <c r="E5" i="6"/>
  <c r="E4" i="6" s="1"/>
  <c r="E96" i="6"/>
  <c r="K132" i="5"/>
  <c r="J141" i="5"/>
  <c r="J30" i="5"/>
  <c r="J151" i="5"/>
  <c r="J150" i="5" s="1"/>
  <c r="K141" i="5"/>
  <c r="L132" i="5"/>
  <c r="J132" i="5"/>
  <c r="L141" i="5"/>
  <c r="K30" i="5"/>
  <c r="K151" i="5"/>
  <c r="K150" i="5" s="1"/>
  <c r="L30" i="5"/>
  <c r="J76" i="5"/>
  <c r="J95" i="5" s="1"/>
  <c r="L151" i="5"/>
  <c r="L150" i="5" s="1"/>
  <c r="K76" i="5"/>
  <c r="K95" i="5" s="1"/>
  <c r="J113" i="5"/>
  <c r="K149" i="5" l="1"/>
  <c r="K160" i="5" s="1"/>
  <c r="J149" i="5"/>
  <c r="J160" i="5" s="1"/>
  <c r="K135" i="5"/>
  <c r="L149" i="5"/>
  <c r="L160" i="5" s="1"/>
  <c r="L135" i="5"/>
  <c r="L142" i="5" s="1"/>
  <c r="L143" i="5" s="1"/>
  <c r="J135" i="5"/>
  <c r="J142" i="5" s="1"/>
  <c r="J143" i="5" s="1"/>
  <c r="K142" i="5"/>
  <c r="K143" i="5" s="1"/>
  <c r="M104" i="3" l="1"/>
  <c r="M67" i="3"/>
  <c r="P68" i="3"/>
  <c r="K69" i="3"/>
  <c r="M68" i="3"/>
  <c r="P66" i="3"/>
  <c r="L66" i="3"/>
  <c r="M66" i="3" s="1"/>
  <c r="M69" i="3" l="1"/>
  <c r="L69" i="3"/>
  <c r="I22" i="3"/>
  <c r="I51" i="3" l="1"/>
  <c r="J52" i="3"/>
  <c r="J23" i="3" l="1"/>
  <c r="K32" i="3" l="1"/>
  <c r="L32" i="3"/>
  <c r="M32" i="3"/>
  <c r="N32" i="3"/>
  <c r="O32" i="3"/>
  <c r="P32" i="3"/>
  <c r="I32" i="3"/>
  <c r="O106" i="3" l="1"/>
  <c r="O105" i="3"/>
  <c r="O104" i="3"/>
  <c r="O101" i="3"/>
  <c r="O102" i="3"/>
  <c r="O100" i="3"/>
  <c r="O99" i="3"/>
  <c r="O98" i="3"/>
  <c r="N106" i="3"/>
  <c r="N105" i="3"/>
  <c r="N104" i="3"/>
  <c r="N102" i="3"/>
  <c r="N101" i="3"/>
  <c r="N100" i="3"/>
  <c r="N99" i="3"/>
  <c r="N98" i="3"/>
  <c r="L106" i="3"/>
  <c r="L105" i="3"/>
  <c r="L104" i="3"/>
  <c r="L102" i="3"/>
  <c r="L100" i="3"/>
  <c r="L99" i="3"/>
  <c r="L98" i="3"/>
  <c r="K99" i="3"/>
  <c r="K106" i="3"/>
  <c r="K105" i="3"/>
  <c r="K104" i="3"/>
  <c r="K102" i="3"/>
  <c r="K100" i="3"/>
  <c r="K98" i="3"/>
  <c r="O65" i="3"/>
  <c r="N65" i="3"/>
  <c r="O41" i="3"/>
  <c r="O39" i="3"/>
  <c r="N41" i="3"/>
  <c r="N39" i="3"/>
  <c r="P91" i="3"/>
  <c r="O91" i="3"/>
  <c r="N91" i="3"/>
  <c r="O89" i="3"/>
  <c r="N89" i="3"/>
  <c r="P88" i="3"/>
  <c r="P89" i="3" s="1"/>
  <c r="P85" i="3"/>
  <c r="O85" i="3"/>
  <c r="N85" i="3"/>
  <c r="O82" i="3"/>
  <c r="N82" i="3"/>
  <c r="P81" i="3"/>
  <c r="P82" i="3" s="1"/>
  <c r="O79" i="3"/>
  <c r="N79" i="3"/>
  <c r="O74" i="3"/>
  <c r="N74" i="3"/>
  <c r="P69" i="3"/>
  <c r="O69" i="3"/>
  <c r="N69" i="3"/>
  <c r="P65" i="3"/>
  <c r="P60" i="3"/>
  <c r="N60" i="3"/>
  <c r="O60" i="3"/>
  <c r="P54" i="3"/>
  <c r="O54" i="3"/>
  <c r="N54" i="3"/>
  <c r="O43" i="3"/>
  <c r="N43" i="3"/>
  <c r="P42" i="3"/>
  <c r="P41" i="3"/>
  <c r="P38" i="3"/>
  <c r="P39" i="3" s="1"/>
  <c r="P18" i="3"/>
  <c r="O18" i="3"/>
  <c r="N18" i="3"/>
  <c r="P16" i="3"/>
  <c r="O16" i="3"/>
  <c r="N16" i="3"/>
  <c r="P14" i="3"/>
  <c r="O14" i="3"/>
  <c r="N14" i="3"/>
  <c r="L89" i="3"/>
  <c r="K89" i="3"/>
  <c r="L79" i="3"/>
  <c r="L74" i="3"/>
  <c r="L65" i="3"/>
  <c r="L56" i="3"/>
  <c r="L60" i="3" s="1"/>
  <c r="K65" i="3"/>
  <c r="K56" i="3"/>
  <c r="K60" i="3" s="1"/>
  <c r="M81" i="3"/>
  <c r="K74" i="3"/>
  <c r="K79" i="3"/>
  <c r="L43" i="3"/>
  <c r="L41" i="3"/>
  <c r="L39" i="3"/>
  <c r="K43" i="3"/>
  <c r="K41" i="3"/>
  <c r="K39" i="3"/>
  <c r="M91" i="3"/>
  <c r="L91" i="3"/>
  <c r="K91" i="3"/>
  <c r="M88" i="3"/>
  <c r="M89" i="3" s="1"/>
  <c r="M85" i="3"/>
  <c r="L85" i="3"/>
  <c r="K85" i="3"/>
  <c r="K82" i="3"/>
  <c r="L82" i="3"/>
  <c r="M65" i="3"/>
  <c r="M60" i="3"/>
  <c r="L54" i="3"/>
  <c r="K54" i="3"/>
  <c r="M54" i="3"/>
  <c r="M42" i="3"/>
  <c r="M43" i="3" s="1"/>
  <c r="M41" i="3"/>
  <c r="M38" i="3"/>
  <c r="M39" i="3" s="1"/>
  <c r="M18" i="3"/>
  <c r="L18" i="3"/>
  <c r="K18" i="3"/>
  <c r="M16" i="3"/>
  <c r="L16" i="3"/>
  <c r="K16" i="3"/>
  <c r="M14" i="3"/>
  <c r="L14" i="3"/>
  <c r="K14" i="3"/>
  <c r="K44" i="3" l="1"/>
  <c r="L19" i="3"/>
  <c r="K92" i="3"/>
  <c r="N19" i="3"/>
  <c r="K80" i="3"/>
  <c r="K86" i="3" s="1"/>
  <c r="P98" i="3"/>
  <c r="O19" i="3"/>
  <c r="P80" i="3"/>
  <c r="P86" i="3" s="1"/>
  <c r="M19" i="3"/>
  <c r="N92" i="3"/>
  <c r="N44" i="3"/>
  <c r="K101" i="3"/>
  <c r="K97" i="3" s="1"/>
  <c r="M92" i="3"/>
  <c r="P92" i="3"/>
  <c r="O92" i="3"/>
  <c r="L101" i="3"/>
  <c r="M98" i="3"/>
  <c r="K19" i="3"/>
  <c r="L80" i="3"/>
  <c r="L86" i="3" s="1"/>
  <c r="P19" i="3"/>
  <c r="P43" i="3"/>
  <c r="P44" i="3" s="1"/>
  <c r="N80" i="3"/>
  <c r="N86" i="3" s="1"/>
  <c r="N97" i="3"/>
  <c r="K103" i="3"/>
  <c r="O97" i="3"/>
  <c r="O80" i="3"/>
  <c r="O86" i="3" s="1"/>
  <c r="O44" i="3"/>
  <c r="L92" i="3"/>
  <c r="M44" i="3"/>
  <c r="M82" i="3"/>
  <c r="L44" i="3"/>
  <c r="K93" i="3" l="1"/>
  <c r="K94" i="3" s="1"/>
  <c r="N93" i="3"/>
  <c r="N94" i="3" s="1"/>
  <c r="O93" i="3"/>
  <c r="O94" i="3" s="1"/>
  <c r="P93" i="3"/>
  <c r="P94" i="3" s="1"/>
  <c r="M80" i="3"/>
  <c r="M86" i="3" s="1"/>
  <c r="M93" i="3" s="1"/>
  <c r="M94" i="3" s="1"/>
  <c r="L93" i="3"/>
  <c r="L94" i="3" s="1"/>
  <c r="P99" i="3" l="1"/>
  <c r="P102" i="3"/>
  <c r="P104" i="3"/>
  <c r="P101" i="3"/>
  <c r="P106" i="3"/>
  <c r="P105" i="3"/>
  <c r="P100" i="3"/>
  <c r="P97" i="3" l="1"/>
  <c r="O103" i="3"/>
  <c r="P103" i="3"/>
  <c r="N103" i="3"/>
  <c r="P107" i="3" l="1"/>
  <c r="O107" i="3"/>
  <c r="N107" i="3"/>
  <c r="I81" i="3" l="1"/>
  <c r="J81" i="3" s="1"/>
  <c r="I42" i="3" l="1"/>
  <c r="J42" i="3" s="1"/>
  <c r="J50" i="3" l="1"/>
  <c r="I47" i="3" l="1"/>
  <c r="J47" i="3" l="1"/>
  <c r="I54" i="3"/>
  <c r="J51" i="3"/>
  <c r="H22" i="3"/>
  <c r="H32" i="3" s="1"/>
  <c r="J88" i="3" l="1"/>
  <c r="J53" i="3" l="1"/>
  <c r="H102" i="3" l="1"/>
  <c r="I102" i="3"/>
  <c r="H85" i="3"/>
  <c r="H82" i="3"/>
  <c r="H79" i="3"/>
  <c r="H74" i="3"/>
  <c r="H69" i="3"/>
  <c r="H65" i="3"/>
  <c r="H60" i="3"/>
  <c r="J22" i="3"/>
  <c r="H80" i="3" l="1"/>
  <c r="J102" i="3"/>
  <c r="I79" i="3"/>
  <c r="I100" i="3" l="1"/>
  <c r="H100" i="3"/>
  <c r="I39" i="3" l="1"/>
  <c r="J24" i="3" l="1"/>
  <c r="J100" i="3" l="1"/>
  <c r="J32" i="3"/>
  <c r="H54" i="3"/>
  <c r="H86" i="3" s="1"/>
  <c r="I106" i="3"/>
  <c r="I105" i="3" l="1"/>
  <c r="J38" i="3"/>
  <c r="H39" i="3"/>
  <c r="I69" i="3" l="1"/>
  <c r="J68" i="3"/>
  <c r="I85" i="3"/>
  <c r="I82" i="3"/>
  <c r="I74" i="3"/>
  <c r="I98" i="3"/>
  <c r="J49" i="3"/>
  <c r="J54" i="3" s="1"/>
  <c r="J69" i="3" l="1"/>
  <c r="J106" i="3"/>
  <c r="H106" i="3"/>
  <c r="J105" i="3"/>
  <c r="H105" i="3"/>
  <c r="J104" i="3"/>
  <c r="I104" i="3"/>
  <c r="I103" i="3" s="1"/>
  <c r="H104" i="3"/>
  <c r="I101" i="3"/>
  <c r="J99" i="3"/>
  <c r="I99" i="3"/>
  <c r="H99" i="3"/>
  <c r="H98" i="3"/>
  <c r="J91" i="3"/>
  <c r="I91" i="3"/>
  <c r="H91" i="3"/>
  <c r="J89" i="3"/>
  <c r="I89" i="3"/>
  <c r="H89" i="3"/>
  <c r="J85" i="3"/>
  <c r="J82" i="3"/>
  <c r="J65" i="3"/>
  <c r="I65" i="3"/>
  <c r="I60" i="3"/>
  <c r="J43" i="3"/>
  <c r="I43" i="3"/>
  <c r="H43" i="3"/>
  <c r="J41" i="3"/>
  <c r="I41" i="3"/>
  <c r="H41" i="3"/>
  <c r="J39" i="3"/>
  <c r="J18" i="3"/>
  <c r="I18" i="3"/>
  <c r="H18" i="3"/>
  <c r="J16" i="3"/>
  <c r="I16" i="3"/>
  <c r="H16" i="3"/>
  <c r="J14" i="3"/>
  <c r="I14" i="3"/>
  <c r="H14" i="3"/>
  <c r="I80" i="3" l="1"/>
  <c r="I86" i="3" s="1"/>
  <c r="I44" i="3"/>
  <c r="H92" i="3"/>
  <c r="I97" i="3"/>
  <c r="H19" i="3"/>
  <c r="H44" i="3"/>
  <c r="I19" i="3"/>
  <c r="H101" i="3"/>
  <c r="H97" i="3" s="1"/>
  <c r="J98" i="3"/>
  <c r="H103" i="3"/>
  <c r="I92" i="3"/>
  <c r="J92" i="3"/>
  <c r="J44" i="3"/>
  <c r="J103" i="3"/>
  <c r="J19" i="3"/>
  <c r="H93" i="3" l="1"/>
  <c r="H94" i="3" s="1"/>
  <c r="I93" i="3"/>
  <c r="I94" i="3" s="1"/>
  <c r="H107" i="3"/>
  <c r="J60" i="3"/>
  <c r="J101" i="3"/>
  <c r="J97" i="3" s="1"/>
  <c r="J107" i="3" s="1"/>
  <c r="I107" i="3"/>
  <c r="J80" i="3" l="1"/>
  <c r="M105" i="3" l="1"/>
  <c r="J86" i="3"/>
  <c r="M99" i="3" l="1"/>
  <c r="M106" i="3"/>
  <c r="M101" i="3"/>
  <c r="M100" i="3"/>
  <c r="J93" i="3"/>
  <c r="J94" i="3" s="1"/>
  <c r="L97" i="3" l="1"/>
  <c r="M103" i="3"/>
  <c r="K107" i="3"/>
  <c r="M102" i="3"/>
  <c r="M97" i="3" s="1"/>
  <c r="L103" i="3"/>
  <c r="M107" i="3" l="1"/>
  <c r="L107" i="3"/>
</calcChain>
</file>

<file path=xl/comments1.xml><?xml version="1.0" encoding="utf-8"?>
<comments xmlns="http://schemas.openxmlformats.org/spreadsheetml/2006/main">
  <authors>
    <author>Sniega</author>
    <author>Snieguole Kacerauskaite</author>
  </authors>
  <commentList>
    <comment ref="F16" authorId="0" shapeId="0">
      <text>
        <r>
          <rPr>
            <sz val="9"/>
            <color indexed="81"/>
            <rFont val="Tahoma"/>
            <family val="2"/>
            <charset val="186"/>
          </rPr>
          <t>"Pritraukti į Klaipėdą prestižinius šalies ir tarptautinius sporto renginius"</t>
        </r>
      </text>
    </comment>
    <comment ref="E85" authorId="1" shapeId="0">
      <text>
        <r>
          <rPr>
            <sz val="9"/>
            <color indexed="81"/>
            <rFont val="Tahoma"/>
            <family val="2"/>
            <charset val="186"/>
          </rPr>
          <t>buvęs pavadinimas -"Pasirenkamojo vaikų ugdymo programų finansavimas iš sportininko krepšelio lėšų"</t>
        </r>
      </text>
    </comment>
    <comment ref="E137" authorId="1" shapeId="0">
      <text>
        <r>
          <rPr>
            <sz val="9"/>
            <color indexed="81"/>
            <rFont val="Tahoma"/>
            <family val="2"/>
            <charset val="186"/>
          </rPr>
          <t>Buvusi: 
"Prioritetinių sporto šakų didelio sportinio meistriškumo klubų veiklos dalinis finansavimas"</t>
        </r>
      </text>
    </comment>
    <comment ref="E139" authorId="1" shapeId="0">
      <text>
        <r>
          <rPr>
            <sz val="9"/>
            <color indexed="81"/>
            <rFont val="Tahoma"/>
            <family val="2"/>
            <charset val="186"/>
          </rPr>
          <t xml:space="preserve">Buvusi:
"Individualių sporto šakų sportininkų pasirengimas dalyvauti atrankos varžybose dėl patekimo į nacionalines rinktines"
</t>
        </r>
      </text>
    </comment>
  </commentList>
</comments>
</file>

<file path=xl/comments2.xml><?xml version="1.0" encoding="utf-8"?>
<comments xmlns="http://schemas.openxmlformats.org/spreadsheetml/2006/main">
  <authors>
    <author>Sniega</author>
    <author>Snieguole Kacerauskaite</author>
  </authors>
  <commentList>
    <comment ref="E13" authorId="0" shapeId="0">
      <text>
        <r>
          <rPr>
            <sz val="9"/>
            <color indexed="81"/>
            <rFont val="Tahoma"/>
            <family val="2"/>
            <charset val="186"/>
          </rPr>
          <t>"Pritraukti į Klaipėdą prestižinius šalies ir tarptautinius sporto renginius"</t>
        </r>
      </text>
    </comment>
    <comment ref="G23" authorId="1" shapeId="0">
      <text>
        <r>
          <rPr>
            <b/>
            <sz val="9"/>
            <color indexed="81"/>
            <rFont val="Tahoma"/>
            <family val="2"/>
            <charset val="186"/>
          </rPr>
          <t>MMA</t>
        </r>
        <r>
          <rPr>
            <sz val="9"/>
            <color indexed="81"/>
            <rFont val="Tahoma"/>
            <family val="2"/>
            <charset val="186"/>
          </rPr>
          <t xml:space="preserve">
</t>
        </r>
      </text>
    </comment>
    <comment ref="E33" authorId="0" shapeId="0">
      <text>
        <r>
          <rPr>
            <sz val="9"/>
            <color indexed="81"/>
            <rFont val="Tahoma"/>
            <family val="2"/>
            <charset val="186"/>
          </rPr>
          <t>"Pritraukti į Klaipėdą prestižinius šalies ir tarptautinius sporto renginius"</t>
        </r>
      </text>
    </comment>
  </commentList>
</comments>
</file>

<file path=xl/sharedStrings.xml><?xml version="1.0" encoding="utf-8"?>
<sst xmlns="http://schemas.openxmlformats.org/spreadsheetml/2006/main" count="1283" uniqueCount="591">
  <si>
    <t xml:space="preserve">2016–2018 M. KLAIPĖDOS MIESTO SAVIVALDYBĖS 
</t>
  </si>
  <si>
    <t>KŪNO KULTŪROS IR SPORTO PLĖTROS PROGRAMOS NR. 11</t>
  </si>
  <si>
    <t xml:space="preserve"> TIKSLŲ, UŽDAVINIŲ, PRIEMONIŲ, PRIEMONIŲ IŠLAIDŲ IR PRODUKTO KRITERIJŲ SUVESTINĖ</t>
  </si>
  <si>
    <t>tūkst. Eur</t>
  </si>
  <si>
    <t>Programos tikslo kodas</t>
  </si>
  <si>
    <t>Uždavinio kodas</t>
  </si>
  <si>
    <t>Priemonės kodas</t>
  </si>
  <si>
    <t>Pavadinimas</t>
  </si>
  <si>
    <t>Priemonės požymis</t>
  </si>
  <si>
    <t>Asignavimų valdytojo kodas</t>
  </si>
  <si>
    <t>Finansavimo šaltinis</t>
  </si>
  <si>
    <t>2016-ųjų metų asignavimų planas</t>
  </si>
  <si>
    <t>Produkto vertinimo kriterijus</t>
  </si>
  <si>
    <t>Planas</t>
  </si>
  <si>
    <t>2016-ieji metai</t>
  </si>
  <si>
    <t>2017-ieji metai</t>
  </si>
  <si>
    <t>2018-ieji metai</t>
  </si>
  <si>
    <t>Strateginis tikslas 03. Užtikrinti gyventojams aukštą švietimo, kultūros, socialinių, sporto ir sveikatos apsaugos paslaugų kokybę ir prieinamumą</t>
  </si>
  <si>
    <t>11 Kūno kultūros ir sporto plėtros programa</t>
  </si>
  <si>
    <t>01</t>
  </si>
  <si>
    <t>Sudaryti sąlygas ugdyti sveiką ir fiziškai aktyvią miesto bendruomenę, profesionaliai atrinkti ir ugdyti talentingus olimpinės pamainos sportininkus</t>
  </si>
  <si>
    <t>Pritraukti didesnį dalyvių skaičių, užtikrinant sporto renginių organizavimo kokybę</t>
  </si>
  <si>
    <t xml:space="preserve">Prestižinių tarptautinių sporto renginių pritraukimas ir organizavimas </t>
  </si>
  <si>
    <t>P1.6.1.5</t>
  </si>
  <si>
    <t>2</t>
  </si>
  <si>
    <t>SB</t>
  </si>
  <si>
    <t xml:space="preserve">Suorganizuota renginių, skaičius </t>
  </si>
  <si>
    <t>Iš viso:</t>
  </si>
  <si>
    <t>02</t>
  </si>
  <si>
    <t>Suorganizuota pagerbimo ir viešinimo renginių, skaičius</t>
  </si>
  <si>
    <t>03</t>
  </si>
  <si>
    <t>Miesto kompleksinių sporto švenčių, renginių, festivalių, akcijų, programų sukūrimas ir  įgyvendinimas</t>
  </si>
  <si>
    <t>Suorganizuota renginių, skaičius</t>
  </si>
  <si>
    <t>Iš viso uždaviniui:</t>
  </si>
  <si>
    <t>Sudaryti sąlygas sportuoti visų amžiaus grupių miestiečiams, įgyvendinant sveikos gyvensenos ir fizinio aktyvumo programas</t>
  </si>
  <si>
    <t>Sąlygų ugdytis biudžetinėse sporto įstaigose sudarymas:</t>
  </si>
  <si>
    <t>SB(SP)</t>
  </si>
  <si>
    <t>Asmenų, lankančių sporto mokyklas, skaičius</t>
  </si>
  <si>
    <t>BĮ Klaipėdos „Viesulo“ sporto centre</t>
  </si>
  <si>
    <t>BĮ Klaipėdos „Gintaro“ sporto centre</t>
  </si>
  <si>
    <t>BĮ Klaipėdos Vlado Knašiaus krepšinio mokykloje</t>
  </si>
  <si>
    <t>BĮ Klaipėdos futbolo sporto mokykloje</t>
  </si>
  <si>
    <t>BĮ Klaipėdos miesto lengvosios atletikos mokykloje, iš jų</t>
  </si>
  <si>
    <t>Atlikta kitų atnaujinimo darbų, proc.</t>
  </si>
  <si>
    <t>BĮ Klaipėdos kūno kultūros ir rekreacijos centro išlaikymas ir  veiklos organizavimas</t>
  </si>
  <si>
    <t xml:space="preserve">Dalyvavusiųjų sporto ir sveikatingumo renginiuose skaičius, tūkst. žmonių </t>
  </si>
  <si>
    <t>Sportinės veiklos programų dalinis finansavimas:</t>
  </si>
  <si>
    <t>Finansuota programų, iš viso:</t>
  </si>
  <si>
    <t xml:space="preserve">buriavimo, irklavimo, baidarių ir kanojų irklavimo sporto šakų </t>
  </si>
  <si>
    <t>tradicinių sporto renginių ir sporto klubų, plėtojančių judėjimą „Sportas visiems“</t>
  </si>
  <si>
    <t>miesto jachtų su jaunųjų buriuotojų įgulomis dalyvavimo tarptautinėse regatose</t>
  </si>
  <si>
    <t>miesto sporto šakų (federacijų, sąjungų, asociacijų) veiklos</t>
  </si>
  <si>
    <t>neįgaliųjų socialinės integracijos per kūno kultūrą ir sportą</t>
  </si>
  <si>
    <t>Pasirenkamojo vaikų ugdymo programų finansavimas iš sportininko krepšelio lėšų</t>
  </si>
  <si>
    <t>Vidutinis sportininkų, dalyvavusių programose, skaičius</t>
  </si>
  <si>
    <t>04</t>
  </si>
  <si>
    <t>Apmokyta plaukti vaikų, skaičius</t>
  </si>
  <si>
    <t>Įrengti naujas ir modernizuoti esamas sporto bazes</t>
  </si>
  <si>
    <t>Miesto stadionų atnaujinimas:</t>
  </si>
  <si>
    <t>Futbolo aikštės dangos įrengimas prie Klaipėdos „Pajūrio“ pagrindinės mokyklos</t>
  </si>
  <si>
    <t>I</t>
  </si>
  <si>
    <t>Įrengta aikštės danga, proc.</t>
  </si>
  <si>
    <t xml:space="preserve">Klaipėdos „Vėtrungės“ gimnazijos (Gedminų g. 5, Gedminų g. 7) sporto aikštyno atnaujinimas </t>
  </si>
  <si>
    <t>SB(VB)</t>
  </si>
  <si>
    <t>Atnaujintas aikštynas, proc.</t>
  </si>
  <si>
    <t>Klaipėdos miesto centrinio stadiono bėgimo takų pakeitimas</t>
  </si>
  <si>
    <t>Pakeista bėgimo takų, proc</t>
  </si>
  <si>
    <t>Kt</t>
  </si>
  <si>
    <t xml:space="preserve">Sporto bazių modernizavimas ir plėtra:
</t>
  </si>
  <si>
    <t>SB(P)</t>
  </si>
  <si>
    <t>Įgyvendintas projektas, proc.</t>
  </si>
  <si>
    <t>P1.6.3.2</t>
  </si>
  <si>
    <t>ES</t>
  </si>
  <si>
    <t>Parengtas investicijų projektas</t>
  </si>
  <si>
    <t>1.6.3.3</t>
  </si>
  <si>
    <t>Parengtas techninis projektas</t>
  </si>
  <si>
    <t>LRVB</t>
  </si>
  <si>
    <t xml:space="preserve">Parengtas techninis projektas, vnt.
</t>
  </si>
  <si>
    <t>P1.6.3.6</t>
  </si>
  <si>
    <t>Atlikta modernizavimo darbų, proc.</t>
  </si>
  <si>
    <t>Lengvosios atletikos mokyklos pastato (Taikos pr. 54) įvertinimas efektyvaus energijos vartojimo požiūriu dėl numatomų remonto darbų šilumos taupymui</t>
  </si>
  <si>
    <t>Parengta dokumentų (energetinio naudingumo sertifikatas ir energetinio audito ataskaita), vnt.</t>
  </si>
  <si>
    <t>Klaipėdos sporto sveikatingumo bazės komplekso (Smiltynės g. 13) restauravimo ir remonto darbų techninio projekto parengimas</t>
  </si>
  <si>
    <t>1.6.3.4</t>
  </si>
  <si>
    <t>Parengtas techninis projektas, proc.</t>
  </si>
  <si>
    <t>Iš viso priemonei:</t>
  </si>
  <si>
    <t>Klaipėdos miesto savivaldybės jachtos „Lietuva“ remontas</t>
  </si>
  <si>
    <t xml:space="preserve">Sporto infrastruktūros objektų einamasis remontas ir techninis aptarnavimas:                                    </t>
  </si>
  <si>
    <t>Klaipėdos kūno kultūros ir rekreacijos centro centrinio stadiono (Sportininkų g. 46) orinio šildymo-vėdinimo sistemos atnaujinimas</t>
  </si>
  <si>
    <t>Atliktas remontas, proc.</t>
  </si>
  <si>
    <t>Tinkamai reprezentuoti miestą šalies ir tarptautiniuose sporto renginiuose</t>
  </si>
  <si>
    <t>Prioritetinių sporto šakų didelio sportinio meistriškumo klubų veiklos dalinis finansavimas</t>
  </si>
  <si>
    <t>Iš dalies finansuota programų, skaičius</t>
  </si>
  <si>
    <t>Individualių sporto šakų sportininkų pasirengimas dalyvauti atrankos varžybose dėl patekimo į nacionalines rinktines</t>
  </si>
  <si>
    <t>Skirta stipendijų sportininkams, skaičius</t>
  </si>
  <si>
    <t>Iš viso tikslui:</t>
  </si>
  <si>
    <t>11</t>
  </si>
  <si>
    <t>Iš viso programai:</t>
  </si>
  <si>
    <t>Finansavimo šaltinių suvestinė</t>
  </si>
  <si>
    <t>Finansavimo šaltiniai</t>
  </si>
  <si>
    <t>2016 m. asignavimų planas</t>
  </si>
  <si>
    <t>SAVIVALDYBĖS LĖŠOS</t>
  </si>
  <si>
    <r>
      <t xml:space="preserve">Valstybės biudžeto specialiosios tikslinės dotacijos lėšos </t>
    </r>
    <r>
      <rPr>
        <b/>
        <sz val="10"/>
        <rFont val="Times New Roman"/>
        <family val="1"/>
        <charset val="186"/>
      </rPr>
      <t>SB(VB)</t>
    </r>
  </si>
  <si>
    <t>KITOS LĖŠOS</t>
  </si>
  <si>
    <r>
      <t xml:space="preserve">Valstybės biudžeto lėšos </t>
    </r>
    <r>
      <rPr>
        <b/>
        <sz val="10"/>
        <rFont val="Times New Roman"/>
        <family val="1"/>
        <charset val="186"/>
      </rPr>
      <t>LRVB</t>
    </r>
  </si>
  <si>
    <r>
      <t xml:space="preserve">Kiti finansavimo šaltiniai </t>
    </r>
    <r>
      <rPr>
        <b/>
        <sz val="10"/>
        <rFont val="Times New Roman"/>
        <family val="1"/>
        <charset val="186"/>
      </rPr>
      <t>Kt</t>
    </r>
  </si>
  <si>
    <t>SB(SPL)</t>
  </si>
  <si>
    <t>Miestą reprezentuojančių komandų, miestą garsinančių individualių sporto šakų sportininkų ir trenerių pagerbimas</t>
  </si>
  <si>
    <t xml:space="preserve">Lengvosios atletikos maniežo atnaujinimo darbai </t>
  </si>
  <si>
    <t>Pakeista bėgimo takų, proc.</t>
  </si>
  <si>
    <t xml:space="preserve">Irklavimo bazės (Gluosnių skg. 8) modernizavimas </t>
  </si>
  <si>
    <t>Atlikta remonto darbų, proc.</t>
  </si>
  <si>
    <t>Skirtumas</t>
  </si>
  <si>
    <t>Siūlomas keisti 2016-ųjų m. asignavimų planas</t>
  </si>
  <si>
    <t>Lyginamasis variantas</t>
  </si>
  <si>
    <t>Siūlomas keisti asignavimų planas</t>
  </si>
  <si>
    <t>Purškimo sistemos įrengimas Klaipėdos miesto centrinio stadiono futbolo aikštėje</t>
  </si>
  <si>
    <t>Įrengta purškimo sistema, proc.</t>
  </si>
  <si>
    <t>Įsigytas autobusas Futbolo sporto mokyklai</t>
  </si>
  <si>
    <t>Klaipėdos  daugiafunkcio sveikatingumo centro statyba</t>
  </si>
  <si>
    <r>
      <t xml:space="preserve">Pajamos už atsitiktines paslaugas likutis </t>
    </r>
    <r>
      <rPr>
        <b/>
        <sz val="10"/>
        <rFont val="Times New Roman"/>
        <family val="1"/>
        <charset val="186"/>
      </rPr>
      <t>SB(SPL)</t>
    </r>
  </si>
  <si>
    <t>1.6.1.5</t>
  </si>
  <si>
    <t>PAAIŠKINIMAI</t>
  </si>
  <si>
    <t>14</t>
  </si>
  <si>
    <r>
      <t xml:space="preserve">Futbolo mokyklos ir baseino pastatų konversija </t>
    </r>
    <r>
      <rPr>
        <sz val="10"/>
        <rFont val="Times New Roman"/>
        <family val="1"/>
        <charset val="186"/>
      </rPr>
      <t>(taikant modernias technologijas ir atsinaujinančius energijos šaltinius), įkuriant daugiafunkcį paslaugų kompleksą, skirtą įvairių amžiaus grupių kvartalo gyventojams ir sporto bendruomenei (Paryžiaus Komunos g. 16A)</t>
    </r>
  </si>
  <si>
    <r>
      <t xml:space="preserve">Savivaldybės biudžeto lėšos </t>
    </r>
    <r>
      <rPr>
        <b/>
        <sz val="10"/>
        <rFont val="Times New Roman"/>
        <family val="1"/>
        <charset val="186"/>
      </rPr>
      <t>SB</t>
    </r>
  </si>
  <si>
    <r>
      <t xml:space="preserve">Pajamų įmokos už paslaugas </t>
    </r>
    <r>
      <rPr>
        <b/>
        <sz val="10"/>
        <rFont val="Times New Roman"/>
        <family val="1"/>
        <charset val="186"/>
      </rPr>
      <t>SB(SP)</t>
    </r>
  </si>
  <si>
    <r>
      <t xml:space="preserve">Paskolos lėšos </t>
    </r>
    <r>
      <rPr>
        <b/>
        <sz val="10"/>
        <rFont val="Times New Roman"/>
        <family val="1"/>
        <charset val="186"/>
      </rPr>
      <t>SB(P)</t>
    </r>
  </si>
  <si>
    <r>
      <t xml:space="preserve">Europos Sąjungos paramos lėšos </t>
    </r>
    <r>
      <rPr>
        <b/>
        <sz val="10"/>
        <rFont val="Times New Roman"/>
        <family val="1"/>
        <charset val="186"/>
      </rPr>
      <t>ES</t>
    </r>
  </si>
  <si>
    <t>Įrengta persirengimo konteinerių, skaičius</t>
  </si>
  <si>
    <t>Atlikta sanitarinių mazgų ir dušinių remonto darbų, proc.</t>
  </si>
  <si>
    <r>
      <t>Klaipėdos miesto vaikų apmokym</t>
    </r>
    <r>
      <rPr>
        <b/>
        <sz val="10"/>
        <color rgb="FFFF0000"/>
        <rFont val="Times New Roman"/>
        <family val="1"/>
        <charset val="186"/>
      </rPr>
      <t>as</t>
    </r>
    <r>
      <rPr>
        <strike/>
        <sz val="10"/>
        <rFont val="Times New Roman"/>
        <family val="1"/>
        <charset val="186"/>
      </rPr>
      <t xml:space="preserve">o </t>
    </r>
    <r>
      <rPr>
        <sz val="10"/>
        <rFont val="Times New Roman"/>
        <family val="1"/>
        <charset val="186"/>
      </rPr>
      <t xml:space="preserve">plaukti </t>
    </r>
    <r>
      <rPr>
        <strike/>
        <sz val="10"/>
        <rFont val="Times New Roman"/>
        <family val="1"/>
        <charset val="186"/>
      </rPr>
      <t>programos finansavimas</t>
    </r>
  </si>
  <si>
    <t>2017-ųjų metų asignavimų planas</t>
  </si>
  <si>
    <t>Siūlomas keisti 2017-ųjų m. asignavimų planas</t>
  </si>
  <si>
    <t>2018-ųjų metų asignavimų planas</t>
  </si>
  <si>
    <t>Siūlomas keisti 2018-ųjų m. asignavimų planas</t>
  </si>
  <si>
    <r>
      <t xml:space="preserve">0  </t>
    </r>
    <r>
      <rPr>
        <strike/>
        <sz val="10"/>
        <color rgb="FFFF0000"/>
        <rFont val="Times New Roman"/>
        <family val="1"/>
        <charset val="186"/>
      </rPr>
      <t>20</t>
    </r>
  </si>
  <si>
    <r>
      <t xml:space="preserve">50  </t>
    </r>
    <r>
      <rPr>
        <strike/>
        <sz val="10"/>
        <color rgb="FFFF0000"/>
        <rFont val="Times New Roman"/>
        <family val="1"/>
        <charset val="186"/>
      </rPr>
      <t>100</t>
    </r>
  </si>
  <si>
    <t>Siūloma mažinti finansavimo apimtį priemonei, nes iki 2017-02-15 jachtą „Lietuva“ pagal panaudos sutartį eksploatuoja ir prižiūri buriavimo sporto klubas „Ostmarina“. Savivaldybė negali skirti panaudos gavėjui lėšų turto remontui, todėl jachtos remontas bus pradėtas pasibaigus 2017 m. numatytoms varžyboms ir perdavus jachtą savivaldybei</t>
  </si>
  <si>
    <t>Siūloma mažinti finansavimo apimtį šiai papriemonei, nes darbai nupirkti už mažesnę kainą, nei planuota. Likusias laisvas lėšas siūloma perskirstyti BĮ Klaipėdos miesto kūno kultūros ir rekreacijos centrui</t>
  </si>
  <si>
    <t>Siūloma mažinti finansavimo apimtį šiai priemonei ir sutaupytas lėšas skirti „Vėtrungės“ gimnazijos stadiono aikštės ir bėgimo takų aptvėrimui (10.000 Eur), o likusią dalį (21.578,86 Eur) - dviejų persirengimo konteinerių įsigijimui futbolo mokyklos auklėtiniams, kurie bus pastatyti prie „Pajūrio“ pagrindinės mokyklos</t>
  </si>
  <si>
    <t xml:space="preserve">Siūloma didinti finansavimo apimtį papriemonei „BĮ Kūno kultūros ir rekreacijos centro išlaikymas ir veiklos organizavimas“ 52,6 tūkst. Eur iš Savivaldybės biudžeto ir 25 tūkst. Eur pagal Paramos sutartį su AB „Klaipėdos nafta“ būtiniems remonto darbams sporto salėje Taikos pr. 61A (prakiurusiam sporto salės stogui sutvarkyti, dalinio sporto salės vidaus remonto darbams) atlikti ir stadiono aikštynų priežiūros technikai įsigyti
</t>
  </si>
  <si>
    <t>Atlikus apklausą dėl sektoriaus dangos keitimo darbų (60 m atkarpos), paaiškėjo, kad kokybiškai atlikti dalinį dangos remontą nepavyks, o skirto finansavimo (24.600 Eur) neužtenka visai dangai pakeisti. Siūloma už šią sumą 2016 m. atlikti sanitarinių mazgų ir dušinių I-II aukštuose remontą, o visą bėgimo takų dangą pakeisti 2017 m. Atitinkamai koreguojami papriemonės vertinimo kriterijai</t>
  </si>
  <si>
    <t>Užtrukus techninio projekto viešųjų pirkimų procedūroms projektavimo paslaugų sutartis su rangovu buvo pasirašyta vėliau, nei planuota. Iki  2016-09-01 neparengus techninio projekto Kūno kultūros ir sporto departamentas prie LRV nusprendė projektui skirtas lėšas numatyti 2017-2018 m. Valstybės investicijų programoje. Dėl šios priežasties siūloma pakoreguoti 2016-2018 m. projekto finansavimo apimtis ir kriterijus</t>
  </si>
  <si>
    <t>Asignavimai (tūkst. Eur)</t>
  </si>
  <si>
    <t>Informacija apie pasiektus rezultatus, duomenys apie programai skirtų asignavimų panaudojimo tikslingumą</t>
  </si>
  <si>
    <t>Priežastys, dėl kurių planuotos rodiklių reikšmės nepasiektos</t>
  </si>
  <si>
    <t>faktinės reikšmės</t>
  </si>
  <si>
    <t>Užimta prizinių vietų Lietuvos, Europos ir pasaulio čempionatuose, vnt.</t>
  </si>
  <si>
    <t xml:space="preserve"> KŪNO KULTŪROS IR SPORTO PLĖTROS PROGRAMOS (NR. 11)</t>
  </si>
  <si>
    <t>ĮVYKDYMO ATASKAITA</t>
  </si>
  <si>
    <t>faktiškai įvykdyta –</t>
  </si>
  <si>
    <t>(pagal planą arba geriau);</t>
  </si>
  <si>
    <t>iš dalies įvykdyta –</t>
  </si>
  <si>
    <r>
      <rPr>
        <b/>
        <sz val="11"/>
        <rFont val="Times New Roman"/>
        <family val="1"/>
        <charset val="186"/>
      </rPr>
      <t>Pastaba.</t>
    </r>
    <r>
      <rPr>
        <sz val="11"/>
        <rFont val="Times New Roman"/>
        <family val="1"/>
        <charset val="186"/>
      </rPr>
      <t xml:space="preserve"> Strateginio planavimo skyrius, vertindamas programos įgyvendinimo lygį, atsižvelgia į programos priemonių ir papriemonių įgyvendinimo lygį:</t>
    </r>
  </si>
  <si>
    <t>1) priemonė ir papriemonė laikoma visiškai įvykdyta, jei pasiektos visos planuotų ataskaitiniais metais vertinimo  kriterijų reikšmės;</t>
  </si>
  <si>
    <t>2) priemonė ir papriemonė laikoma iš dalies įvykdyta, jei pasiekta mažiau vertinimo kriterijų reikšmių, nei planuota ataskaitiniais metais;</t>
  </si>
  <si>
    <t>3) priemonė ir papriemonė laikoma neįvykdyta, jei nepasiekta nė viena planuoto ataskaitinių metų produkto kriterijaus reikšmė.</t>
  </si>
  <si>
    <t>BĮ Klaipėdos miesto lengvosios atletikos mokykloje</t>
  </si>
  <si>
    <t>BĮ Klaipėdos miesto sporto bazių valdymo centre</t>
  </si>
  <si>
    <t>Centralizuotas paviršinių (lietaus) nuotekų tvarkymas (paslaugos apmokėjimas)</t>
  </si>
  <si>
    <t xml:space="preserve"> </t>
  </si>
  <si>
    <t>05</t>
  </si>
  <si>
    <t>VšĮ Klaipėdos krašto buriavimo sporto mokyklos „Žiemys“ dalininko kapitalo didinimas</t>
  </si>
  <si>
    <t>SB(L)</t>
  </si>
  <si>
    <t>SB(ES)</t>
  </si>
  <si>
    <t>BĮ Klaipėdos miesto sporto bazių valdymo centro pastatų patalpų ir įrenginių atnaujinimo darbai</t>
  </si>
  <si>
    <t>Sporto įstaigų patalpų šildymas</t>
  </si>
  <si>
    <t xml:space="preserve">Šîldoma įstaigų, skaičius  </t>
  </si>
  <si>
    <r>
      <t xml:space="preserve">Apyvartos lėšų likutis </t>
    </r>
    <r>
      <rPr>
        <b/>
        <sz val="10"/>
        <rFont val="Times New Roman"/>
        <family val="1"/>
        <charset val="186"/>
      </rPr>
      <t>SB(L)</t>
    </r>
  </si>
  <si>
    <r>
      <t xml:space="preserve">   Asignavimų valdytojai: </t>
    </r>
    <r>
      <rPr>
        <sz val="12"/>
        <rFont val="Times New Roman"/>
        <family val="1"/>
        <charset val="186"/>
      </rPr>
      <t xml:space="preserve">Klaipėdos miesto savivaldybės administracija (1), </t>
    </r>
    <r>
      <rPr>
        <sz val="12"/>
        <rFont val="Times New Roman"/>
        <family val="1"/>
      </rPr>
      <t>Ugdymo ir kultūros departamentas (2), Investicijų ir ekonomikos departamentas (5) ir Miesto ūkio departamentas (6).</t>
    </r>
    <r>
      <rPr>
        <b/>
        <sz val="12"/>
        <rFont val="Times New Roman"/>
        <family val="1"/>
      </rPr>
      <t xml:space="preserve">
</t>
    </r>
  </si>
  <si>
    <r>
      <t xml:space="preserve">    Programą vykdė:</t>
    </r>
    <r>
      <rPr>
        <sz val="12"/>
        <rFont val="Times New Roman"/>
        <family val="1"/>
      </rPr>
      <t xml:space="preserve"> Klaipėdos miesto savivaldybės administracijos Informavimo ir e. paslaugų skyrius, Investicijų ir ekonomikos departamento Projektų skyrius,  Miesto ūkio departamento Socialinės infrastruktūros priežiūros skyrius, Ugdymo ir kultūros departamento Sporto ir kūno kultūros skyrius.</t>
    </r>
  </si>
  <si>
    <t>planuotos reikšmės</t>
  </si>
  <si>
    <t>Organizuotai sportuojančių gyventojų dalis, %</t>
  </si>
  <si>
    <t>Kūno kultūros ir sporto varžybų, sveikatingumą, fizinį aktyvumą skatinančių renginių dalyvių skaičius ir jo pokytis, palyginti su praėjusiais metais, %</t>
  </si>
  <si>
    <t>Įrengta naujų ir modernizuota esamų sporto bazių, skaičius</t>
  </si>
  <si>
    <t xml:space="preserve">Parengta sportininkų jaunių, jaunimo, suaugusiųjų nacionalinėms rinktinėms, skaičius </t>
  </si>
  <si>
    <t>Lankančių sporto mokymo įstaigas ir sporto klubus, finansuojamus sportuojančio vaiko krepšelio principu, skaičius nuo bendro Klaipėdos miesto mokinių skaičiaus, %</t>
  </si>
  <si>
    <t>Prestižinių, tarptautinių ir nacionalinių sporto renginių pritraukimas ir organizavimas, viešinimas</t>
  </si>
  <si>
    <t>Neatlygintinai suteikta sporto bazių sporto renginiams, val.</t>
  </si>
  <si>
    <t>Paslaugų miesto bendruomenei teikimas Klaipėdos miesto daugiafunkciame sveikatingumo centre</t>
  </si>
  <si>
    <t>Suteikta paslaugų, valandų skaičius</t>
  </si>
  <si>
    <t>Užsiėmimų senjorams ir neįgaliesiems skaičius</t>
  </si>
  <si>
    <t>Suorganizuota miesto sporto renginių, skaičius</t>
  </si>
  <si>
    <t>Sporto bazių paslaugų teikimas sporto renginiams vykdyti</t>
  </si>
  <si>
    <t>Biudžetinių įstaigų skaičius</t>
  </si>
  <si>
    <t>Asmenų, lankančių sporto organizacijas, skaičius</t>
  </si>
  <si>
    <t>Persirengimo konteinerių įsigijimas</t>
  </si>
  <si>
    <t>Įsigyta persirengimo konteinerių, vnt.</t>
  </si>
  <si>
    <t xml:space="preserve">Futbolo mokyklos ir baseino pastatų konversija: </t>
  </si>
  <si>
    <t xml:space="preserve"> - I etapas</t>
  </si>
  <si>
    <t>Klaipėdos miesto savivaldybės jachtos „Lietuva“ kapitalinis remontas</t>
  </si>
  <si>
    <t>BĮ Klaipėdos „Gintaro“ sporto centro pastato patalpų atnaujinimo darbai</t>
  </si>
  <si>
    <t>Komandų, dalyvaujančių aukščiausioje lygoje, skaičius</t>
  </si>
  <si>
    <t>Apskaitos kodas</t>
  </si>
  <si>
    <t>2019 m. asignavimų patvirtintas planas*</t>
  </si>
  <si>
    <t>2019 m. asignavimų patikslintas planas**</t>
  </si>
  <si>
    <t>2019 m. panaudotos lėšos (kasinės išlaidos)</t>
  </si>
  <si>
    <t>Įsigyta reprezentacinių prekių, skaičius</t>
  </si>
  <si>
    <t>Įgyvendinta  Europos jaunimo merginų U19 rankinio čempionato programa</t>
  </si>
  <si>
    <t>Neatlygintinai suteiktų sporto bazių paslaugų kompensavimas</t>
  </si>
  <si>
    <t>Fizinių ir juridinių asmenų, neatlygintinai gaunančių sporto bazių paslaugas, skaičius</t>
  </si>
  <si>
    <t>Miesto bendruomenei aktualių sporto renginių, švenčių organizavimas</t>
  </si>
  <si>
    <t>Sportininkų, dalyvavusių tarptautinėse varžybose, skaičius</t>
  </si>
  <si>
    <t>Sportuojančiųjų grupių skaičius</t>
  </si>
  <si>
    <t>Įsigyta meninės gimnastikos įrangos, vnt.</t>
  </si>
  <si>
    <t>06</t>
  </si>
  <si>
    <t>07</t>
  </si>
  <si>
    <t>08</t>
  </si>
  <si>
    <t>Sportinės veiklos projektų dalinis finansavimas:</t>
  </si>
  <si>
    <t>Finansuota projektų, iš viso:</t>
  </si>
  <si>
    <t xml:space="preserve">Klaipėdos miesto tradicinių tarptautinių sporto renginių </t>
  </si>
  <si>
    <t xml:space="preserve">Klaipėdos miesto „Sportas visiems“ renginių </t>
  </si>
  <si>
    <t xml:space="preserve">Klaipėdos miesto sporto šakų federacijų </t>
  </si>
  <si>
    <t>Finansuota federacijų veikla, skaičius</t>
  </si>
  <si>
    <t>Lankančiųjų neįgaliųjų sporto organizacijas, skaičius</t>
  </si>
  <si>
    <t xml:space="preserve">Sportuojančio vaiko ugdymo dalinis finansavimas </t>
  </si>
  <si>
    <t>Vidutinis sportininkų, dalyvavusių programose, skaičius, tūkst.</t>
  </si>
  <si>
    <t>Klaipėdos miesto antrųjų klasių mokinių mokymas plaukti</t>
  </si>
  <si>
    <t>Sporto projektų vertinimo paslaugų pirkimas</t>
  </si>
  <si>
    <t>Ekspertų skaičius</t>
  </si>
  <si>
    <t>Įvertinta paraiškų, skaičius</t>
  </si>
  <si>
    <t>Padidintas kapitalas, proc.</t>
  </si>
  <si>
    <t>Klaipėdos miesto sporto bazių infrastruktūros plėtros poreikio galimybių studijos parengimas</t>
  </si>
  <si>
    <t>Atsinaujinančių energijos išteklių  panaudojimas sporto įstaigų pastatuose („Gintaro“ sporto centre ir Lengvosios atletikos mokykloje)</t>
  </si>
  <si>
    <t>Parengta techninių projektų, vnt.</t>
  </si>
  <si>
    <t>VšĮ „Klaipėdos irklavimo centras“ įstatinio kapitalo didinimas</t>
  </si>
  <si>
    <t>Padidintas dalininko kapitalas, proc.</t>
  </si>
  <si>
    <t>11.010137</t>
  </si>
  <si>
    <t>BĮ Klaipėdos miesto lengvosios atletikos mokyklos maniežo dangos atnaujinimo darbai</t>
  </si>
  <si>
    <t>Atlikti maniežo dangos pakeitimo darbai, 2250 m², proc.</t>
  </si>
  <si>
    <t xml:space="preserve">Reprezentacinių Klaipėdos miesto sporto komandų dalinis finansavimas  </t>
  </si>
  <si>
    <t xml:space="preserve">Stipendijų mokėjimas perspektyviems Klaipėdos miesto sportininkams   </t>
  </si>
  <si>
    <r>
      <t xml:space="preserve">Savivaldybės paskolų lėšos </t>
    </r>
    <r>
      <rPr>
        <b/>
        <sz val="10"/>
        <rFont val="Times New Roman"/>
        <family val="1"/>
        <charset val="186"/>
      </rPr>
      <t>SB(P)</t>
    </r>
  </si>
  <si>
    <r>
      <t xml:space="preserve">Pajamų imokų likutis </t>
    </r>
    <r>
      <rPr>
        <b/>
        <sz val="10"/>
        <rFont val="Times New Roman"/>
        <family val="1"/>
        <charset val="186"/>
      </rPr>
      <t>SB(SPL)</t>
    </r>
  </si>
  <si>
    <t>________________________________________</t>
  </si>
  <si>
    <t>Papriemonės kodas</t>
  </si>
  <si>
    <t xml:space="preserve">Prestižinių, tarptautinių ir nacionalinių sporto renginių pritraukimas ir organizavimas, viešinimas </t>
  </si>
  <si>
    <t>Suorganizuotas vandens sporto šakų festivalis ir paplūdimio sporto renginiai</t>
  </si>
  <si>
    <t>Asmenų, lankančių įstaigą, skaičius</t>
  </si>
  <si>
    <t>Valdomų sporto bazių, skaičius</t>
  </si>
  <si>
    <t>Išlaikoma sporto bazių, skaičius</t>
  </si>
  <si>
    <t>Įsigyta įgarsinimo sistema, kompl.</t>
  </si>
  <si>
    <t>Įsigyti rankinio vartai, kompl.</t>
  </si>
  <si>
    <t>Įsigytas bokso ringas, vnt.</t>
  </si>
  <si>
    <t>Suteikta bazių nuomos paslauga, įstaigų skaičius</t>
  </si>
  <si>
    <t xml:space="preserve"> - II etapas</t>
  </si>
  <si>
    <r>
      <t xml:space="preserve">Irklavimo bazės </t>
    </r>
    <r>
      <rPr>
        <sz val="10"/>
        <rFont val="Times New Roman"/>
        <family val="1"/>
        <charset val="186"/>
      </rPr>
      <t xml:space="preserve">(Gluosnių skg. 8) modernizavimas </t>
    </r>
  </si>
  <si>
    <t>Vykdoma Poilsio parko įrenginių ir Prano Mašioto progimnazijos stadiono priežiūra, proc.</t>
  </si>
  <si>
    <t>Atlikta sporto aikštyno (Laukininkų g. 28) segmentinės tvoros ir patekimo į vidų sistemos įrengimo darbų, proc.</t>
  </si>
  <si>
    <t>Atnaujinti riedutininkų rampa Poilsio parke, proc.</t>
  </si>
  <si>
    <t>6</t>
  </si>
  <si>
    <t>Atlikta vidaus patalpų (Daukanto g. 24 II a.) remonto darbų, proc.</t>
  </si>
  <si>
    <t xml:space="preserve">* Pagal Klaipėdos miesto savivaldybės administracijos direktoriaus 2019-03-04 įsakymą Nr. AD1-399  
</t>
  </si>
  <si>
    <t>Savivaldybės biudžetas, iš jo:</t>
  </si>
  <si>
    <t>Kodas</t>
  </si>
  <si>
    <t>METINIO VEIKLOS PLANO VYKDYMO ATASKAITA</t>
  </si>
  <si>
    <t>Asign. valdytojas</t>
  </si>
  <si>
    <t>SP lėšos</t>
  </si>
  <si>
    <t>Patvirtintas asignavimų planas</t>
  </si>
  <si>
    <t>Patikslintas asignavimų planas</t>
  </si>
  <si>
    <t>Iš viso gauta asignavimų</t>
  </si>
  <si>
    <t>Likutis</t>
  </si>
  <si>
    <t>Efekto /Rezultato /Produkto</t>
  </si>
  <si>
    <t>Rodiklis</t>
  </si>
  <si>
    <t>Mato vnt.</t>
  </si>
  <si>
    <t>2019</t>
  </si>
  <si>
    <t>Aprašymas</t>
  </si>
  <si>
    <t>Pastaba</t>
  </si>
  <si>
    <t>Faktas</t>
  </si>
  <si>
    <t>Kūno kultūros ir sporto plėtros programa</t>
  </si>
  <si>
    <t>11.01.</t>
  </si>
  <si>
    <t>Savivaldybės lėšomis modernizuota sporto objektų</t>
  </si>
  <si>
    <t>vnt.</t>
  </si>
  <si>
    <t>0,60</t>
  </si>
  <si>
    <t>0,00</t>
  </si>
  <si>
    <t>2016 m. atnaujintas Klaipėdos „Vėtrungės“ gimnazijos (Gedminų g. 5, Gedminų g. 7) sporto aikštynas, pakeisti Klaipėdos miesto centrinio stadiono bėgimo takai;
2017 m. bus įrengta Futbolo aikštės danga prie Klaipėdos „Pajūrio“ pagrindinės mokyklos ir BĮ Klaipėdos miesto lengvosios atletikos mokyklos lengvosios atletikos sporto šakos metimų sektoriai;
2018 m. bus baigti Klaipėdos daugiafunkcio sveikatingumo centro statybos, Irklavimo bazės (Gluosnių skg. 8) modernizavimo ir BĮ Klaipėdos miesto lengvosios atletikos mokyklos maniežo dangos atnaujinimo darbai;
2019 m. planuojama baigti Futbolo mokyklos ir baseino pastatų konversiją</t>
  </si>
  <si>
    <t>Planuojama 60 proc. modernizuoti Irklavimo bazę (Gluosnių skg. 8).</t>
  </si>
  <si>
    <t>Užimta prizinių vietų Lietuvos, Europos ir pasaulio čempionatuose</t>
  </si>
  <si>
    <t>330,00</t>
  </si>
  <si>
    <t>Parengta sportininkų (jaunių, jaunimo, suaugusiųjų) nacionalinėms rinktinėms</t>
  </si>
  <si>
    <t>skaičius</t>
  </si>
  <si>
    <t>320,00</t>
  </si>
  <si>
    <t>325,00</t>
  </si>
  <si>
    <t>Organizuotai sportuojančių gyventojų dalis</t>
  </si>
  <si>
    <t>proc.</t>
  </si>
  <si>
    <t>10,00</t>
  </si>
  <si>
    <t>Kūno kultūros ir sporto varžybų, sveikatingumą, fizinį aktyvumą skatinančių renginių dalyvių skaičius ir jo pokytis, palyginti su praėjusiais metais</t>
  </si>
  <si>
    <t>7,00</t>
  </si>
  <si>
    <t>Lankančių sporto mokymo įstaigas ir sporto klubus, finansuojamus sportuojančio vaiko krepšelio principu, skaičius nuo bendro Klaipėdos miesto mokinių skaičiaus</t>
  </si>
  <si>
    <t>30,00</t>
  </si>
  <si>
    <t>31,00</t>
  </si>
  <si>
    <t>11.01.01.</t>
  </si>
  <si>
    <t>11.01.01.01.</t>
  </si>
  <si>
    <t>11.01.01.01.01.</t>
  </si>
  <si>
    <t>UKD Ugdymo ir kultūros departamentas</t>
  </si>
  <si>
    <t>Suorganizuota renginių</t>
  </si>
  <si>
    <t>1,00</t>
  </si>
  <si>
    <t>2017 m. -  Europos jaunių merginų rankinio čempionatas</t>
  </si>
  <si>
    <t>Atliktas Europos jaunimo merginų U19 rankinio čempionato organizavimo (sporto objekto nuomos ir čempionato dalyvių apgyvendinimo ir maitinimo) paslaugų pirkimas. Nupirkta sporto objekto - Švyturio arenos - nuomos paslauga, bei čempionato dalyvių apgyvendinimo bei maitinimo paslaugos viešbutyje IBIS Styles Klaipėda Aurora.</t>
  </si>
  <si>
    <t>Įsigyta reprezentacinių prekių</t>
  </si>
  <si>
    <t>60,00</t>
  </si>
  <si>
    <t>1 185,00</t>
  </si>
  <si>
    <t>Įvykdytos viešųjų pirkimų procedūros. Įsigyta 1000 vnt. popierinių dovanų maišelių su Klaipėdos miesto savivaldybės ženklu ir 185 vnt. atminimo dovanų (saldainiai, sportiniai maišeliai, sportinės kuprinės, belaidinės ausinės, belaidės kolonėlės, USB jungtys ir kt.) su Klaipėdos miesto simbolika.</t>
  </si>
  <si>
    <t>11.01.01.02.</t>
  </si>
  <si>
    <t>11.01.01.02.01.</t>
  </si>
  <si>
    <t>Suorganizuota pagerbimo ir viešinimo renginių</t>
  </si>
  <si>
    <t>20,00</t>
  </si>
  <si>
    <t>Suorganizuoti sportininkų ir trenerių pagerbimo ir viešinimo renginiai: prisidėjusiems prie Klaipėdos Europos sporto miesto plano įgyvendinimo; tinklinio klubui Amber Queen; rankinio klubui "Dragūnas"; krepšinio klubui "Neptūnas"; sporto klubui MuayThai Imperija; ledo ritulio klubui HC Klaipėda, Karate klubui "Shodan", krepšinio U16 čempionato sidabro laimėtojoms (3 sportininkėms+2 treneriams; karate klubui "Okinava"; asociacijai "K1 akademija", šachmatų turnyro laimėtojams; 4 garbaus amžiaus treneriams; Lietuvos seniūnijų žaidynių nugalėtojams; Klaipėdos "Leader Dance"  šokėjoms; Klaipėdos miesto geriausiems olimpinių ir neolimpinių sporto šakų sportininkams.</t>
  </si>
  <si>
    <t>Įsigyta reklaminių-reprezentacinių leidinių</t>
  </si>
  <si>
    <t>300,00</t>
  </si>
  <si>
    <t>531,00</t>
  </si>
  <si>
    <t>Įvykdytos viešųjų pirkimų procedūros. Įsigyta 10 vnt. išmaniųjų laikrodžių, 16 vnt. vyriškų ir moteriškų sportinių striukių ir 505 vnt. gaminių su Klaipėdos miesto  simbolika.</t>
  </si>
  <si>
    <t>11.01.01.03.</t>
  </si>
  <si>
    <t>11.01.01.03.01.</t>
  </si>
  <si>
    <t>2,00</t>
  </si>
  <si>
    <t>II ketvirtyje buvo suorganizuotas Vandens sporto šakų festivalis, kuris vyko Olimpinės dienos metu.
III ketvirtį suorganizuotas Vasaros paplūdimio sporto festivalis.</t>
  </si>
  <si>
    <t>11.01.01.04.</t>
  </si>
  <si>
    <t>Neatlygintinai suteiktų sporto bazių paslaugų sporto renginiams organizuoti kompensavimas</t>
  </si>
  <si>
    <t>11.01.01.04.01.</t>
  </si>
  <si>
    <t>Fizinių ir juridinių asmenų, neatlygintinai gaunančių sporto bazių paslaugas</t>
  </si>
  <si>
    <t>32,00</t>
  </si>
  <si>
    <t>23,00</t>
  </si>
  <si>
    <t>Sporto bazių apgyvendinimo paslaugomis naudojosi 13 fizinių asmenų. 10 organizacijų, vykdančių Sportuojančio vaiko ugdymo programą, buvo kompensuotos sporto bazių paslaugos. Paslaugų suteikta mažiau nei planuota, kadangi IV ketvirtyje organizacijų, vykdančių sportuojančio vaiko ugdymo programą, veiklos buvo vykdomos kitose nei buvo numatyta sporto bazėse. Taip pat pasikeitė ir vykdomų renginių datos, t.y. persikėlė į 2020 metus.</t>
  </si>
  <si>
    <t>Neatlygintinai suteikta sporto bazių sporto renginiams</t>
  </si>
  <si>
    <t>val.</t>
  </si>
  <si>
    <t>200,00</t>
  </si>
  <si>
    <t>2019 metais buvo suorganizuoti 5 renginiai: Bokso turnyras "Gintarinė pirštinė" - 45 val.; Klaipėda CUP 2019 - 40 val.; tarptautinis jaunučių imtynių turnyras - 31 val.; turnyras "RSL Lithuanian Junior 2019" - 44 val; tarptautinės tinklinio varžybos V. Margienės taurei laimėti - 40 val., kuriems neatlygintinai suteiktos sporto bazės. Klaipėdos miesto tarybos sprendimu nuo 2019 metų rugsėjo mėnesio buvo patvirtinta po 200 valandų neatlygintinai suteikti sporto bazes sporto renginiams organizuoti BĮ Klaipėdos lengvosios atletikos mokykloje, BĮ "Gintaro" sporto centre, BĮ Klaipėdos futbolo mokykloje ir BĮ Klaipėdos Vlado Knašiaus krepšinio mokykloje. 600 neatlygintinų sporto bazių sporto renginiams valandų nepanaudota. Aukščiau minėtose bazėse neatlygintinų sporto bazių sporto renginiams paslaugų suteikimas įsigaliojo 2019 metų rudenį, kas  ir įtakojo tai, kad organizacijos neturėjo galimybės pasinaudoti šia teise dėl to, kad renginiai jau buvo numatyti organizuoti kitose miesto sporto bazėse.</t>
  </si>
  <si>
    <t>11.01.01.05.</t>
  </si>
  <si>
    <t>11.01.01.05.01.</t>
  </si>
  <si>
    <t>Užsiėmimų senjorams ir neįgaliesiems</t>
  </si>
  <si>
    <t>88,00</t>
  </si>
  <si>
    <t>48,00</t>
  </si>
  <si>
    <t>Suteikta paslaugų</t>
  </si>
  <si>
    <t>Įstaigų sk.</t>
  </si>
  <si>
    <t>10 326,00</t>
  </si>
  <si>
    <t>9 973,75</t>
  </si>
  <si>
    <t>Paslaugų, numatytoms asmenų grupės, suteikta mažiau nei planuota dėl baseine vykusių kitų renginių. Taip pat, pagal Koncesijos sutartį, baseinu galima naudotis 10 mėn. per metus, todėl liepos ir rugpjūčio mėn. baseino paslaugos nebuvo teikiamos.</t>
  </si>
  <si>
    <t>SRD Socialinių reikalų departamentas</t>
  </si>
  <si>
    <t>11.01.02.</t>
  </si>
  <si>
    <t>11.01.02.01.</t>
  </si>
  <si>
    <t>Sąlygų ugdytis biudžetinėse sporto įstaigose sudarymas</t>
  </si>
  <si>
    <t>Vidutinis sportuojančių neįgalių vaikų skaičius</t>
  </si>
  <si>
    <t>34,00</t>
  </si>
  <si>
    <t>57,00</t>
  </si>
  <si>
    <t>Sportininkų, dalyvavusių tarptautinėse varžybose</t>
  </si>
  <si>
    <t>1 794,00</t>
  </si>
  <si>
    <t>2 048,00</t>
  </si>
  <si>
    <t>Nuomojama sporto salių bendrojo ugdymo mokyklose</t>
  </si>
  <si>
    <t>24 420,00</t>
  </si>
  <si>
    <t>22 552,00</t>
  </si>
  <si>
    <t>Sporto salių išnuomota mažiau nei planuota, nes 2019 metais atidaryti 2 atnaujinti sporto aikštynai sportinei veiklai vykdyti bei tinkamos klimato sąlygos pratęsė galimybę sportinį ugdymą organizuoti lauke.</t>
  </si>
  <si>
    <t>Asmenų, lankančių sporto mokyklas</t>
  </si>
  <si>
    <t>2 917,00</t>
  </si>
  <si>
    <t>3 171,00</t>
  </si>
  <si>
    <t>Sportuojančiųjų grupių</t>
  </si>
  <si>
    <t>265,00</t>
  </si>
  <si>
    <t>280,00</t>
  </si>
  <si>
    <t>Suorganizuota miesto sporto renginių</t>
  </si>
  <si>
    <t>114,00</t>
  </si>
  <si>
    <t>118,00</t>
  </si>
  <si>
    <t>11.01.02.01.01.</t>
  </si>
  <si>
    <t>Įsigyta sportinių dviračių</t>
  </si>
  <si>
    <t>12,00</t>
  </si>
  <si>
    <t>Įsigyta imtynių įrangos</t>
  </si>
  <si>
    <t>Įsigyta meninės gimnastikos įrangos</t>
  </si>
  <si>
    <t>II ketvirtį buvo įsigyta: meninės gimnastikos kiliminė danga ir varžybinis kilimas</t>
  </si>
  <si>
    <t>Įsigyta tinklinio įrangos</t>
  </si>
  <si>
    <t>II ketvirtyje buvo įsigytas tinklinio stovas</t>
  </si>
  <si>
    <t>11.01.02.01.02.</t>
  </si>
  <si>
    <t>Įsigyta organizacinės technikos</t>
  </si>
  <si>
    <t>4,00</t>
  </si>
  <si>
    <t>II ketvirtį buvo įsigytas kopijavimo aparatas; IV ketvirtyje nupirkti 3 kompiuteriai.</t>
  </si>
  <si>
    <t>11.01.02.01.03.</t>
  </si>
  <si>
    <t>II ketvirtį įsigytas kompiuteris</t>
  </si>
  <si>
    <t>Įsigyta spec. treniruoklių</t>
  </si>
  <si>
    <t>II ketvirtį įsigytas bėgimo treniruoklis</t>
  </si>
  <si>
    <t>11.01.02.01.04.</t>
  </si>
  <si>
    <t>11.01.02.01.05.</t>
  </si>
  <si>
    <t>BĮ Lengvosios atletikos mokykloje</t>
  </si>
  <si>
    <t>Įgyvendinta Olimpinės dienos programa</t>
  </si>
  <si>
    <t>Olimpinė diena įvyko birželio 1 dieną,</t>
  </si>
  <si>
    <t>Įsigyta varžybinės įrangos</t>
  </si>
  <si>
    <t>II ketv. buvo įsigytas ratų tablo, II ketvirtį buvo įsigyta nugalėtojų pakyla, rezultatų matuoklė šuoliams, rezultatų tablo.</t>
  </si>
  <si>
    <t>Įsigyta baldų</t>
  </si>
  <si>
    <t>11.01.02.01.06.</t>
  </si>
  <si>
    <t>Valdoma sporto bazių</t>
  </si>
  <si>
    <t>13,00</t>
  </si>
  <si>
    <t>Įsigyta įgarsinimo sistema bei apdovanojimų pakyla.</t>
  </si>
  <si>
    <t>Įsigyta sportinės įrangos</t>
  </si>
  <si>
    <t>II ketv. įsigyti rankinio vartai ir bokso ringas</t>
  </si>
  <si>
    <t>11.01.02.01.07.</t>
  </si>
  <si>
    <t>Sporto bazių paslaugų teikimas sporto renginiams</t>
  </si>
  <si>
    <t>5,00</t>
  </si>
  <si>
    <t>Paslaugos suteiktos 5 sporto įstaigoms (200 valandų): Asociacija Lietuvos badmintono federacija; Klaipėdos miesto bokso sporto klubas "Čempionas"; sporto klubas "Vakarų viesulas"; Klaipėdos miesto laisvųjų imtynių klubas "Laisvūnas"; sporto klubas "Viesulas".</t>
  </si>
  <si>
    <t>11.01.02.01.08.</t>
  </si>
  <si>
    <t>Įstaigų</t>
  </si>
  <si>
    <t>6,00</t>
  </si>
  <si>
    <t>11.01.02.02.</t>
  </si>
  <si>
    <t>Sportinės veiklos programų dalinis finansavimas</t>
  </si>
  <si>
    <t>100,00</t>
  </si>
  <si>
    <t>69,00</t>
  </si>
  <si>
    <t>2019 metais finansuoti projektai, kurie atitiko nustatytus reikalavimus.</t>
  </si>
  <si>
    <t>11.01.02.02.01.</t>
  </si>
  <si>
    <t>Buriavimo, irklavimo, baidarių ir kanojų irklavimo sporto šakų</t>
  </si>
  <si>
    <t>Asmenų, lankančių sporto organizacijas</t>
  </si>
  <si>
    <t>210,00</t>
  </si>
  <si>
    <t>11.01.02.02.02.</t>
  </si>
  <si>
    <t>Klaipėdos miesto tradicinių tarptautinių sporto renginių</t>
  </si>
  <si>
    <t>40,00</t>
  </si>
  <si>
    <t>29,00</t>
  </si>
  <si>
    <t>2019 m. iš viso suorganizuoti 29 tradiciniai tarptautiniai sporto renginiai. Rodiklis nepasiektas, nes mažiau nei planuota paraiškų atitiko reikalavimus</t>
  </si>
  <si>
    <t>11.01.02.02.03.</t>
  </si>
  <si>
    <t>Klaipėdos miesto sporto šakų federacijų</t>
  </si>
  <si>
    <t>Finansuotų sporto šakų federacijų</t>
  </si>
  <si>
    <t>11,00</t>
  </si>
  <si>
    <t>2019 metais finansuotos 7 federacijos (Klaipėdos lengvosios atletikos federacija, Klaipėdos miesto imtynių sporto federacija, Klaipėdos apskrities ir miesto futbolo federacija; Klaipėdos tinklinio asociacija; Klaipėdos miesto rankinio federacija; Lietuvos miesto ir Vakarų Lietuvos taekvondo federacija, Klaipėdos krepšinio federacija. 
Rodiklis nepasiektas, nes mažiau nei planuota paraiškų atitiko reikalavimus.</t>
  </si>
  <si>
    <t>11.01.02.02.04.</t>
  </si>
  <si>
    <t>Neįgaliųjų socialinės integracijos per kūno kultūrą ir sportą</t>
  </si>
  <si>
    <t>313,00</t>
  </si>
  <si>
    <t>318,00</t>
  </si>
  <si>
    <t>Neįgaliųjų socialinės integracijos per kūno kultūrą ir sportą užsiėmimus lankė daugiau neįgaliųjų nei planuota.</t>
  </si>
  <si>
    <t>11.01.02.02.05.</t>
  </si>
  <si>
    <t>Klaipėdos miesto „Sportas visiems“ renginių</t>
  </si>
  <si>
    <t>26,00</t>
  </si>
  <si>
    <t>2019 m. iš viso suorganizuoti 26 "Sportas visiems" renginiai. Rodiklis nepasiektas, nes mažiau nei planuota paraiškų atitiko reikalavimus</t>
  </si>
  <si>
    <t>11.01.02.03.</t>
  </si>
  <si>
    <t>11.01.02.03.01.</t>
  </si>
  <si>
    <t>Apmokyta plaukti vaikų</t>
  </si>
  <si>
    <t>2 019,00</t>
  </si>
  <si>
    <t>2 027,00</t>
  </si>
  <si>
    <t>11.01.02.04.</t>
  </si>
  <si>
    <t>11.01.02.04.01.</t>
  </si>
  <si>
    <t>KMSA Klaipėdos miesto savivaldybės administracija</t>
  </si>
  <si>
    <t>Padidintas dalininko kapitalas</t>
  </si>
  <si>
    <t>Padidintas dalininko kapitalas 12600 Eur suma.</t>
  </si>
  <si>
    <t>11.01.02.04.02./2018</t>
  </si>
  <si>
    <t>Įsigyta persirengimo konteinerių</t>
  </si>
  <si>
    <t>11.01.02.05.</t>
  </si>
  <si>
    <t>11.01.02.05.01.</t>
  </si>
  <si>
    <t>Sportuojančio vaiko ugdymo dalinis finansavimas</t>
  </si>
  <si>
    <t>2 900,00</t>
  </si>
  <si>
    <t>3 051,00</t>
  </si>
  <si>
    <t>I pusmetį sudarytos sutartys su 32 organizacijomis, kuriose sportuoja 3051 vaikas nuo 6 iki 19 metų. Visos lėšos bus panaudotos.</t>
  </si>
  <si>
    <t>11.01.02.06.</t>
  </si>
  <si>
    <t>11.01.02.06.01.</t>
  </si>
  <si>
    <t>Įvertinta paraiškų</t>
  </si>
  <si>
    <t>115,00</t>
  </si>
  <si>
    <t>11 paraiškų neatitiko administracinės atitikties, todėl ekspertams nebuvo teiktos vertinimui</t>
  </si>
  <si>
    <t>18,00</t>
  </si>
  <si>
    <t>17,00</t>
  </si>
  <si>
    <t>Vienas ekspertas nepasirašė sutarties ir atsisakė teikti paslaugas. II-IV ketv. sporto projektų vertinimo ekspertų paslaugų buvo nereikalingos.</t>
  </si>
  <si>
    <t>11.01.03.</t>
  </si>
  <si>
    <t xml:space="preserve">Įrengti naujas ir modernizuoti esamas sporto bazes  </t>
  </si>
  <si>
    <t>11.01.03.01.</t>
  </si>
  <si>
    <t>Sporto bazių modernizavimas ir plėtra</t>
  </si>
  <si>
    <t>11.01.03.01.02.</t>
  </si>
  <si>
    <t>Klaipėdos daugiafunkcinio sveikatingumo centro statyba</t>
  </si>
  <si>
    <t>Įgyvendintas projektas</t>
  </si>
  <si>
    <t>IED Investicijų ir ekonomikos departamentas</t>
  </si>
  <si>
    <t>11.01.03.01.03-1.</t>
  </si>
  <si>
    <t>Futbolo mokyklos ir baseino pastatų konversija, I etapas</t>
  </si>
  <si>
    <t>50,00</t>
  </si>
  <si>
    <t>Neteisingai nurodyta planinė reikšmė - 2019 m. turėjo būti 25 proc. 
Rangos darbai vyksta gana sklandžiai. Nežymus vėlavimas matomas dėl subrangovo "Lyderio grupė" bankroto, kuris buvo atsakingas už pastato konstrukcijų rangą. Gruodžio mėn. Gen. rangovas perėmė visus subrangovo darbus, rangos darbai toliau vyksta be atsilikimų.</t>
  </si>
  <si>
    <t>11.01.03.01.03-2.</t>
  </si>
  <si>
    <t>Futbolo mokyklos ir baseino pastatų konversija, II etapas</t>
  </si>
  <si>
    <t>65,00</t>
  </si>
  <si>
    <t>Neteisingai nurodyta planinė reikšmė - 2019 m. turėjo būti 55 proc. 
Darbai vyksta sklandžiai</t>
  </si>
  <si>
    <t>11.01.03.01.04.</t>
  </si>
  <si>
    <t>Irklavimo bazės (Gluosnių skg. 8) modernizavimas</t>
  </si>
  <si>
    <t>Atlikta modernizavimo darbų. Užbaigtumas</t>
  </si>
  <si>
    <t>99,00</t>
  </si>
  <si>
    <t>Neteisingai nurodyta planinė reikšmė - 2019 m. turėjo būti 90 proc.  
Rangovas darbus atliko, tačiau ne iki galo: objekte daug nedadarytų darbų, kuriuos rangovas vengia taisyti.</t>
  </si>
  <si>
    <t>11.01.03.01.09.</t>
  </si>
  <si>
    <t>11.01.03.01.10.</t>
  </si>
  <si>
    <t>11.01.03.02.</t>
  </si>
  <si>
    <t>11.01.03.02.01.</t>
  </si>
  <si>
    <t>Atlikta remonto darbų. Užbaigtumas</t>
  </si>
  <si>
    <t>75,00</t>
  </si>
  <si>
    <t>Vykdomi jachtos "Lietuva" remonto darbai. Remonto darbų sutarties termino pabaiga 2020-04-30. Remonto darbus planuojama baigti 2020 metų II ketv.</t>
  </si>
  <si>
    <t>11.01.03.03.</t>
  </si>
  <si>
    <t xml:space="preserve">Sporto infrastruktūros objektų einamasis remontas ir techninis aptarnavimas: </t>
  </si>
  <si>
    <t>11.01.03.03.01.</t>
  </si>
  <si>
    <t>Atnaujinta patalpų ir įrenginių, objektų</t>
  </si>
  <si>
    <t>Darbai atlikti pagal planą.</t>
  </si>
  <si>
    <t>Atlikta vidaus patalpų (Daukanto g. 24 II a.) remonto darbų</t>
  </si>
  <si>
    <t>Atnaujintos sporto bazės patalpos.</t>
  </si>
  <si>
    <t>MŪD Miesto ūkio departamentas</t>
  </si>
  <si>
    <t>11.01.03.03.02.</t>
  </si>
  <si>
    <t>Balkono turėklų (37,2 kv. m) keitimo darbai</t>
  </si>
  <si>
    <t>Persipylimo baseino remonto darbai</t>
  </si>
  <si>
    <t>11.01.03.03.03.</t>
  </si>
  <si>
    <t>Pakeista danga</t>
  </si>
  <si>
    <t>Įvykdytos viešųjų pirkimų procedūros, pasirašyta sutartis su laimėjusiu tiekėju. 2019 metų gruodžio mėnesį atlikta darbų už 100 000 Eur. Įsigyta danga ir kitos medžiagos, reikalingos dangos atnaujinimo darbams atlikti.</t>
  </si>
  <si>
    <t>11.01.03.03.04.</t>
  </si>
  <si>
    <t>Komunalinių paslaugų (šildymo, vandens, nuotekų) įsigijimas</t>
  </si>
  <si>
    <t>Šildoma įstaigų</t>
  </si>
  <si>
    <t>Priemonė vykdoma pagal planą</t>
  </si>
  <si>
    <t>11.01.03.11.</t>
  </si>
  <si>
    <t>11.01.03.11.01.</t>
  </si>
  <si>
    <t>Parengta galimybių studija</t>
  </si>
  <si>
    <t>Atliktos viešųjų pirkimų procedūros, pasirašyta sutartis su konkurso laimėtoju 2019 metų spalio mėnesį. Sutarties įgyvendinimo terminas numatytas 2020 metų vasario mėnesį.</t>
  </si>
  <si>
    <t>11.01.04.</t>
  </si>
  <si>
    <t>11.01.04.01.</t>
  </si>
  <si>
    <t>11.01.04.01.01.</t>
  </si>
  <si>
    <t>Reprezentacinių Klaipėdos miesto sporto komandų dalinis finansavimas</t>
  </si>
  <si>
    <t>Iš dalies finansuota programų</t>
  </si>
  <si>
    <t>Tik 4 programos atitiko sporto projektų finansavimo sąlygas ir gavo finansavimą. IV ketvirtyje buvo gautas prašymas iš VO krepšinio klubo "Fortūna" nutraukti sutartį, kadangi sustabdė savo vykdomą veiklą ir lėšos nebuvo išmokėtos.</t>
  </si>
  <si>
    <t>Komandų, dalyvaujančių Europos taurių turnyruose</t>
  </si>
  <si>
    <t>11.01.04.02.</t>
  </si>
  <si>
    <t>11.01.04.02.01.</t>
  </si>
  <si>
    <t>Stipendijų mokėjimas perspektyviems Klaipėdos miesto sportininkams</t>
  </si>
  <si>
    <t>Skirta stipendijų</t>
  </si>
  <si>
    <t>25,00</t>
  </si>
  <si>
    <t>12 sportininkų, atitikusių Tvarkos aprašo nustatytus kriterijus, gavo stipendijas. Visos lėšos buvo panaudotos.</t>
  </si>
  <si>
    <t>Programų lėšų likučių laikinai laisvos lėšos  (apyvartos lėšų likutis)</t>
  </si>
  <si>
    <t>Paskolos lėšos</t>
  </si>
  <si>
    <t>Įstaigų pajamos</t>
  </si>
  <si>
    <t>Pajamų imokų likutis</t>
  </si>
  <si>
    <t>Kiti šaltiniai</t>
  </si>
  <si>
    <t>Valstybės biudžeto lėšos</t>
  </si>
  <si>
    <t>Savivaldybės biudžeto</t>
  </si>
  <si>
    <t>Europos Sąjungos paramos lėšos (Savivaldybės biudžetas)</t>
  </si>
  <si>
    <t>IŠ VISO:</t>
  </si>
  <si>
    <t>Įsigyta 1000 vnt. popierinių dovanų maišelių su Klaipėdos miesto savivaldybės ženklu ir 185 vnt. atminimo dovanų (saldainiai, sportiniai maišeliai, sportinės kuprinės, belaidinės ausinės, belaidės kolonėlės, USB jungtys ir kt.) su Klaipėdos miesto simbolika.</t>
  </si>
  <si>
    <t>Įsigyta 10 vnt. išmaniųjų laikrodžių, 16 vnt. vyriškų ir moteriškų sportinių striukių ir 505 vnt. gaminių su Klaipėdos miesto simbolika.</t>
  </si>
  <si>
    <t>Nuomojama sporto salių bendrojo ugdymo mokyklose, val.</t>
  </si>
  <si>
    <t>24 420</t>
  </si>
  <si>
    <t>22 552</t>
  </si>
  <si>
    <t>3 171</t>
  </si>
  <si>
    <t>Įsigyta meninės gimnastikos kiliminė danga ir varžybinis kilimas</t>
  </si>
  <si>
    <t>Olimpinė diena įvyko birželio 1 d.</t>
  </si>
  <si>
    <t>2 027</t>
  </si>
  <si>
    <t xml:space="preserve">I pusmetį sudarytos sutartys su 32 organizacijomis, kuriose sportuoja 3051 vaikas nuo 6 iki 19 metų. </t>
  </si>
  <si>
    <t>Vienas ekspertas nepasirašė sutarties ir atsisakė teikti paslaugas.</t>
  </si>
  <si>
    <t>Įvykdytos viešųjų pirkimų procedūros, pasirašyta sutartis su laimėjusiu tiekėju. 2019 m. gruodį įsigyta danga ir kitos medžiagos, reikalingos dangos atnaujinimo darbams atlikti. Rangos darbus planuojama atlikti 2020 m.</t>
  </si>
  <si>
    <t>Atliktos viešųjų pirkimų procedūros, pasirašyta sutartis su konkurso laimėtoju 2019 m. spalį. Sutarties įgyvendinimo terminas numatytas 2020 m. vasarį.</t>
  </si>
  <si>
    <t xml:space="preserve">** Pagal Klaipėdos miesto savivaldybės administracijos direktoriaus 2019-12-20 įsakymą Nr. AD1-1537
</t>
  </si>
  <si>
    <t>Įvykdytos viešųjų pirkimų procedūros. 2019 m. spalį pasirašyta sutartis su laimėjusiu tiekėju dėl naujo riedutininkų parko įrengimo. Parko įrengimo darbus planuojama baigti iki 2020 m. gegužės 1 d.</t>
  </si>
  <si>
    <t>Pateikta paraiškų mažiau, nei planuota (73). Finansuoti projektai, kurie atitiko nustatytus reikalavimus (69).</t>
  </si>
  <si>
    <t>Pateikta paraiškų mažiau, nei planuota (36). Finansuoti projektai, kurie atitiko nustatytus reikalavimus (29).</t>
  </si>
  <si>
    <t xml:space="preserve">2019 M. KLAIPĖDOS MIESTO SAVIVALDYBĖS   </t>
  </si>
  <si>
    <r>
      <t xml:space="preserve">   </t>
    </r>
    <r>
      <rPr>
        <b/>
        <sz val="12"/>
        <rFont val="Times New Roman"/>
        <family val="1"/>
        <charset val="186"/>
      </rPr>
      <t>Iš 2019 m. planuotų</t>
    </r>
    <r>
      <rPr>
        <sz val="12"/>
        <rFont val="Times New Roman"/>
        <family val="1"/>
      </rPr>
      <t xml:space="preserve"> įvykdyti 35 priemonių ir papriemonių (kurioms patvirtinti / skirti asignavimai): </t>
    </r>
  </si>
  <si>
    <t>Rangovas darbus atliko, tačiau ne iki galo gerai. Objekte yra nekokybiškai atliktų darbų, kuriuos savivaldybė reikalauja atlikti kokybiškai.</t>
  </si>
  <si>
    <t>Stipendijos išmokėtos 12 sportininkų, atitikusių tvarkos apraše nustatytus kriterijus.</t>
  </si>
  <si>
    <t>Tik 4 programos atitiko sporto projektų finansavimo sąlygas ir gavo finansavimą. 2019 m. pabaigoje buvo gautas prašymas iš krepšinio klubo „Fortūna“ nutraukti sutartį, kadangi jis sustabdė savo vykdomą veiklą ir lėšos nebuvo išmokėtos.</t>
  </si>
  <si>
    <t>Renginys įvykdytas: nupirktos „Švyturio“ arenos nuomos, čempionato dalyvių apgyvendinimo bei maitinimo paslaugos.</t>
  </si>
  <si>
    <t>Suorganizuoti sportininkų ir trenerių pagerbimo ir viešinimo renginiai: prisidėjusiems prie Klaipėdos – Europos sporto miesto programos įgyvendinimo; tinklinio klubui „Amber Queen“; rankinio klubui „Dragūnas“; krepšinio klubui „Neptūnas“; sporto klubui „MuayThai Imperija“; ledo ritulio klubui „HC Klaipėda“, karatė klubui „Shodan“, krepšinio U16 čempionato sidabro laimėtojoms (3 sportininkėms ir 2 treneriams; karatė klubui „Okinava“; asociacijai „K1 akademija“, šachmatų turnyro laimėtojams; 4 garbaus amžiaus treneriams; Lietuvos seniūnijų žaidynių nugalėtojams; Klaipėdos „Leader Dance“  šokėjoms; Klaipėdos miesto geriausiems olimpinių ir neolimpinių sporto šakų sportininkams.</t>
  </si>
  <si>
    <t>2019 m. buvo suorganizuoti 5 renginiai, kuriems neatlygintinai suteiktos sporto bazės: bokso turnyras „Gintarinė pirštinė“ – 45 val.; Klaipėda CUP 2019 – 40 val.; tarptautinis jaunučių imtynių turnyras – 31 val.; turnyras „RSL Lithuanian Junior 2019“ – 44 val; tarptautinės tinklinio varžybos V. Margienės taurei laimėti – 40 val. 2019 m. gegužės Savivaldybės tarybos posėdyje 500 valandų neatlygintinai naudotis sporto bazėmis buvo skirta BĮ Klaipėdos visuomenės sveikatos biurui, kuris iš skirtų valandų 2019 m. panaudojo 216 val. 2019 m. rugsėjo mėn. Savivaldybės taryba priėmė sprendimą, kuriuo numatyta po 200 valandų neatlygintinai suteikti sporto bazes sporto renginiams organizuoti BĮ Klaipėdos lengvosios atletikos mokykloje, BĮ „Gintaro“ sporto centre, BĮ Klaipėdos futbolo mokykloje ir BĮ Klaipėdos Vlado Knašiaus krepšinio mokykloje. 600 neatlygintinų sporto bazių sporto renginiams valandų liko nepanaudota, kadangi minėtose bazėse neatlygintinų sporto bazių sporto renginiams paslaugų suteikimas įsigaliojo tik 2019 m. rudenį.</t>
  </si>
  <si>
    <t>Sporto bazių apgyvendinimo paslaugomis naudojosi 13 fizinių asmenų. 10-čiai organizacijų, vykdančių Sportuojančio vaiko ugdymo programą, buvo kompensuotos sporto bazių paslaugos. Paslaugų suteikta mažiau, nei planuota, kadangi IV ketvirtį organizacijų, vykdančių sportuojančio vaiko ugdymo programą, veiklos buvo vykdomos kitose, nei buvo numatyta, sporto bazėse. Taip pat pasikeitė ir vykdomų renginių datos, t. y., persikėlė į 2020 m.</t>
  </si>
  <si>
    <t>Paslaugų numatytoms asmenų grupėms suteikta mažiau, nei planuota, dėl baseine vykusių kitų renginių. Taip pat pagal koncesijos sutartį baseinu galima naudotis 10 mėn. per metus, todėl liepos ir rugpjūčio mėn. baseino paslaugos nebuvo teikiamos.</t>
  </si>
  <si>
    <t>Įsigyta sportinių dviračių, vnt.</t>
  </si>
  <si>
    <t>Įsigyta kiliminė danga meninei gimnastikai, vnt.</t>
  </si>
  <si>
    <t>Įsigytas varžybinis kilimas meninei gimnastikai, vnt.</t>
  </si>
  <si>
    <t>Įsigytas imtynių kilimas, vnt.</t>
  </si>
  <si>
    <t>Įsigyti tinklinio stovai, vnt.</t>
  </si>
  <si>
    <t>Įsigyti kilimų uždangalai, vnt.</t>
  </si>
  <si>
    <t>Sporto salių bendrojo lavinimo mokyklose poreikis, val. skaičius</t>
  </si>
  <si>
    <t>Sporto salių išnuomota mažiau, nei planuota, nes 2019 m. atidaryti 2 atnaujinti sporto aikštynai sportinei veiklai vykdyti bei tinkamos klimato sąlygos leido sportinį ugdymą organizuoti lauke.</t>
  </si>
  <si>
    <t>Įsigyta stacionarių ar nešiojamųjų kompiuterių skaičius, vnt.</t>
  </si>
  <si>
    <t>Įsigytas sportinis bėgimo takelis, vnt.</t>
  </si>
  <si>
    <t>Sporto salių bendrojo ugdymo mokyklose poreikis, val. skaičius</t>
  </si>
  <si>
    <t>Įsigyta nugalėtojų pakyla, vnt.</t>
  </si>
  <si>
    <t>Įsigyta rezultatų matuoklė šuoliui į tolį ir trišuoliui, vnt.</t>
  </si>
  <si>
    <t>Įsigyta švieslentė sportiniams rezultatams, vnt.</t>
  </si>
  <si>
    <t>Įsigyta ratų tablo, vnt.</t>
  </si>
  <si>
    <t>Įsigyta baldų, vnt.</t>
  </si>
  <si>
    <t>Įgyvendinta Olimpinės dienos programa, vnt.</t>
  </si>
  <si>
    <t>Įsigyta nugalėtojų pakyla (12 asmenų), vnt.</t>
  </si>
  <si>
    <t>Paslaugos suteiktos 5 sporto įstaigoms (200 valandų): asociacijai Lietuvos badmintono federacijai; Klaipėdos miesto bokso sporto klubui „Čempionas“; sporto klubui „Vakarų viesulas“; Klaipėdos miesto laisvųjų imtynių klubui „Laisvūnas“; sporto klubui „Viesulas“.</t>
  </si>
  <si>
    <t>Neįgaliųjų socialinės integracijos per kūno kultūrą ir sportą užsiėmimus lankė daugiau neįgaliųjų, nei planuota.</t>
  </si>
  <si>
    <t xml:space="preserve">Finansuotos federacijos: Klaipėdos lengvosios atletikos federacija, Klaipėdos miesto imtynių sporto federacija, Klaipėdos apskrities ir miesto futbolo federacija, Klaipėdos tinklinio asociacija, Klaipėdos miesto rankinio federacija, Klaipėdos miesto ir Vakarų Lietuvos tekvondo federacija, Klaipėdos krepšinio federacija. </t>
  </si>
  <si>
    <t>Rangos darbai vyksta pakankamai sklandžiai. Nežymus vėlavimas vyksta dėl  subrangovo – UAB „Lyderio grupė“ bankroto, kuris buvo atsakingas už pastato konstrukcijų rangą. 2019 m. gruodžio mėn. generalinis rangovas perėmė visus subrangovo darbus, rangos darbai toliau vyksta be atsilikimų.</t>
  </si>
  <si>
    <t xml:space="preserve">Darbai vyksta sklandžiai. </t>
  </si>
  <si>
    <t>Šuoliaduobių rekonstrukcija Centriniame stadione pagal tarptautinius reikalavimus, vnt.</t>
  </si>
  <si>
    <t xml:space="preserve">Atlikti laiptų-panduso (Taikos pr. 61A) remonto darbai, proc. </t>
  </si>
  <si>
    <t>Vaikų aikštelių poilsio parke remonto darbai, proc.</t>
  </si>
  <si>
    <t>Vakarinės žiūrovų tribūnos Centriniame stadione remonto (2400 kv. m) darbai, proc.</t>
  </si>
  <si>
    <t>Remonto darbų sutarties termino pabaiga 2020-04-30. Remonto darbus planuojama baigti 2020 metų II ketvirtį.</t>
  </si>
  <si>
    <r>
      <t xml:space="preserve">Europos Sąjungos paramos lėšos, kurios įtrauktos į savivaldybės biudžetą </t>
    </r>
    <r>
      <rPr>
        <b/>
        <sz val="10"/>
        <rFont val="Times New Roman"/>
        <family val="1"/>
        <charset val="186"/>
      </rPr>
      <t>SB</t>
    </r>
    <r>
      <rPr>
        <sz val="10"/>
        <rFont val="Times New Roman"/>
        <family val="1"/>
        <charset val="186"/>
      </rPr>
      <t>(</t>
    </r>
    <r>
      <rPr>
        <b/>
        <sz val="10"/>
        <rFont val="Times New Roman"/>
        <family val="1"/>
        <charset val="186"/>
      </rPr>
      <t>ES)</t>
    </r>
  </si>
  <si>
    <t xml:space="preserve">STRATEGINIO VEIKLOS PLANO VYKDYMO ATASKAITA </t>
  </si>
  <si>
    <t>KŪNO KULTŪROS IR SPORTO PLĖTROS PROGRAMA NR. 11</t>
  </si>
  <si>
    <t>Suorganizuotas Vandens sporto šakų festivalis, kuris vyko Olimpinės dienos metu, ir Vasaros paplūdimio sporto festivalis.</t>
  </si>
  <si>
    <t xml:space="preserve">2019 m. pradžioje pagal pateiktą neįgaliųjų organizacijų poreikį,  buvo planuota suformuoti 3 neįgalių vaikų grupes, t. y. 20 vaikų, tačiau, prasidėjus užsiėmimams baseine, buvo suformuotos 2 grupes po 6 vaikus.  </t>
  </si>
  <si>
    <t>Įsigytas kopijavimo aparatas, vnt.</t>
  </si>
  <si>
    <t>Įsigyta prekių ar reprezentacinių leidinių, vnt.</t>
  </si>
  <si>
    <t>Parengta galimybių studija, vnt.</t>
  </si>
  <si>
    <t>Persipylimo baseino remonto darbai, proc.</t>
  </si>
  <si>
    <t>Balkono turėklų (37,2 kv.m) keitimo darbai, proc.</t>
  </si>
  <si>
    <t xml:space="preserve">(blogiau, nei planuota). </t>
  </si>
  <si>
    <t>Klaipėdos miesto savivaldybės 2019–2021 m. 
strateginio veiklos plano įgyvendinimo        2019 m. ataskaitos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</si>
</sst>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409]General"/>
    <numFmt numFmtId="167" formatCode="[$-10427]#,##0.00;\-#,##0.00;&quot;&quot;"/>
  </numFmts>
  <fonts count="35" x14ac:knownFonts="1">
    <font>
      <sz val="11"/>
      <color theme="1"/>
      <name val="Calibri"/>
      <family val="2"/>
      <charset val="186"/>
      <scheme val="minor"/>
    </font>
    <font>
      <sz val="10"/>
      <name val="Times New Roman"/>
      <family val="1"/>
      <charset val="186"/>
    </font>
    <font>
      <sz val="10"/>
      <name val="Arial"/>
      <family val="2"/>
      <charset val="186"/>
    </font>
    <font>
      <b/>
      <sz val="10"/>
      <name val="Times New Roman"/>
      <family val="1"/>
      <charset val="186"/>
    </font>
    <font>
      <sz val="10"/>
      <name val="Times New Roman"/>
      <family val="1"/>
    </font>
    <font>
      <b/>
      <sz val="10"/>
      <name val="Times New Roman"/>
      <family val="1"/>
    </font>
    <font>
      <sz val="9"/>
      <name val="Times New Roman"/>
      <family val="1"/>
      <charset val="186"/>
    </font>
    <font>
      <sz val="9"/>
      <name val="Times New Roman"/>
      <family val="1"/>
    </font>
    <font>
      <sz val="9"/>
      <color indexed="81"/>
      <name val="Tahoma"/>
      <family val="2"/>
      <charset val="186"/>
    </font>
    <font>
      <sz val="12"/>
      <name val="Times New Roman"/>
      <family val="1"/>
      <charset val="186"/>
    </font>
    <font>
      <sz val="12"/>
      <name val="Arial"/>
      <family val="2"/>
      <charset val="186"/>
    </font>
    <font>
      <b/>
      <sz val="12"/>
      <name val="Times New Roman"/>
      <family val="1"/>
      <charset val="186"/>
    </font>
    <font>
      <sz val="11"/>
      <color theme="1"/>
      <name val="Times New Roman"/>
      <family val="1"/>
      <charset val="186"/>
    </font>
    <font>
      <sz val="10"/>
      <color rgb="FFFF0000"/>
      <name val="Times New Roman"/>
      <family val="1"/>
      <charset val="186"/>
    </font>
    <font>
      <sz val="11"/>
      <color theme="0"/>
      <name val="Calibri"/>
      <family val="2"/>
      <charset val="186"/>
      <scheme val="minor"/>
    </font>
    <font>
      <sz val="11"/>
      <name val="Calibri"/>
      <family val="2"/>
      <charset val="186"/>
      <scheme val="minor"/>
    </font>
    <font>
      <b/>
      <u/>
      <sz val="10"/>
      <name val="Times New Roman"/>
      <family val="1"/>
      <charset val="186"/>
    </font>
    <font>
      <strike/>
      <sz val="10"/>
      <name val="Times New Roman"/>
      <family val="1"/>
      <charset val="186"/>
    </font>
    <font>
      <b/>
      <sz val="10"/>
      <color rgb="FFFF0000"/>
      <name val="Times New Roman"/>
      <family val="1"/>
      <charset val="186"/>
    </font>
    <font>
      <strike/>
      <sz val="10"/>
      <color rgb="FFFF0000"/>
      <name val="Times New Roman"/>
      <family val="1"/>
      <charset val="186"/>
    </font>
    <font>
      <b/>
      <sz val="9"/>
      <color indexed="81"/>
      <name val="Tahoma"/>
      <family val="2"/>
      <charset val="186"/>
    </font>
    <font>
      <sz val="10"/>
      <color rgb="FFFF0000"/>
      <name val="Times New Roman"/>
      <family val="1"/>
    </font>
    <font>
      <sz val="11"/>
      <color rgb="FF000000"/>
      <name val="Calibri"/>
      <family val="2"/>
      <scheme val="minor"/>
    </font>
    <font>
      <b/>
      <sz val="12"/>
      <name val="Times New Roman"/>
      <family val="1"/>
    </font>
    <font>
      <sz val="12"/>
      <name val="Times New Roman"/>
      <family val="1"/>
    </font>
    <font>
      <sz val="12"/>
      <color rgb="FFFF0000"/>
      <name val="Times New Roman"/>
      <family val="1"/>
    </font>
    <font>
      <sz val="10"/>
      <color indexed="9"/>
      <name val="Arial"/>
      <family val="2"/>
      <charset val="186"/>
    </font>
    <font>
      <sz val="10"/>
      <color indexed="9"/>
      <name val="Times New Roman"/>
      <family val="1"/>
    </font>
    <font>
      <sz val="11"/>
      <name val="Times New Roman"/>
      <family val="1"/>
      <charset val="186"/>
    </font>
    <font>
      <b/>
      <sz val="11"/>
      <name val="Times New Roman"/>
      <family val="1"/>
      <charset val="186"/>
    </font>
    <font>
      <sz val="8"/>
      <name val="Times New Roman"/>
      <family val="1"/>
      <charset val="186"/>
    </font>
    <font>
      <sz val="11"/>
      <color rgb="FF000000"/>
      <name val="Calibri"/>
      <family val="2"/>
      <charset val="186"/>
    </font>
    <font>
      <b/>
      <sz val="12"/>
      <color rgb="FF000000"/>
      <name val="Times New Roman"/>
      <family val="1"/>
      <charset val="186"/>
    </font>
    <font>
      <sz val="12"/>
      <color rgb="FF000000"/>
      <name val="Times New Roman"/>
      <family val="1"/>
      <charset val="186"/>
    </font>
    <font>
      <sz val="12"/>
      <color theme="1"/>
      <name val="Times New Roman"/>
      <family val="1"/>
      <charset val="186"/>
    </font>
  </fonts>
  <fills count="18">
    <fill>
      <patternFill patternType="none"/>
    </fill>
    <fill>
      <patternFill patternType="gray125"/>
    </fill>
    <fill>
      <patternFill patternType="solid">
        <fgColor indexed="45"/>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CCFF"/>
        <bgColor indexed="64"/>
      </patternFill>
    </fill>
    <fill>
      <patternFill patternType="solid">
        <fgColor rgb="FFFFFFCC"/>
        <bgColor indexed="64"/>
      </patternFill>
    </fill>
    <fill>
      <patternFill patternType="solid">
        <fgColor theme="0"/>
        <bgColor rgb="FFD9D9D9"/>
      </patternFill>
    </fill>
    <fill>
      <patternFill patternType="solid">
        <fgColor rgb="FFFBF9C3"/>
        <bgColor rgb="FFFBF9C3"/>
      </patternFill>
    </fill>
    <fill>
      <patternFill patternType="solid">
        <fgColor rgb="FFBCB5F8"/>
        <bgColor rgb="FFBCB5F8"/>
      </patternFill>
    </fill>
    <fill>
      <patternFill patternType="solid">
        <fgColor rgb="FFC2EFC5"/>
        <bgColor rgb="FFC2EFC5"/>
      </patternFill>
    </fill>
    <fill>
      <patternFill patternType="solid">
        <fgColor rgb="FFEBEBEB"/>
        <bgColor rgb="FFEBEBEB"/>
      </patternFill>
    </fill>
  </fills>
  <borders count="90">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4">
    <xf numFmtId="0" fontId="0" fillId="0" borderId="0"/>
    <xf numFmtId="0" fontId="22" fillId="0" borderId="0"/>
    <xf numFmtId="0" fontId="2" fillId="0" borderId="0"/>
    <xf numFmtId="166" fontId="31" fillId="0" borderId="0" applyBorder="0" applyProtection="0"/>
  </cellStyleXfs>
  <cellXfs count="1383">
    <xf numFmtId="0" fontId="0" fillId="0" borderId="0" xfId="0"/>
    <xf numFmtId="3" fontId="2" fillId="0" borderId="0" xfId="0" applyNumberFormat="1" applyFont="1"/>
    <xf numFmtId="49" fontId="1" fillId="0" borderId="0" xfId="0" applyNumberFormat="1" applyFont="1" applyAlignment="1">
      <alignment horizontal="center" vertical="top"/>
    </xf>
    <xf numFmtId="3" fontId="1" fillId="0" borderId="0" xfId="0" applyNumberFormat="1" applyFont="1" applyAlignment="1">
      <alignment horizontal="center" vertical="top"/>
    </xf>
    <xf numFmtId="164" fontId="1" fillId="0" borderId="0" xfId="0" applyNumberFormat="1" applyFont="1" applyAlignment="1">
      <alignment horizontal="center" vertical="top"/>
    </xf>
    <xf numFmtId="3" fontId="1" fillId="0" borderId="19" xfId="0" applyNumberFormat="1" applyFont="1" applyBorder="1" applyAlignment="1">
      <alignment horizontal="center" vertical="center" textRotation="90"/>
    </xf>
    <xf numFmtId="164" fontId="1" fillId="0" borderId="7" xfId="0" applyNumberFormat="1" applyFont="1" applyFill="1" applyBorder="1" applyAlignment="1">
      <alignment horizontal="center" vertical="top"/>
    </xf>
    <xf numFmtId="164" fontId="3" fillId="7" borderId="41" xfId="0" applyNumberFormat="1" applyFont="1" applyFill="1" applyBorder="1" applyAlignment="1">
      <alignment horizontal="center" vertical="top"/>
    </xf>
    <xf numFmtId="3" fontId="1" fillId="0" borderId="42" xfId="0" applyNumberFormat="1" applyFont="1" applyFill="1" applyBorder="1" applyAlignment="1">
      <alignment horizontal="center" vertical="top" wrapText="1"/>
    </xf>
    <xf numFmtId="3" fontId="1" fillId="0" borderId="42" xfId="0" applyNumberFormat="1" applyFont="1" applyBorder="1" applyAlignment="1">
      <alignment horizontal="center" vertical="top"/>
    </xf>
    <xf numFmtId="164" fontId="3" fillId="7" borderId="40" xfId="0" applyNumberFormat="1" applyFont="1" applyFill="1" applyBorder="1" applyAlignment="1">
      <alignment horizontal="center" vertical="top"/>
    </xf>
    <xf numFmtId="49" fontId="3" fillId="4" borderId="24" xfId="0" applyNumberFormat="1" applyFont="1" applyFill="1" applyBorder="1" applyAlignment="1">
      <alignment horizontal="center" vertical="top"/>
    </xf>
    <xf numFmtId="49" fontId="3" fillId="5" borderId="48" xfId="0" applyNumberFormat="1" applyFont="1" applyFill="1" applyBorder="1" applyAlignment="1">
      <alignment horizontal="center" vertical="top"/>
    </xf>
    <xf numFmtId="164" fontId="3" fillId="5" borderId="30" xfId="0" applyNumberFormat="1" applyFont="1" applyFill="1" applyBorder="1" applyAlignment="1">
      <alignment horizontal="center" vertical="top"/>
    </xf>
    <xf numFmtId="49" fontId="3" fillId="5" borderId="49" xfId="0" applyNumberFormat="1" applyFont="1" applyFill="1" applyBorder="1" applyAlignment="1">
      <alignment horizontal="center" vertical="top"/>
    </xf>
    <xf numFmtId="49" fontId="3" fillId="4" borderId="35" xfId="0" applyNumberFormat="1" applyFont="1" applyFill="1" applyBorder="1" applyAlignment="1">
      <alignment horizontal="center" vertical="top"/>
    </xf>
    <xf numFmtId="49" fontId="3" fillId="6" borderId="32" xfId="0" applyNumberFormat="1" applyFont="1" applyFill="1" applyBorder="1" applyAlignment="1">
      <alignment horizontal="center" vertical="top"/>
    </xf>
    <xf numFmtId="3" fontId="3" fillId="0" borderId="35" xfId="0" applyNumberFormat="1" applyFont="1" applyFill="1" applyBorder="1" applyAlignment="1">
      <alignment vertical="top" textRotation="180" wrapText="1"/>
    </xf>
    <xf numFmtId="3" fontId="1" fillId="6" borderId="40" xfId="0" applyNumberFormat="1" applyFont="1" applyFill="1" applyBorder="1" applyAlignment="1">
      <alignment horizontal="center" vertical="top" wrapText="1"/>
    </xf>
    <xf numFmtId="3" fontId="4" fillId="0" borderId="0" xfId="0" applyNumberFormat="1" applyFont="1" applyBorder="1" applyAlignment="1">
      <alignment vertical="top"/>
    </xf>
    <xf numFmtId="49" fontId="3" fillId="4" borderId="51" xfId="0" applyNumberFormat="1" applyFont="1" applyFill="1" applyBorder="1" applyAlignment="1">
      <alignment horizontal="center" vertical="top"/>
    </xf>
    <xf numFmtId="49" fontId="3" fillId="6" borderId="42" xfId="0" applyNumberFormat="1" applyFont="1" applyFill="1" applyBorder="1" applyAlignment="1">
      <alignment horizontal="center" vertical="top"/>
    </xf>
    <xf numFmtId="3" fontId="3" fillId="0" borderId="51" xfId="0" applyNumberFormat="1" applyFont="1" applyFill="1" applyBorder="1" applyAlignment="1">
      <alignment vertical="top" textRotation="180" wrapText="1"/>
    </xf>
    <xf numFmtId="3" fontId="3" fillId="0" borderId="52" xfId="0" applyNumberFormat="1" applyFont="1" applyBorder="1" applyAlignment="1">
      <alignment vertical="top"/>
    </xf>
    <xf numFmtId="164" fontId="1" fillId="8" borderId="15" xfId="0" applyNumberFormat="1" applyFont="1" applyFill="1" applyBorder="1" applyAlignment="1">
      <alignment horizontal="center" vertical="top"/>
    </xf>
    <xf numFmtId="3" fontId="1" fillId="0" borderId="43" xfId="0" applyNumberFormat="1" applyFont="1" applyFill="1" applyBorder="1" applyAlignment="1">
      <alignment horizontal="center" vertical="top"/>
    </xf>
    <xf numFmtId="3" fontId="1" fillId="6" borderId="53" xfId="0" applyNumberFormat="1" applyFont="1" applyFill="1" applyBorder="1" applyAlignment="1">
      <alignment horizontal="left" vertical="top" wrapText="1"/>
    </xf>
    <xf numFmtId="164" fontId="1" fillId="8" borderId="51" xfId="0" applyNumberFormat="1" applyFont="1" applyFill="1" applyBorder="1" applyAlignment="1">
      <alignment horizontal="center" vertical="top"/>
    </xf>
    <xf numFmtId="3" fontId="1" fillId="0" borderId="52" xfId="0" applyNumberFormat="1" applyFont="1" applyBorder="1" applyAlignment="1">
      <alignment horizontal="center" vertical="top"/>
    </xf>
    <xf numFmtId="3" fontId="2" fillId="0" borderId="0" xfId="0" applyNumberFormat="1" applyFont="1" applyBorder="1"/>
    <xf numFmtId="3" fontId="3" fillId="0" borderId="51" xfId="0" applyNumberFormat="1" applyFont="1" applyFill="1" applyBorder="1" applyAlignment="1">
      <alignment vertical="top" wrapText="1"/>
    </xf>
    <xf numFmtId="3" fontId="1" fillId="0" borderId="31" xfId="0" applyNumberFormat="1" applyFont="1" applyBorder="1" applyAlignment="1">
      <alignment horizontal="center" vertical="top"/>
    </xf>
    <xf numFmtId="49" fontId="3" fillId="4" borderId="23" xfId="0" applyNumberFormat="1" applyFont="1" applyFill="1" applyBorder="1" applyAlignment="1">
      <alignment horizontal="center" vertical="top"/>
    </xf>
    <xf numFmtId="49" fontId="3" fillId="6" borderId="44" xfId="0" applyNumberFormat="1" applyFont="1" applyFill="1" applyBorder="1" applyAlignment="1">
      <alignment horizontal="center" vertical="top"/>
    </xf>
    <xf numFmtId="3" fontId="3" fillId="0" borderId="23" xfId="0" applyNumberFormat="1" applyFont="1" applyFill="1" applyBorder="1" applyAlignment="1">
      <alignment vertical="top" textRotation="180" wrapText="1"/>
    </xf>
    <xf numFmtId="3" fontId="3" fillId="0" borderId="47" xfId="0" applyNumberFormat="1" applyFont="1" applyBorder="1" applyAlignment="1">
      <alignment vertical="top"/>
    </xf>
    <xf numFmtId="3" fontId="3" fillId="7" borderId="41" xfId="0" applyNumberFormat="1" applyFont="1" applyFill="1" applyBorder="1" applyAlignment="1">
      <alignment horizontal="center" vertical="top" wrapText="1"/>
    </xf>
    <xf numFmtId="164" fontId="5" fillId="7" borderId="41" xfId="0" applyNumberFormat="1" applyFont="1" applyFill="1" applyBorder="1" applyAlignment="1">
      <alignment horizontal="center" vertical="top"/>
    </xf>
    <xf numFmtId="49" fontId="3" fillId="4" borderId="35" xfId="0" applyNumberFormat="1" applyFont="1" applyFill="1" applyBorder="1" applyAlignment="1">
      <alignment vertical="top"/>
    </xf>
    <xf numFmtId="49" fontId="3" fillId="5" borderId="4" xfId="0" applyNumberFormat="1" applyFont="1" applyFill="1" applyBorder="1" applyAlignment="1">
      <alignment vertical="top"/>
    </xf>
    <xf numFmtId="3" fontId="3" fillId="8" borderId="6" xfId="0" applyNumberFormat="1" applyFont="1" applyFill="1" applyBorder="1" applyAlignment="1">
      <alignment vertical="top" wrapText="1"/>
    </xf>
    <xf numFmtId="3" fontId="1" fillId="0" borderId="33" xfId="0" applyNumberFormat="1" applyFont="1" applyBorder="1" applyAlignment="1">
      <alignment horizontal="center" vertical="top"/>
    </xf>
    <xf numFmtId="164" fontId="1" fillId="0" borderId="33" xfId="0" applyNumberFormat="1" applyFont="1" applyFill="1" applyBorder="1" applyAlignment="1">
      <alignment horizontal="center" vertical="top"/>
    </xf>
    <xf numFmtId="3" fontId="1" fillId="0" borderId="33" xfId="0" applyNumberFormat="1" applyFont="1" applyFill="1" applyBorder="1" applyAlignment="1">
      <alignment horizontal="left" vertical="top" wrapText="1"/>
    </xf>
    <xf numFmtId="49" fontId="1" fillId="4" borderId="51" xfId="0" applyNumberFormat="1" applyFont="1" applyFill="1" applyBorder="1" applyAlignment="1">
      <alignment vertical="top"/>
    </xf>
    <xf numFmtId="49" fontId="1" fillId="5" borderId="12" xfId="0" applyNumberFormat="1" applyFont="1" applyFill="1" applyBorder="1" applyAlignment="1">
      <alignment vertical="top"/>
    </xf>
    <xf numFmtId="49" fontId="1" fillId="6" borderId="42" xfId="0" applyNumberFormat="1" applyFont="1" applyFill="1" applyBorder="1" applyAlignment="1">
      <alignment horizontal="center" vertical="top"/>
    </xf>
    <xf numFmtId="3" fontId="1" fillId="8" borderId="50" xfId="0" applyNumberFormat="1" applyFont="1" applyFill="1" applyBorder="1" applyAlignment="1">
      <alignment vertical="top" wrapText="1"/>
    </xf>
    <xf numFmtId="3" fontId="1" fillId="0" borderId="12" xfId="0" applyNumberFormat="1" applyFont="1" applyFill="1" applyBorder="1" applyAlignment="1">
      <alignment horizontal="center" vertical="top" wrapText="1"/>
    </xf>
    <xf numFmtId="3" fontId="1" fillId="0" borderId="43" xfId="0" applyNumberFormat="1" applyFont="1" applyFill="1" applyBorder="1" applyAlignment="1">
      <alignment horizontal="center" vertical="top" wrapText="1"/>
    </xf>
    <xf numFmtId="49" fontId="3" fillId="4" borderId="51" xfId="0" applyNumberFormat="1" applyFont="1" applyFill="1" applyBorder="1" applyAlignment="1">
      <alignment vertical="top"/>
    </xf>
    <xf numFmtId="49" fontId="3" fillId="5" borderId="12" xfId="0" applyNumberFormat="1" applyFont="1" applyFill="1" applyBorder="1" applyAlignment="1">
      <alignment vertical="top"/>
    </xf>
    <xf numFmtId="49" fontId="3" fillId="6" borderId="12" xfId="0" applyNumberFormat="1" applyFont="1" applyFill="1" applyBorder="1" applyAlignment="1">
      <alignment horizontal="center" vertical="top"/>
    </xf>
    <xf numFmtId="164" fontId="1" fillId="0" borderId="31" xfId="0" applyNumberFormat="1" applyFont="1" applyFill="1" applyBorder="1" applyAlignment="1">
      <alignment horizontal="center" vertical="top"/>
    </xf>
    <xf numFmtId="165" fontId="1" fillId="0" borderId="31" xfId="0" applyNumberFormat="1" applyFont="1" applyFill="1" applyBorder="1" applyAlignment="1">
      <alignment horizontal="left" vertical="top" wrapText="1"/>
    </xf>
    <xf numFmtId="0" fontId="1" fillId="0" borderId="42" xfId="0" applyNumberFormat="1" applyFont="1" applyFill="1" applyBorder="1" applyAlignment="1">
      <alignment horizontal="center" vertical="top" wrapText="1"/>
    </xf>
    <xf numFmtId="0" fontId="1" fillId="0" borderId="12" xfId="0" applyFont="1" applyBorder="1" applyAlignment="1">
      <alignment horizontal="center" vertical="top"/>
    </xf>
    <xf numFmtId="49" fontId="3" fillId="4" borderId="23" xfId="0" applyNumberFormat="1" applyFont="1" applyFill="1" applyBorder="1" applyAlignment="1">
      <alignment vertical="top"/>
    </xf>
    <xf numFmtId="49" fontId="3" fillId="5" borderId="20" xfId="0" applyNumberFormat="1" applyFont="1" applyFill="1" applyBorder="1" applyAlignment="1">
      <alignment vertical="top"/>
    </xf>
    <xf numFmtId="3" fontId="1" fillId="0" borderId="38" xfId="0" applyNumberFormat="1" applyFont="1" applyFill="1" applyBorder="1" applyAlignment="1">
      <alignment horizontal="left" vertical="top" wrapText="1"/>
    </xf>
    <xf numFmtId="49" fontId="3" fillId="4" borderId="31" xfId="0" applyNumberFormat="1" applyFont="1" applyFill="1" applyBorder="1" applyAlignment="1">
      <alignment vertical="top"/>
    </xf>
    <xf numFmtId="49" fontId="3" fillId="6" borderId="0" xfId="0" applyNumberFormat="1" applyFont="1" applyFill="1" applyBorder="1" applyAlignment="1">
      <alignment horizontal="center" vertical="top"/>
    </xf>
    <xf numFmtId="164" fontId="1" fillId="8" borderId="7" xfId="0" applyNumberFormat="1" applyFont="1" applyFill="1" applyBorder="1" applyAlignment="1">
      <alignment horizontal="center" vertical="top" wrapText="1"/>
    </xf>
    <xf numFmtId="3" fontId="1" fillId="6" borderId="4" xfId="0" applyNumberFormat="1" applyFont="1" applyFill="1" applyBorder="1" applyAlignment="1">
      <alignment horizontal="center" vertical="top"/>
    </xf>
    <xf numFmtId="164" fontId="5" fillId="7" borderId="31" xfId="0" applyNumberFormat="1" applyFont="1" applyFill="1" applyBorder="1" applyAlignment="1">
      <alignment horizontal="center" vertical="top"/>
    </xf>
    <xf numFmtId="49" fontId="3" fillId="4" borderId="33" xfId="0" applyNumberFormat="1" applyFont="1" applyFill="1" applyBorder="1" applyAlignment="1">
      <alignment vertical="top"/>
    </xf>
    <xf numFmtId="49" fontId="3" fillId="4" borderId="38" xfId="0" applyNumberFormat="1" applyFont="1" applyFill="1" applyBorder="1" applyAlignment="1">
      <alignment vertical="top"/>
    </xf>
    <xf numFmtId="164" fontId="5" fillId="7" borderId="38" xfId="0" applyNumberFormat="1" applyFont="1" applyFill="1" applyBorder="1" applyAlignment="1">
      <alignment horizontal="center" vertical="top"/>
    </xf>
    <xf numFmtId="3" fontId="1" fillId="0" borderId="23" xfId="0" applyNumberFormat="1" applyFont="1" applyFill="1" applyBorder="1" applyAlignment="1">
      <alignment vertical="top" wrapText="1"/>
    </xf>
    <xf numFmtId="49" fontId="3" fillId="4" borderId="24" xfId="0" applyNumberFormat="1" applyFont="1" applyFill="1" applyBorder="1" applyAlignment="1">
      <alignment horizontal="center" vertical="top" wrapText="1"/>
    </xf>
    <xf numFmtId="49" fontId="3" fillId="5" borderId="59" xfId="0" applyNumberFormat="1" applyFont="1" applyFill="1" applyBorder="1" applyAlignment="1">
      <alignment horizontal="center" vertical="top" wrapText="1"/>
    </xf>
    <xf numFmtId="49" fontId="3" fillId="6" borderId="32" xfId="0" applyNumberFormat="1" applyFont="1" applyFill="1" applyBorder="1" applyAlignment="1">
      <alignment horizontal="center" vertical="top" wrapText="1"/>
    </xf>
    <xf numFmtId="3" fontId="1" fillId="0" borderId="33" xfId="0" applyNumberFormat="1" applyFont="1" applyBorder="1"/>
    <xf numFmtId="49" fontId="3" fillId="4" borderId="31" xfId="0" applyNumberFormat="1" applyFont="1" applyFill="1" applyBorder="1" applyAlignment="1">
      <alignment vertical="top" wrapText="1"/>
    </xf>
    <xf numFmtId="49" fontId="3" fillId="5" borderId="12" xfId="0" applyNumberFormat="1" applyFont="1" applyFill="1" applyBorder="1" applyAlignment="1">
      <alignment vertical="top" wrapText="1"/>
    </xf>
    <xf numFmtId="3" fontId="3" fillId="0" borderId="15" xfId="0" applyNumberFormat="1" applyFont="1" applyBorder="1" applyAlignment="1">
      <alignment horizontal="center" vertical="top"/>
    </xf>
    <xf numFmtId="3" fontId="1" fillId="0" borderId="57" xfId="0" applyNumberFormat="1" applyFont="1" applyFill="1" applyBorder="1" applyAlignment="1">
      <alignment horizontal="center" vertical="top" wrapText="1"/>
    </xf>
    <xf numFmtId="3" fontId="3" fillId="0" borderId="51" xfId="0" applyNumberFormat="1" applyFont="1" applyBorder="1" applyAlignment="1">
      <alignment horizontal="center" vertical="top"/>
    </xf>
    <xf numFmtId="49" fontId="1" fillId="4" borderId="31" xfId="0" applyNumberFormat="1" applyFont="1" applyFill="1" applyBorder="1" applyAlignment="1">
      <alignment vertical="top" wrapText="1"/>
    </xf>
    <xf numFmtId="49" fontId="1" fillId="5" borderId="12" xfId="0" applyNumberFormat="1" applyFont="1" applyFill="1" applyBorder="1" applyAlignment="1">
      <alignment vertical="top" wrapText="1"/>
    </xf>
    <xf numFmtId="164" fontId="3" fillId="7" borderId="41" xfId="0" applyNumberFormat="1" applyFont="1" applyFill="1" applyBorder="1" applyAlignment="1">
      <alignment horizontal="center" vertical="top" wrapText="1"/>
    </xf>
    <xf numFmtId="49" fontId="3" fillId="4" borderId="33" xfId="0" applyNumberFormat="1" applyFont="1" applyFill="1" applyBorder="1" applyAlignment="1">
      <alignment vertical="top" wrapText="1"/>
    </xf>
    <xf numFmtId="49" fontId="3" fillId="5" borderId="4" xfId="0" applyNumberFormat="1" applyFont="1" applyFill="1" applyBorder="1" applyAlignment="1">
      <alignment vertical="top" wrapText="1"/>
    </xf>
    <xf numFmtId="49" fontId="3" fillId="6" borderId="37" xfId="0" applyNumberFormat="1" applyFont="1" applyFill="1" applyBorder="1" applyAlignment="1">
      <alignment horizontal="center" vertical="top" wrapText="1"/>
    </xf>
    <xf numFmtId="49" fontId="3" fillId="0" borderId="46" xfId="0" applyNumberFormat="1" applyFont="1" applyBorder="1" applyAlignment="1">
      <alignment horizontal="center" vertical="top" wrapText="1"/>
    </xf>
    <xf numFmtId="164" fontId="1" fillId="8" borderId="33" xfId="0" applyNumberFormat="1" applyFont="1" applyFill="1" applyBorder="1" applyAlignment="1">
      <alignment horizontal="center" vertical="top" wrapText="1"/>
    </xf>
    <xf numFmtId="3" fontId="1" fillId="0" borderId="56" xfId="0" applyNumberFormat="1" applyFont="1" applyFill="1" applyBorder="1" applyAlignment="1">
      <alignment horizontal="center" vertical="top" wrapText="1"/>
    </xf>
    <xf numFmtId="49" fontId="1" fillId="6" borderId="43" xfId="0" applyNumberFormat="1" applyFont="1" applyFill="1" applyBorder="1" applyAlignment="1">
      <alignment horizontal="center" vertical="top" wrapText="1"/>
    </xf>
    <xf numFmtId="164" fontId="1" fillId="8" borderId="31" xfId="0" applyNumberFormat="1" applyFont="1" applyFill="1" applyBorder="1" applyAlignment="1">
      <alignment horizontal="center" vertical="top" wrapText="1"/>
    </xf>
    <xf numFmtId="3" fontId="1" fillId="8" borderId="31" xfId="0" applyNumberFormat="1" applyFont="1" applyFill="1" applyBorder="1" applyAlignment="1">
      <alignment horizontal="left" vertical="center" wrapText="1"/>
    </xf>
    <xf numFmtId="164" fontId="3" fillId="7" borderId="61" xfId="0" applyNumberFormat="1" applyFont="1" applyFill="1" applyBorder="1" applyAlignment="1">
      <alignment horizontal="center" vertical="top" wrapText="1"/>
    </xf>
    <xf numFmtId="3" fontId="1" fillId="0" borderId="55" xfId="0" applyNumberFormat="1" applyFont="1" applyFill="1" applyBorder="1" applyAlignment="1">
      <alignment vertical="top" wrapText="1"/>
    </xf>
    <xf numFmtId="164" fontId="6" fillId="8" borderId="27" xfId="0" applyNumberFormat="1" applyFont="1" applyFill="1" applyBorder="1" applyAlignment="1">
      <alignment horizontal="center" vertical="top"/>
    </xf>
    <xf numFmtId="3" fontId="1" fillId="0" borderId="64" xfId="0" applyNumberFormat="1" applyFont="1" applyFill="1" applyBorder="1" applyAlignment="1">
      <alignment horizontal="center" vertical="top" wrapText="1"/>
    </xf>
    <xf numFmtId="164" fontId="7" fillId="8" borderId="27" xfId="0" applyNumberFormat="1" applyFont="1" applyFill="1" applyBorder="1" applyAlignment="1">
      <alignment horizontal="center" vertical="top"/>
    </xf>
    <xf numFmtId="3" fontId="1" fillId="0" borderId="61" xfId="0" applyNumberFormat="1" applyFont="1" applyFill="1" applyBorder="1" applyAlignment="1">
      <alignment horizontal="left" vertical="top" wrapText="1"/>
    </xf>
    <xf numFmtId="3" fontId="1" fillId="0" borderId="65" xfId="0" applyNumberFormat="1" applyFont="1" applyFill="1" applyBorder="1" applyAlignment="1">
      <alignment horizontal="center" vertical="top" wrapText="1"/>
    </xf>
    <xf numFmtId="164" fontId="6" fillId="8" borderId="31" xfId="0" applyNumberFormat="1" applyFont="1" applyFill="1" applyBorder="1" applyAlignment="1">
      <alignment horizontal="center" vertical="top"/>
    </xf>
    <xf numFmtId="3" fontId="3" fillId="7" borderId="53" xfId="0" applyNumberFormat="1" applyFont="1" applyFill="1" applyBorder="1" applyAlignment="1">
      <alignment horizontal="center" vertical="top"/>
    </xf>
    <xf numFmtId="164" fontId="3" fillId="7" borderId="40" xfId="0" applyNumberFormat="1" applyFont="1" applyFill="1" applyBorder="1" applyAlignment="1">
      <alignment horizontal="center" vertical="top" wrapText="1"/>
    </xf>
    <xf numFmtId="3" fontId="3" fillId="0" borderId="62" xfId="0" applyNumberFormat="1" applyFont="1" applyFill="1" applyBorder="1" applyAlignment="1">
      <alignment horizontal="center" vertical="top" wrapText="1"/>
    </xf>
    <xf numFmtId="3" fontId="1" fillId="0" borderId="33" xfId="0" applyNumberFormat="1" applyFont="1" applyBorder="1" applyAlignment="1">
      <alignment vertical="top" wrapText="1"/>
    </xf>
    <xf numFmtId="3" fontId="3" fillId="0" borderId="52" xfId="0" applyNumberFormat="1" applyFont="1" applyFill="1" applyBorder="1" applyAlignment="1">
      <alignment horizontal="center" vertical="top" wrapText="1"/>
    </xf>
    <xf numFmtId="164" fontId="3" fillId="7" borderId="15" xfId="0" applyNumberFormat="1" applyFont="1" applyFill="1" applyBorder="1" applyAlignment="1">
      <alignment horizontal="center" vertical="top" wrapText="1"/>
    </xf>
    <xf numFmtId="3" fontId="1" fillId="0" borderId="51" xfId="0" applyNumberFormat="1" applyFont="1" applyFill="1" applyBorder="1" applyAlignment="1">
      <alignment vertical="top" wrapText="1"/>
    </xf>
    <xf numFmtId="49" fontId="1" fillId="4" borderId="38" xfId="0" applyNumberFormat="1" applyFont="1" applyFill="1" applyBorder="1" applyAlignment="1">
      <alignment vertical="top" wrapText="1"/>
    </xf>
    <xf numFmtId="49" fontId="1" fillId="5" borderId="20" xfId="0" applyNumberFormat="1" applyFont="1" applyFill="1" applyBorder="1" applyAlignment="1">
      <alignment vertical="top" wrapText="1"/>
    </xf>
    <xf numFmtId="49" fontId="1" fillId="6" borderId="45" xfId="0" applyNumberFormat="1" applyFont="1" applyFill="1" applyBorder="1" applyAlignment="1">
      <alignment horizontal="center" vertical="top" wrapText="1"/>
    </xf>
    <xf numFmtId="3" fontId="1" fillId="0" borderId="51" xfId="0" applyNumberFormat="1" applyFont="1" applyFill="1" applyBorder="1" applyAlignment="1">
      <alignment vertical="center" textRotation="90" wrapText="1"/>
    </xf>
    <xf numFmtId="164" fontId="1" fillId="8" borderId="31" xfId="0" applyNumberFormat="1" applyFont="1" applyFill="1" applyBorder="1" applyAlignment="1">
      <alignment horizontal="center" vertical="top"/>
    </xf>
    <xf numFmtId="3" fontId="3" fillId="8" borderId="36" xfId="0" applyNumberFormat="1" applyFont="1" applyFill="1" applyBorder="1" applyAlignment="1">
      <alignment horizontal="left" vertical="top" wrapText="1"/>
    </xf>
    <xf numFmtId="3" fontId="1" fillId="0" borderId="35" xfId="0" applyNumberFormat="1" applyFont="1" applyFill="1" applyBorder="1" applyAlignment="1">
      <alignment vertical="center" textRotation="90" wrapText="1"/>
    </xf>
    <xf numFmtId="3" fontId="3" fillId="0" borderId="9" xfId="0" applyNumberFormat="1" applyFont="1" applyFill="1" applyBorder="1" applyAlignment="1">
      <alignment horizontal="center" vertical="top" wrapText="1"/>
    </xf>
    <xf numFmtId="3" fontId="1" fillId="0" borderId="8" xfId="0" applyNumberFormat="1" applyFont="1" applyBorder="1" applyAlignment="1">
      <alignment horizontal="center" vertical="top"/>
    </xf>
    <xf numFmtId="164" fontId="1" fillId="0" borderId="7" xfId="0" applyNumberFormat="1" applyFont="1" applyFill="1" applyBorder="1" applyAlignment="1">
      <alignment horizontal="center" vertical="top" wrapText="1"/>
    </xf>
    <xf numFmtId="3" fontId="1" fillId="0" borderId="67" xfId="0" applyNumberFormat="1" applyFont="1" applyFill="1" applyBorder="1" applyAlignment="1">
      <alignment horizontal="center" vertical="top" wrapText="1"/>
    </xf>
    <xf numFmtId="3" fontId="1" fillId="0" borderId="0" xfId="0" applyNumberFormat="1" applyFont="1" applyBorder="1" applyAlignment="1">
      <alignment horizontal="center" vertical="top"/>
    </xf>
    <xf numFmtId="164" fontId="1" fillId="8" borderId="27" xfId="0" applyNumberFormat="1" applyFont="1" applyFill="1" applyBorder="1" applyAlignment="1">
      <alignment horizontal="center" vertical="top" wrapText="1"/>
    </xf>
    <xf numFmtId="3" fontId="1" fillId="8" borderId="45" xfId="0" applyNumberFormat="1" applyFont="1" applyFill="1" applyBorder="1" applyAlignment="1">
      <alignment horizontal="center" vertical="top"/>
    </xf>
    <xf numFmtId="3" fontId="1" fillId="0" borderId="0" xfId="0" applyNumberFormat="1" applyFont="1" applyBorder="1" applyAlignment="1">
      <alignment horizontal="left" vertical="top"/>
    </xf>
    <xf numFmtId="49" fontId="3" fillId="5" borderId="59" xfId="0" applyNumberFormat="1" applyFont="1" applyFill="1" applyBorder="1" applyAlignment="1">
      <alignment horizontal="center" vertical="top"/>
    </xf>
    <xf numFmtId="49" fontId="3" fillId="4" borderId="30" xfId="0" applyNumberFormat="1" applyFont="1" applyFill="1" applyBorder="1" applyAlignment="1">
      <alignment horizontal="center" vertical="top"/>
    </xf>
    <xf numFmtId="3" fontId="5" fillId="8" borderId="0" xfId="0" applyNumberFormat="1" applyFont="1" applyFill="1" applyBorder="1" applyAlignment="1">
      <alignment vertical="top" wrapText="1"/>
    </xf>
    <xf numFmtId="164" fontId="1" fillId="8" borderId="7" xfId="0" applyNumberFormat="1" applyFont="1" applyFill="1" applyBorder="1" applyAlignment="1">
      <alignment horizontal="center" vertical="top"/>
    </xf>
    <xf numFmtId="164" fontId="1" fillId="0" borderId="9" xfId="0" applyNumberFormat="1" applyFont="1" applyFill="1" applyBorder="1" applyAlignment="1">
      <alignment horizontal="center" vertical="top"/>
    </xf>
    <xf numFmtId="49" fontId="3" fillId="6" borderId="42" xfId="0" applyNumberFormat="1" applyFont="1" applyFill="1" applyBorder="1" applyAlignment="1">
      <alignment vertical="top"/>
    </xf>
    <xf numFmtId="164" fontId="3" fillId="7" borderId="60" xfId="0" applyNumberFormat="1" applyFont="1" applyFill="1" applyBorder="1" applyAlignment="1">
      <alignment horizontal="center" vertical="top"/>
    </xf>
    <xf numFmtId="3" fontId="1" fillId="0" borderId="36" xfId="0" applyNumberFormat="1" applyFont="1" applyFill="1" applyBorder="1" applyAlignment="1">
      <alignment horizontal="center" vertical="top"/>
    </xf>
    <xf numFmtId="164" fontId="1" fillId="0" borderId="7" xfId="0" applyNumberFormat="1" applyFont="1" applyBorder="1" applyAlignment="1">
      <alignment horizontal="center" vertical="top"/>
    </xf>
    <xf numFmtId="3" fontId="1" fillId="8" borderId="0" xfId="0" applyNumberFormat="1" applyFont="1" applyFill="1" applyBorder="1" applyAlignment="1">
      <alignment horizontal="center" vertical="center"/>
    </xf>
    <xf numFmtId="3" fontId="3" fillId="7" borderId="22" xfId="0" applyNumberFormat="1" applyFont="1" applyFill="1" applyBorder="1" applyAlignment="1">
      <alignment horizontal="center" vertical="top"/>
    </xf>
    <xf numFmtId="164" fontId="3" fillId="7" borderId="38" xfId="0" applyNumberFormat="1" applyFont="1" applyFill="1" applyBorder="1" applyAlignment="1">
      <alignment horizontal="center" vertical="top"/>
    </xf>
    <xf numFmtId="49" fontId="3" fillId="3" borderId="24" xfId="0" applyNumberFormat="1" applyFont="1" applyFill="1" applyBorder="1" applyAlignment="1">
      <alignment vertical="top"/>
    </xf>
    <xf numFmtId="49" fontId="1" fillId="0" borderId="0" xfId="0" applyNumberFormat="1" applyFont="1" applyFill="1" applyBorder="1" applyAlignment="1">
      <alignment vertical="top"/>
    </xf>
    <xf numFmtId="49" fontId="1" fillId="0" borderId="0" xfId="0" applyNumberFormat="1" applyFont="1" applyAlignment="1">
      <alignment vertical="top"/>
    </xf>
    <xf numFmtId="3" fontId="3" fillId="0" borderId="0" xfId="0" applyNumberFormat="1" applyFont="1" applyFill="1" applyBorder="1" applyAlignment="1">
      <alignment horizontal="left" vertical="top" wrapText="1"/>
    </xf>
    <xf numFmtId="3" fontId="3" fillId="0" borderId="0" xfId="0" applyNumberFormat="1" applyFont="1" applyFill="1" applyBorder="1" applyAlignment="1">
      <alignment horizontal="center" vertical="top" wrapText="1"/>
    </xf>
    <xf numFmtId="3" fontId="3" fillId="6" borderId="0" xfId="0" applyNumberFormat="1" applyFont="1" applyFill="1" applyBorder="1" applyAlignment="1">
      <alignment horizontal="left" vertical="center" wrapText="1"/>
    </xf>
    <xf numFmtId="3" fontId="3" fillId="6" borderId="0" xfId="0" applyNumberFormat="1" applyFont="1" applyFill="1" applyBorder="1" applyAlignment="1">
      <alignment horizontal="left" vertical="top" wrapText="1"/>
    </xf>
    <xf numFmtId="3" fontId="1" fillId="6" borderId="0" xfId="0" applyNumberFormat="1" applyFont="1" applyFill="1" applyBorder="1" applyAlignment="1">
      <alignment horizontal="left" vertical="top" wrapText="1"/>
    </xf>
    <xf numFmtId="164" fontId="1" fillId="0" borderId="61" xfId="0" applyNumberFormat="1" applyFont="1" applyBorder="1" applyAlignment="1">
      <alignment horizontal="center" vertical="top" wrapText="1"/>
    </xf>
    <xf numFmtId="49" fontId="1" fillId="0" borderId="0" xfId="0" applyNumberFormat="1" applyFont="1"/>
    <xf numFmtId="3" fontId="3" fillId="6" borderId="0" xfId="0" applyNumberFormat="1" applyFont="1" applyFill="1" applyBorder="1" applyAlignment="1">
      <alignment horizontal="left" vertical="top"/>
    </xf>
    <xf numFmtId="49" fontId="3" fillId="6" borderId="43" xfId="0" applyNumberFormat="1" applyFont="1" applyFill="1" applyBorder="1" applyAlignment="1">
      <alignment horizontal="center" vertical="top"/>
    </xf>
    <xf numFmtId="3" fontId="1" fillId="8" borderId="31" xfId="0" applyNumberFormat="1" applyFont="1" applyFill="1" applyBorder="1" applyAlignment="1">
      <alignment horizontal="center" vertical="top"/>
    </xf>
    <xf numFmtId="3" fontId="1" fillId="8" borderId="11" xfId="0" applyNumberFormat="1" applyFont="1" applyFill="1" applyBorder="1" applyAlignment="1">
      <alignment horizontal="center" vertical="top"/>
    </xf>
    <xf numFmtId="3" fontId="1" fillId="8" borderId="27" xfId="0" applyNumberFormat="1" applyFont="1" applyFill="1" applyBorder="1" applyAlignment="1">
      <alignment horizontal="center" vertical="top"/>
    </xf>
    <xf numFmtId="3" fontId="1" fillId="0" borderId="40" xfId="0" applyNumberFormat="1" applyFont="1" applyBorder="1" applyAlignment="1">
      <alignment horizontal="center" vertical="top"/>
    </xf>
    <xf numFmtId="3" fontId="1" fillId="0" borderId="61" xfId="0" applyNumberFormat="1" applyFont="1" applyFill="1" applyBorder="1" applyAlignment="1">
      <alignment horizontal="center" vertical="top"/>
    </xf>
    <xf numFmtId="3" fontId="1" fillId="0" borderId="27" xfId="0" applyNumberFormat="1" applyFont="1" applyFill="1" applyBorder="1" applyAlignment="1">
      <alignment horizontal="center" vertical="top"/>
    </xf>
    <xf numFmtId="3" fontId="1" fillId="0" borderId="63" xfId="0" applyNumberFormat="1" applyFont="1" applyFill="1" applyBorder="1" applyAlignment="1">
      <alignment horizontal="center" vertical="top"/>
    </xf>
    <xf numFmtId="3" fontId="3" fillId="7" borderId="40" xfId="0" applyNumberFormat="1" applyFont="1" applyFill="1" applyBorder="1" applyAlignment="1">
      <alignment horizontal="center" vertical="top"/>
    </xf>
    <xf numFmtId="3" fontId="1" fillId="8" borderId="61" xfId="0" applyNumberFormat="1" applyFont="1" applyFill="1" applyBorder="1" applyAlignment="1">
      <alignment horizontal="center" vertical="top" wrapText="1"/>
    </xf>
    <xf numFmtId="3" fontId="1" fillId="8" borderId="31" xfId="0" applyNumberFormat="1" applyFont="1" applyFill="1" applyBorder="1" applyAlignment="1">
      <alignment horizontal="center" vertical="top" wrapText="1"/>
    </xf>
    <xf numFmtId="3" fontId="3" fillId="7" borderId="61" xfId="0" applyNumberFormat="1" applyFont="1" applyFill="1" applyBorder="1" applyAlignment="1">
      <alignment horizontal="center" vertical="top"/>
    </xf>
    <xf numFmtId="49" fontId="1" fillId="6" borderId="44" xfId="0" applyNumberFormat="1" applyFont="1" applyFill="1" applyBorder="1" applyAlignment="1">
      <alignment horizontal="center" vertical="top" wrapText="1"/>
    </xf>
    <xf numFmtId="3" fontId="1" fillId="0" borderId="27" xfId="0" applyNumberFormat="1" applyFont="1" applyBorder="1" applyAlignment="1">
      <alignment horizontal="center" vertical="top"/>
    </xf>
    <xf numFmtId="3" fontId="1" fillId="8" borderId="40" xfId="0" applyNumberFormat="1" applyFont="1" applyFill="1" applyBorder="1" applyAlignment="1">
      <alignment horizontal="center" vertical="top" wrapText="1"/>
    </xf>
    <xf numFmtId="3" fontId="1" fillId="0" borderId="15" xfId="0" applyNumberFormat="1" applyFont="1" applyFill="1" applyBorder="1" applyAlignment="1">
      <alignment vertical="top" wrapText="1"/>
    </xf>
    <xf numFmtId="3" fontId="3" fillId="7" borderId="41" xfId="0" applyNumberFormat="1" applyFont="1" applyFill="1" applyBorder="1" applyAlignment="1">
      <alignment horizontal="center" vertical="top"/>
    </xf>
    <xf numFmtId="3" fontId="1" fillId="0" borderId="7" xfId="0" applyNumberFormat="1" applyFont="1" applyBorder="1" applyAlignment="1">
      <alignment horizontal="center" vertical="top"/>
    </xf>
    <xf numFmtId="49" fontId="3" fillId="6" borderId="44" xfId="0" applyNumberFormat="1" applyFont="1" applyFill="1" applyBorder="1" applyAlignment="1">
      <alignment horizontal="center" vertical="top" wrapText="1"/>
    </xf>
    <xf numFmtId="3" fontId="1" fillId="0" borderId="23" xfId="0" applyNumberFormat="1" applyFont="1" applyFill="1" applyBorder="1" applyAlignment="1">
      <alignment vertical="center" textRotation="90" wrapText="1"/>
    </xf>
    <xf numFmtId="3" fontId="3" fillId="0" borderId="47" xfId="0" applyNumberFormat="1" applyFont="1" applyFill="1" applyBorder="1" applyAlignment="1">
      <alignment horizontal="center" vertical="top" wrapText="1"/>
    </xf>
    <xf numFmtId="3" fontId="1" fillId="0" borderId="14" xfId="0" applyNumberFormat="1" applyFont="1" applyFill="1" applyBorder="1" applyAlignment="1">
      <alignment horizontal="center" vertical="top"/>
    </xf>
    <xf numFmtId="49" fontId="3" fillId="4" borderId="55" xfId="0" applyNumberFormat="1" applyFont="1" applyFill="1" applyBorder="1" applyAlignment="1">
      <alignment horizontal="center" vertical="top"/>
    </xf>
    <xf numFmtId="49" fontId="3" fillId="5" borderId="63" xfId="0" applyNumberFormat="1" applyFont="1" applyFill="1" applyBorder="1" applyAlignment="1">
      <alignment horizontal="center" vertical="top"/>
    </xf>
    <xf numFmtId="3" fontId="1" fillId="6" borderId="58" xfId="0" applyNumberFormat="1" applyFont="1" applyFill="1" applyBorder="1" applyAlignment="1">
      <alignment horizontal="left" vertical="top" wrapText="1"/>
    </xf>
    <xf numFmtId="3" fontId="1" fillId="0" borderId="31" xfId="0" applyNumberFormat="1" applyFont="1" applyBorder="1" applyAlignment="1">
      <alignment vertical="top" wrapText="1"/>
    </xf>
    <xf numFmtId="3" fontId="1" fillId="0" borderId="71" xfId="0" applyNumberFormat="1" applyFont="1" applyFill="1" applyBorder="1" applyAlignment="1">
      <alignment horizontal="center" vertical="top" wrapText="1"/>
    </xf>
    <xf numFmtId="3" fontId="9" fillId="0" borderId="0" xfId="0" applyNumberFormat="1" applyFont="1" applyAlignment="1">
      <alignment vertical="top" wrapText="1"/>
    </xf>
    <xf numFmtId="3" fontId="10" fillId="0" borderId="0" xfId="0" applyNumberFormat="1" applyFont="1"/>
    <xf numFmtId="3" fontId="9" fillId="0" borderId="0" xfId="0" applyNumberFormat="1" applyFont="1" applyAlignment="1">
      <alignment vertical="top"/>
    </xf>
    <xf numFmtId="3" fontId="1" fillId="6" borderId="50" xfId="0" applyNumberFormat="1" applyFont="1" applyFill="1" applyBorder="1" applyAlignment="1">
      <alignment horizontal="left" vertical="top" wrapText="1"/>
    </xf>
    <xf numFmtId="3" fontId="1" fillId="8" borderId="0" xfId="0" applyNumberFormat="1" applyFont="1" applyFill="1" applyBorder="1" applyAlignment="1">
      <alignment horizontal="center" vertical="top"/>
    </xf>
    <xf numFmtId="164" fontId="0" fillId="0" borderId="0" xfId="0" applyNumberFormat="1"/>
    <xf numFmtId="164" fontId="3" fillId="7" borderId="62" xfId="0" applyNumberFormat="1" applyFont="1" applyFill="1" applyBorder="1" applyAlignment="1">
      <alignment horizontal="center" vertical="top" wrapText="1"/>
    </xf>
    <xf numFmtId="164" fontId="3" fillId="7" borderId="17" xfId="0" applyNumberFormat="1" applyFont="1" applyFill="1" applyBorder="1" applyAlignment="1">
      <alignment horizontal="center" vertical="top" wrapText="1"/>
    </xf>
    <xf numFmtId="3" fontId="3" fillId="0" borderId="37" xfId="0" applyNumberFormat="1" applyFont="1" applyFill="1" applyBorder="1" applyAlignment="1">
      <alignment horizontal="center" vertical="top" wrapText="1"/>
    </xf>
    <xf numFmtId="164" fontId="1" fillId="6" borderId="62" xfId="0" applyNumberFormat="1" applyFont="1" applyFill="1" applyBorder="1" applyAlignment="1">
      <alignment horizontal="center" vertical="top" wrapText="1"/>
    </xf>
    <xf numFmtId="49" fontId="3" fillId="5" borderId="32" xfId="0" applyNumberFormat="1" applyFont="1" applyFill="1" applyBorder="1" applyAlignment="1">
      <alignment horizontal="center" vertical="top"/>
    </xf>
    <xf numFmtId="3" fontId="1" fillId="6" borderId="33" xfId="0" applyNumberFormat="1" applyFont="1" applyFill="1" applyBorder="1" applyAlignment="1">
      <alignment horizontal="center" vertical="top" wrapText="1"/>
    </xf>
    <xf numFmtId="3" fontId="1" fillId="0" borderId="56" xfId="0" applyNumberFormat="1" applyFont="1" applyFill="1" applyBorder="1" applyAlignment="1">
      <alignment horizontal="center" vertical="top"/>
    </xf>
    <xf numFmtId="3" fontId="1" fillId="0" borderId="12" xfId="0" applyNumberFormat="1" applyFont="1" applyFill="1" applyBorder="1" applyAlignment="1">
      <alignment horizontal="center" vertical="top"/>
    </xf>
    <xf numFmtId="3" fontId="1" fillId="0" borderId="20" xfId="0" applyNumberFormat="1" applyFont="1" applyFill="1" applyBorder="1" applyAlignment="1">
      <alignment horizontal="center" vertical="top"/>
    </xf>
    <xf numFmtId="164" fontId="1" fillId="0" borderId="61" xfId="0" applyNumberFormat="1" applyFont="1" applyFill="1" applyBorder="1" applyAlignment="1">
      <alignment horizontal="center" vertical="top"/>
    </xf>
    <xf numFmtId="3" fontId="2" fillId="8" borderId="0" xfId="0" applyNumberFormat="1" applyFont="1" applyFill="1"/>
    <xf numFmtId="3" fontId="1" fillId="8" borderId="0" xfId="0" applyNumberFormat="1" applyFont="1" applyFill="1"/>
    <xf numFmtId="3" fontId="1" fillId="0" borderId="40" xfId="0" applyNumberFormat="1" applyFont="1" applyFill="1" applyBorder="1" applyAlignment="1">
      <alignment horizontal="left" vertical="top" wrapText="1"/>
    </xf>
    <xf numFmtId="3" fontId="1" fillId="0" borderId="31" xfId="0" applyNumberFormat="1" applyFont="1" applyFill="1" applyBorder="1" applyAlignment="1">
      <alignment horizontal="left" vertical="top" wrapText="1"/>
    </xf>
    <xf numFmtId="3" fontId="1" fillId="0" borderId="27" xfId="0" applyNumberFormat="1" applyFont="1" applyFill="1" applyBorder="1" applyAlignment="1">
      <alignment horizontal="left" vertical="top" wrapText="1"/>
    </xf>
    <xf numFmtId="164" fontId="14" fillId="0" borderId="0" xfId="0" applyNumberFormat="1" applyFont="1"/>
    <xf numFmtId="164" fontId="15" fillId="0" borderId="0" xfId="0" applyNumberFormat="1" applyFont="1"/>
    <xf numFmtId="3" fontId="1" fillId="8" borderId="45" xfId="0" applyNumberFormat="1" applyFont="1" applyFill="1" applyBorder="1" applyAlignment="1">
      <alignment vertical="top" wrapText="1"/>
    </xf>
    <xf numFmtId="164" fontId="3" fillId="7" borderId="47" xfId="0" applyNumberFormat="1" applyFont="1" applyFill="1" applyBorder="1" applyAlignment="1">
      <alignment horizontal="center" vertical="top"/>
    </xf>
    <xf numFmtId="164" fontId="3" fillId="7" borderId="52" xfId="0" applyNumberFormat="1" applyFont="1" applyFill="1" applyBorder="1" applyAlignment="1">
      <alignment horizontal="center" vertical="top"/>
    </xf>
    <xf numFmtId="164" fontId="1" fillId="0" borderId="3" xfId="0" applyNumberFormat="1" applyFont="1" applyFill="1" applyBorder="1" applyAlignment="1">
      <alignment horizontal="center" vertical="top"/>
    </xf>
    <xf numFmtId="164" fontId="3" fillId="7" borderId="20" xfId="0" applyNumberFormat="1" applyFont="1" applyFill="1" applyBorder="1" applyAlignment="1">
      <alignment horizontal="center" vertical="top"/>
    </xf>
    <xf numFmtId="164" fontId="3" fillId="7" borderId="12" xfId="0" applyNumberFormat="1" applyFont="1" applyFill="1" applyBorder="1" applyAlignment="1">
      <alignment horizontal="center" vertical="top"/>
    </xf>
    <xf numFmtId="164" fontId="1" fillId="8" borderId="27" xfId="0" applyNumberFormat="1" applyFont="1" applyFill="1" applyBorder="1" applyAlignment="1">
      <alignment horizontal="center" vertical="top"/>
    </xf>
    <xf numFmtId="164" fontId="1" fillId="0" borderId="52" xfId="0" applyNumberFormat="1" applyFont="1" applyFill="1" applyBorder="1" applyAlignment="1">
      <alignment horizontal="center" vertical="top"/>
    </xf>
    <xf numFmtId="164" fontId="1" fillId="6" borderId="46" xfId="0" applyNumberFormat="1" applyFont="1" applyFill="1" applyBorder="1" applyAlignment="1">
      <alignment horizontal="center" vertical="top"/>
    </xf>
    <xf numFmtId="164" fontId="1" fillId="8" borderId="8" xfId="0" applyNumberFormat="1" applyFont="1" applyFill="1" applyBorder="1" applyAlignment="1">
      <alignment horizontal="center" vertical="top" wrapText="1"/>
    </xf>
    <xf numFmtId="164" fontId="1" fillId="8" borderId="3" xfId="0" applyNumberFormat="1" applyFont="1" applyFill="1" applyBorder="1" applyAlignment="1">
      <alignment horizontal="center" vertical="top"/>
    </xf>
    <xf numFmtId="164" fontId="1" fillId="0" borderId="12" xfId="0" applyNumberFormat="1" applyFont="1" applyFill="1" applyBorder="1" applyAlignment="1">
      <alignment horizontal="center" vertical="top"/>
    </xf>
    <xf numFmtId="164" fontId="1" fillId="6" borderId="4" xfId="0" applyNumberFormat="1" applyFont="1" applyFill="1" applyBorder="1" applyAlignment="1">
      <alignment horizontal="center" vertical="top"/>
    </xf>
    <xf numFmtId="164" fontId="1" fillId="8" borderId="3" xfId="0" applyNumberFormat="1" applyFont="1" applyFill="1" applyBorder="1" applyAlignment="1">
      <alignment horizontal="center" vertical="top" wrapText="1"/>
    </xf>
    <xf numFmtId="164" fontId="3" fillId="7" borderId="56" xfId="0" applyNumberFormat="1" applyFont="1" applyFill="1" applyBorder="1" applyAlignment="1">
      <alignment horizontal="center" vertical="top" wrapText="1"/>
    </xf>
    <xf numFmtId="164" fontId="1" fillId="8" borderId="4" xfId="0" applyNumberFormat="1" applyFont="1" applyFill="1" applyBorder="1" applyAlignment="1">
      <alignment horizontal="center" vertical="top" wrapText="1"/>
    </xf>
    <xf numFmtId="164" fontId="3" fillId="7" borderId="11" xfId="0" applyNumberFormat="1" applyFont="1" applyFill="1" applyBorder="1" applyAlignment="1">
      <alignment horizontal="center" vertical="top" wrapText="1"/>
    </xf>
    <xf numFmtId="164" fontId="1" fillId="8" borderId="12" xfId="0" applyNumberFormat="1" applyFont="1" applyFill="1" applyBorder="1" applyAlignment="1">
      <alignment horizontal="center" vertical="top" wrapText="1"/>
    </xf>
    <xf numFmtId="164" fontId="3" fillId="7" borderId="19" xfId="0" applyNumberFormat="1" applyFont="1" applyFill="1" applyBorder="1" applyAlignment="1">
      <alignment horizontal="center" vertical="top" wrapText="1"/>
    </xf>
    <xf numFmtId="164" fontId="1" fillId="8" borderId="63" xfId="0" applyNumberFormat="1" applyFont="1" applyFill="1" applyBorder="1" applyAlignment="1">
      <alignment horizontal="center" vertical="top" wrapText="1"/>
    </xf>
    <xf numFmtId="164" fontId="3" fillId="7" borderId="19" xfId="0" applyNumberFormat="1" applyFont="1" applyFill="1" applyBorder="1" applyAlignment="1">
      <alignment horizontal="center" vertical="top"/>
    </xf>
    <xf numFmtId="164" fontId="1" fillId="8" borderId="9" xfId="0" applyNumberFormat="1" applyFont="1" applyFill="1" applyBorder="1" applyAlignment="1">
      <alignment horizontal="center" vertical="top" wrapText="1"/>
    </xf>
    <xf numFmtId="3" fontId="3" fillId="0" borderId="69" xfId="0" applyNumberFormat="1" applyFont="1" applyBorder="1" applyAlignment="1">
      <alignment vertical="top"/>
    </xf>
    <xf numFmtId="3" fontId="3" fillId="0" borderId="54" xfId="0" applyNumberFormat="1" applyFont="1" applyBorder="1" applyAlignment="1">
      <alignment horizontal="center" vertical="top"/>
    </xf>
    <xf numFmtId="3" fontId="3" fillId="0" borderId="74" xfId="0" applyNumberFormat="1" applyFont="1" applyBorder="1" applyAlignment="1">
      <alignment vertical="top"/>
    </xf>
    <xf numFmtId="3" fontId="3" fillId="0" borderId="60" xfId="0" applyNumberFormat="1" applyFont="1" applyFill="1" applyBorder="1" applyAlignment="1">
      <alignment horizontal="center" vertical="center" wrapText="1"/>
    </xf>
    <xf numFmtId="164" fontId="1" fillId="0" borderId="56" xfId="0" applyNumberFormat="1" applyFont="1" applyFill="1" applyBorder="1" applyAlignment="1">
      <alignment horizontal="center" vertical="top"/>
    </xf>
    <xf numFmtId="164" fontId="3" fillId="5" borderId="4" xfId="0" applyNumberFormat="1" applyFont="1" applyFill="1" applyBorder="1" applyAlignment="1">
      <alignment horizontal="center" vertical="top"/>
    </xf>
    <xf numFmtId="164" fontId="3" fillId="5" borderId="69" xfId="0" applyNumberFormat="1" applyFont="1" applyFill="1" applyBorder="1" applyAlignment="1">
      <alignment horizontal="center" vertical="top"/>
    </xf>
    <xf numFmtId="3" fontId="1" fillId="8" borderId="23" xfId="0" applyNumberFormat="1" applyFont="1" applyFill="1" applyBorder="1" applyAlignment="1">
      <alignment vertical="top" wrapText="1"/>
    </xf>
    <xf numFmtId="49" fontId="3" fillId="5" borderId="49" xfId="0" applyNumberFormat="1" applyFont="1" applyFill="1" applyBorder="1" applyAlignment="1">
      <alignment horizontal="center" vertical="top" wrapText="1"/>
    </xf>
    <xf numFmtId="3" fontId="1" fillId="0" borderId="9" xfId="0" applyNumberFormat="1" applyFont="1" applyBorder="1"/>
    <xf numFmtId="3" fontId="1" fillId="0" borderId="7" xfId="0" applyNumberFormat="1" applyFont="1" applyFill="1" applyBorder="1" applyAlignment="1">
      <alignment horizontal="left" vertical="top" wrapText="1"/>
    </xf>
    <xf numFmtId="164" fontId="1" fillId="0" borderId="63" xfId="0" applyNumberFormat="1" applyFont="1" applyFill="1" applyBorder="1" applyAlignment="1">
      <alignment horizontal="center" vertical="top"/>
    </xf>
    <xf numFmtId="164" fontId="1" fillId="0" borderId="29" xfId="0" applyNumberFormat="1" applyFont="1" applyFill="1" applyBorder="1" applyAlignment="1">
      <alignment horizontal="center" vertical="top"/>
    </xf>
    <xf numFmtId="49" fontId="3" fillId="4" borderId="38" xfId="0" applyNumberFormat="1" applyFont="1" applyFill="1" applyBorder="1" applyAlignment="1">
      <alignment horizontal="center" vertical="top" wrapText="1"/>
    </xf>
    <xf numFmtId="49" fontId="3" fillId="5" borderId="44" xfId="0" applyNumberFormat="1" applyFont="1" applyFill="1" applyBorder="1" applyAlignment="1">
      <alignment vertical="top"/>
    </xf>
    <xf numFmtId="0" fontId="15" fillId="0" borderId="0" xfId="0" applyFont="1"/>
    <xf numFmtId="164" fontId="1" fillId="8" borderId="61" xfId="0" applyNumberFormat="1" applyFont="1" applyFill="1" applyBorder="1" applyAlignment="1">
      <alignment horizontal="center" vertical="top"/>
    </xf>
    <xf numFmtId="164" fontId="1" fillId="0" borderId="62" xfId="0" applyNumberFormat="1" applyFont="1" applyFill="1" applyBorder="1" applyAlignment="1">
      <alignment horizontal="center" vertical="top"/>
    </xf>
    <xf numFmtId="164" fontId="1" fillId="8" borderId="17" xfId="0" applyNumberFormat="1" applyFont="1" applyFill="1" applyBorder="1" applyAlignment="1">
      <alignment horizontal="center" vertical="top" wrapText="1"/>
    </xf>
    <xf numFmtId="164" fontId="3" fillId="7" borderId="10" xfId="0" applyNumberFormat="1" applyFont="1" applyFill="1" applyBorder="1" applyAlignment="1">
      <alignment horizontal="center" vertical="top" wrapText="1"/>
    </xf>
    <xf numFmtId="164" fontId="6" fillId="8" borderId="29" xfId="0" applyNumberFormat="1" applyFont="1" applyFill="1" applyBorder="1" applyAlignment="1">
      <alignment horizontal="center" vertical="top"/>
    </xf>
    <xf numFmtId="164" fontId="6" fillId="8" borderId="52" xfId="0" applyNumberFormat="1" applyFont="1" applyFill="1" applyBorder="1" applyAlignment="1">
      <alignment horizontal="center" vertical="top"/>
    </xf>
    <xf numFmtId="164" fontId="6" fillId="8" borderId="65" xfId="0" applyNumberFormat="1" applyFont="1" applyFill="1" applyBorder="1" applyAlignment="1">
      <alignment horizontal="center" vertical="top"/>
    </xf>
    <xf numFmtId="164" fontId="1" fillId="8" borderId="51" xfId="0" applyNumberFormat="1" applyFont="1" applyFill="1" applyBorder="1" applyAlignment="1">
      <alignment horizontal="center" vertical="top" wrapText="1"/>
    </xf>
    <xf numFmtId="164" fontId="3" fillId="7" borderId="18" xfId="0" applyNumberFormat="1" applyFont="1" applyFill="1" applyBorder="1" applyAlignment="1">
      <alignment horizontal="center" vertical="top" wrapText="1"/>
    </xf>
    <xf numFmtId="164" fontId="3" fillId="7" borderId="39" xfId="0" applyNumberFormat="1" applyFont="1" applyFill="1" applyBorder="1" applyAlignment="1">
      <alignment horizontal="center" vertical="top" wrapText="1"/>
    </xf>
    <xf numFmtId="164" fontId="1" fillId="8" borderId="55" xfId="0" applyNumberFormat="1" applyFont="1" applyFill="1" applyBorder="1" applyAlignment="1">
      <alignment horizontal="center" vertical="top" wrapText="1"/>
    </xf>
    <xf numFmtId="164" fontId="3" fillId="7" borderId="18" xfId="0" applyNumberFormat="1" applyFont="1" applyFill="1" applyBorder="1" applyAlignment="1">
      <alignment horizontal="center" vertical="top"/>
    </xf>
    <xf numFmtId="3" fontId="1" fillId="0" borderId="37" xfId="0" applyNumberFormat="1" applyFont="1" applyBorder="1"/>
    <xf numFmtId="3" fontId="1" fillId="0" borderId="64" xfId="0" applyNumberFormat="1" applyFont="1" applyFill="1" applyBorder="1" applyAlignment="1">
      <alignment horizontal="center" vertical="center" wrapText="1"/>
    </xf>
    <xf numFmtId="3" fontId="3" fillId="0" borderId="55" xfId="0" applyNumberFormat="1" applyFont="1" applyBorder="1" applyAlignment="1">
      <alignment horizontal="center" vertical="top"/>
    </xf>
    <xf numFmtId="3" fontId="1" fillId="0" borderId="2" xfId="0" applyNumberFormat="1" applyFont="1" applyFill="1" applyBorder="1" applyAlignment="1">
      <alignment horizontal="center" vertical="center" textRotation="90" wrapText="1"/>
    </xf>
    <xf numFmtId="164" fontId="1" fillId="0" borderId="3" xfId="0" applyNumberFormat="1" applyFont="1" applyFill="1" applyBorder="1" applyAlignment="1">
      <alignment horizontal="center" vertical="top" wrapText="1"/>
    </xf>
    <xf numFmtId="164" fontId="1" fillId="0" borderId="9" xfId="0" applyNumberFormat="1" applyFont="1" applyFill="1" applyBorder="1" applyAlignment="1">
      <alignment horizontal="center" vertical="top" wrapText="1"/>
    </xf>
    <xf numFmtId="3" fontId="1" fillId="0" borderId="7" xfId="0" applyNumberFormat="1" applyFont="1" applyBorder="1"/>
    <xf numFmtId="3" fontId="3" fillId="0" borderId="74" xfId="0" applyNumberFormat="1" applyFont="1" applyFill="1" applyBorder="1" applyAlignment="1">
      <alignment horizontal="center" vertical="top" wrapText="1"/>
    </xf>
    <xf numFmtId="3" fontId="1" fillId="8" borderId="44" xfId="0" applyNumberFormat="1" applyFont="1" applyFill="1" applyBorder="1" applyAlignment="1">
      <alignment vertical="top" wrapText="1"/>
    </xf>
    <xf numFmtId="3" fontId="1" fillId="0" borderId="42" xfId="0" applyNumberFormat="1" applyFont="1" applyFill="1" applyBorder="1" applyAlignment="1">
      <alignment horizontal="center" vertical="top"/>
    </xf>
    <xf numFmtId="3" fontId="1" fillId="0" borderId="71" xfId="0" applyNumberFormat="1" applyFont="1" applyFill="1" applyBorder="1" applyAlignment="1">
      <alignment horizontal="center" vertical="top"/>
    </xf>
    <xf numFmtId="3" fontId="1" fillId="0" borderId="44" xfId="0" applyNumberFormat="1" applyFont="1" applyFill="1" applyBorder="1" applyAlignment="1">
      <alignment vertical="top"/>
    </xf>
    <xf numFmtId="3" fontId="1" fillId="6" borderId="32" xfId="0" applyNumberFormat="1" applyFont="1" applyFill="1" applyBorder="1" applyAlignment="1">
      <alignment horizontal="center" vertical="top" wrapText="1"/>
    </xf>
    <xf numFmtId="3" fontId="1" fillId="0" borderId="44" xfId="0" applyNumberFormat="1" applyFont="1" applyFill="1" applyBorder="1" applyAlignment="1">
      <alignment horizontal="center" vertical="top"/>
    </xf>
    <xf numFmtId="3" fontId="1" fillId="0" borderId="32" xfId="0" applyNumberFormat="1" applyFont="1" applyBorder="1"/>
    <xf numFmtId="3" fontId="1" fillId="0" borderId="70" xfId="0" applyNumberFormat="1" applyFont="1" applyFill="1" applyBorder="1" applyAlignment="1">
      <alignment horizontal="center" vertical="top" wrapText="1"/>
    </xf>
    <xf numFmtId="3" fontId="1" fillId="8" borderId="42" xfId="0" applyNumberFormat="1" applyFont="1" applyFill="1" applyBorder="1" applyAlignment="1">
      <alignment horizontal="center" vertical="center" wrapText="1"/>
    </xf>
    <xf numFmtId="3" fontId="1" fillId="0" borderId="71" xfId="0" applyNumberFormat="1" applyFont="1" applyFill="1" applyBorder="1" applyAlignment="1">
      <alignment vertical="top" wrapText="1"/>
    </xf>
    <xf numFmtId="3" fontId="1" fillId="0" borderId="13" xfId="0" applyNumberFormat="1" applyFont="1" applyFill="1" applyBorder="1" applyAlignment="1">
      <alignment horizontal="center" vertical="top" wrapText="1"/>
    </xf>
    <xf numFmtId="3" fontId="1" fillId="0" borderId="71" xfId="0" applyNumberFormat="1" applyFont="1" applyFill="1" applyBorder="1" applyAlignment="1">
      <alignment horizontal="center" vertical="center" wrapText="1"/>
    </xf>
    <xf numFmtId="3" fontId="1" fillId="0" borderId="71" xfId="0" applyNumberFormat="1" applyFont="1" applyBorder="1" applyAlignment="1">
      <alignment horizontal="center" vertical="top" wrapText="1"/>
    </xf>
    <xf numFmtId="3" fontId="1" fillId="0" borderId="5" xfId="0" applyNumberFormat="1" applyFont="1" applyFill="1" applyBorder="1" applyAlignment="1">
      <alignment horizontal="center" vertical="top" wrapText="1"/>
    </xf>
    <xf numFmtId="3" fontId="1" fillId="8" borderId="44" xfId="0" applyNumberFormat="1" applyFont="1" applyFill="1" applyBorder="1" applyAlignment="1">
      <alignment horizontal="center" vertical="top"/>
    </xf>
    <xf numFmtId="3" fontId="1" fillId="0" borderId="3" xfId="0" applyNumberFormat="1" applyFont="1" applyBorder="1"/>
    <xf numFmtId="3" fontId="3" fillId="0" borderId="23" xfId="0" applyNumberFormat="1" applyFont="1" applyFill="1" applyBorder="1" applyAlignment="1">
      <alignment vertical="center" textRotation="90" wrapText="1"/>
    </xf>
    <xf numFmtId="3" fontId="1" fillId="0" borderId="33" xfId="0" applyNumberFormat="1" applyFont="1" applyFill="1" applyBorder="1" applyAlignment="1">
      <alignment vertical="center" textRotation="90" wrapText="1"/>
    </xf>
    <xf numFmtId="3" fontId="1" fillId="0" borderId="7" xfId="0" applyNumberFormat="1" applyFont="1" applyFill="1" applyBorder="1" applyAlignment="1">
      <alignment horizontal="center" vertical="top"/>
    </xf>
    <xf numFmtId="164" fontId="1" fillId="8" borderId="35" xfId="0" applyNumberFormat="1" applyFont="1" applyFill="1" applyBorder="1" applyAlignment="1">
      <alignment horizontal="center" vertical="top"/>
    </xf>
    <xf numFmtId="3" fontId="3" fillId="0" borderId="72" xfId="0" applyNumberFormat="1" applyFont="1" applyBorder="1" applyAlignment="1">
      <alignment vertical="top"/>
    </xf>
    <xf numFmtId="49" fontId="3" fillId="6" borderId="43" xfId="0" applyNumberFormat="1" applyFont="1" applyFill="1" applyBorder="1" applyAlignment="1">
      <alignment vertical="top" wrapText="1"/>
    </xf>
    <xf numFmtId="3" fontId="3" fillId="0" borderId="54" xfId="0" applyNumberFormat="1" applyFont="1" applyFill="1" applyBorder="1" applyAlignment="1">
      <alignment horizontal="center" vertical="top" wrapText="1"/>
    </xf>
    <xf numFmtId="3" fontId="1" fillId="0" borderId="8" xfId="0" applyNumberFormat="1" applyFont="1" applyBorder="1"/>
    <xf numFmtId="3" fontId="1" fillId="0" borderId="46" xfId="0" applyNumberFormat="1" applyFont="1" applyFill="1" applyBorder="1" applyAlignment="1">
      <alignment horizontal="center" vertical="top" wrapText="1"/>
    </xf>
    <xf numFmtId="3" fontId="1" fillId="0" borderId="52" xfId="0" applyNumberFormat="1" applyFont="1" applyFill="1" applyBorder="1" applyAlignment="1">
      <alignment horizontal="center" vertical="top" wrapText="1"/>
    </xf>
    <xf numFmtId="0" fontId="1" fillId="0" borderId="52" xfId="0" applyNumberFormat="1" applyFont="1" applyFill="1" applyBorder="1" applyAlignment="1">
      <alignment horizontal="center" vertical="top" wrapText="1"/>
    </xf>
    <xf numFmtId="3" fontId="1" fillId="0" borderId="47" xfId="0" applyNumberFormat="1" applyFont="1" applyFill="1" applyBorder="1" applyAlignment="1">
      <alignment horizontal="center" vertical="top" wrapText="1"/>
    </xf>
    <xf numFmtId="3" fontId="1" fillId="6" borderId="46" xfId="0" applyNumberFormat="1" applyFont="1" applyFill="1" applyBorder="1" applyAlignment="1">
      <alignment horizontal="center" vertical="top" wrapText="1"/>
    </xf>
    <xf numFmtId="164" fontId="1" fillId="6" borderId="0" xfId="0" applyNumberFormat="1" applyFont="1" applyFill="1" applyBorder="1" applyAlignment="1">
      <alignment horizontal="center" vertical="top" wrapText="1"/>
    </xf>
    <xf numFmtId="3" fontId="3" fillId="0" borderId="51" xfId="0" applyNumberFormat="1" applyFont="1" applyFill="1" applyBorder="1" applyAlignment="1">
      <alignment horizontal="center" vertical="top"/>
    </xf>
    <xf numFmtId="3" fontId="3" fillId="0" borderId="52" xfId="0" applyNumberFormat="1" applyFont="1" applyFill="1" applyBorder="1" applyAlignment="1">
      <alignment horizontal="center" vertical="top"/>
    </xf>
    <xf numFmtId="3" fontId="13" fillId="0" borderId="55" xfId="0" applyNumberFormat="1" applyFont="1" applyFill="1" applyBorder="1" applyAlignment="1">
      <alignment horizontal="left" vertical="top" wrapText="1"/>
    </xf>
    <xf numFmtId="3" fontId="13" fillId="0" borderId="71" xfId="0" applyNumberFormat="1" applyFont="1" applyFill="1" applyBorder="1" applyAlignment="1">
      <alignment horizontal="center" vertical="top"/>
    </xf>
    <xf numFmtId="164" fontId="1" fillId="8" borderId="2" xfId="0" applyNumberFormat="1" applyFont="1" applyFill="1" applyBorder="1" applyAlignment="1">
      <alignment horizontal="center" vertical="top"/>
    </xf>
    <xf numFmtId="164" fontId="1" fillId="0" borderId="15" xfId="0" applyNumberFormat="1" applyFont="1" applyFill="1" applyBorder="1" applyAlignment="1">
      <alignment horizontal="center" vertical="top"/>
    </xf>
    <xf numFmtId="3" fontId="1" fillId="0" borderId="70" xfId="0" applyNumberFormat="1" applyFont="1" applyFill="1" applyBorder="1" applyAlignment="1">
      <alignment horizontal="center" vertical="top"/>
    </xf>
    <xf numFmtId="164" fontId="13" fillId="0" borderId="56" xfId="0" applyNumberFormat="1" applyFont="1" applyFill="1" applyBorder="1" applyAlignment="1">
      <alignment horizontal="center" vertical="top"/>
    </xf>
    <xf numFmtId="164" fontId="13" fillId="6" borderId="62" xfId="0" applyNumberFormat="1" applyFont="1" applyFill="1" applyBorder="1" applyAlignment="1">
      <alignment horizontal="center" vertical="top" wrapText="1"/>
    </xf>
    <xf numFmtId="3" fontId="1" fillId="6" borderId="0" xfId="0" applyNumberFormat="1" applyFont="1" applyFill="1" applyBorder="1" applyAlignment="1">
      <alignment horizontal="center" vertical="top" wrapText="1"/>
    </xf>
    <xf numFmtId="3" fontId="3" fillId="6" borderId="0" xfId="0" applyNumberFormat="1" applyFont="1" applyFill="1" applyBorder="1" applyAlignment="1">
      <alignment horizontal="center" vertical="top"/>
    </xf>
    <xf numFmtId="3" fontId="3" fillId="6" borderId="0" xfId="0" applyNumberFormat="1" applyFont="1" applyFill="1" applyBorder="1" applyAlignment="1">
      <alignment horizontal="center" vertical="top" wrapText="1"/>
    </xf>
    <xf numFmtId="3" fontId="3" fillId="6" borderId="0" xfId="0" applyNumberFormat="1" applyFont="1" applyFill="1" applyBorder="1" applyAlignment="1">
      <alignment horizontal="center" vertical="center" wrapText="1"/>
    </xf>
    <xf numFmtId="49" fontId="3" fillId="5" borderId="4" xfId="0" applyNumberFormat="1" applyFont="1" applyFill="1" applyBorder="1" applyAlignment="1">
      <alignment horizontal="center" vertical="top"/>
    </xf>
    <xf numFmtId="49" fontId="3" fillId="5" borderId="20" xfId="0" applyNumberFormat="1" applyFont="1" applyFill="1" applyBorder="1" applyAlignment="1">
      <alignment horizontal="center" vertical="top"/>
    </xf>
    <xf numFmtId="49" fontId="3" fillId="0" borderId="20" xfId="0" applyNumberFormat="1" applyFont="1" applyBorder="1" applyAlignment="1">
      <alignment horizontal="center" vertical="top"/>
    </xf>
    <xf numFmtId="3" fontId="1" fillId="0" borderId="68" xfId="0" applyNumberFormat="1" applyFont="1" applyFill="1" applyBorder="1" applyAlignment="1">
      <alignment horizontal="center" vertical="center" textRotation="90" wrapText="1"/>
    </xf>
    <xf numFmtId="3" fontId="3" fillId="0" borderId="46" xfId="0" applyNumberFormat="1" applyFont="1" applyBorder="1" applyAlignment="1">
      <alignment horizontal="center" vertical="top"/>
    </xf>
    <xf numFmtId="3" fontId="3" fillId="0" borderId="47" xfId="0" applyNumberFormat="1" applyFont="1" applyBorder="1" applyAlignment="1">
      <alignment horizontal="center" vertical="top"/>
    </xf>
    <xf numFmtId="3" fontId="1" fillId="0" borderId="4" xfId="0" applyNumberFormat="1" applyFont="1" applyFill="1" applyBorder="1" applyAlignment="1">
      <alignment horizontal="center" vertical="top" wrapText="1"/>
    </xf>
    <xf numFmtId="3" fontId="3" fillId="7" borderId="41" xfId="0" applyNumberFormat="1" applyFont="1" applyFill="1" applyBorder="1" applyAlignment="1">
      <alignment horizontal="right" vertical="top"/>
    </xf>
    <xf numFmtId="3" fontId="1" fillId="8" borderId="22" xfId="0" applyNumberFormat="1" applyFont="1" applyFill="1" applyBorder="1" applyAlignment="1">
      <alignment horizontal="left" vertical="top" wrapText="1"/>
    </xf>
    <xf numFmtId="49" fontId="3" fillId="6" borderId="43" xfId="0" applyNumberFormat="1" applyFont="1" applyFill="1" applyBorder="1" applyAlignment="1">
      <alignment horizontal="center" vertical="top" wrapText="1"/>
    </xf>
    <xf numFmtId="3" fontId="1" fillId="0" borderId="15" xfId="0" applyNumberFormat="1" applyFont="1" applyFill="1" applyBorder="1" applyAlignment="1">
      <alignment horizontal="left" vertical="top" wrapText="1"/>
    </xf>
    <xf numFmtId="3" fontId="1" fillId="0" borderId="51" xfId="0" applyNumberFormat="1" applyFont="1" applyFill="1" applyBorder="1" applyAlignment="1">
      <alignment horizontal="left" vertical="top" wrapText="1"/>
    </xf>
    <xf numFmtId="3" fontId="1" fillId="0" borderId="32" xfId="0" applyNumberFormat="1" applyFont="1" applyFill="1" applyBorder="1" applyAlignment="1">
      <alignment horizontal="center" vertical="top" wrapText="1"/>
    </xf>
    <xf numFmtId="3" fontId="1" fillId="0" borderId="44" xfId="0" applyNumberFormat="1" applyFont="1" applyFill="1" applyBorder="1" applyAlignment="1">
      <alignment horizontal="center" vertical="top" wrapText="1"/>
    </xf>
    <xf numFmtId="3" fontId="1" fillId="0" borderId="32" xfId="0" applyNumberFormat="1" applyFont="1" applyBorder="1" applyAlignment="1">
      <alignment horizontal="center" vertical="top"/>
    </xf>
    <xf numFmtId="49" fontId="3" fillId="4" borderId="33" xfId="0" applyNumberFormat="1" applyFont="1" applyFill="1" applyBorder="1" applyAlignment="1">
      <alignment horizontal="center" vertical="top"/>
    </xf>
    <xf numFmtId="49" fontId="3" fillId="4" borderId="38" xfId="0" applyNumberFormat="1" applyFont="1" applyFill="1" applyBorder="1" applyAlignment="1">
      <alignment horizontal="center" vertical="top"/>
    </xf>
    <xf numFmtId="49" fontId="3" fillId="6" borderId="34" xfId="0" applyNumberFormat="1" applyFont="1" applyFill="1" applyBorder="1" applyAlignment="1">
      <alignment horizontal="center" vertical="top"/>
    </xf>
    <xf numFmtId="49" fontId="3" fillId="6" borderId="1" xfId="0" applyNumberFormat="1" applyFont="1" applyFill="1" applyBorder="1" applyAlignment="1">
      <alignment horizontal="center" vertical="top"/>
    </xf>
    <xf numFmtId="49" fontId="3" fillId="5" borderId="12" xfId="0" applyNumberFormat="1" applyFont="1" applyFill="1" applyBorder="1" applyAlignment="1">
      <alignment horizontal="center" vertical="top"/>
    </xf>
    <xf numFmtId="3" fontId="1" fillId="8" borderId="14" xfId="0" applyNumberFormat="1" applyFont="1" applyFill="1" applyBorder="1" applyAlignment="1">
      <alignment vertical="top" wrapText="1"/>
    </xf>
    <xf numFmtId="3" fontId="1" fillId="0" borderId="44" xfId="0" applyNumberFormat="1" applyFont="1" applyBorder="1" applyAlignment="1">
      <alignment horizontal="center" vertical="top" wrapText="1"/>
    </xf>
    <xf numFmtId="49" fontId="3" fillId="6" borderId="42" xfId="0" applyNumberFormat="1" applyFont="1" applyFill="1" applyBorder="1" applyAlignment="1">
      <alignment horizontal="center" vertical="top" wrapText="1"/>
    </xf>
    <xf numFmtId="3" fontId="1" fillId="0" borderId="23" xfId="0" applyNumberFormat="1" applyFont="1" applyBorder="1" applyAlignment="1">
      <alignment horizontal="left" vertical="top" wrapText="1"/>
    </xf>
    <xf numFmtId="3" fontId="1" fillId="0" borderId="37" xfId="0" applyNumberFormat="1" applyFont="1" applyFill="1" applyBorder="1" applyAlignment="1">
      <alignment horizontal="center" vertical="top" wrapText="1"/>
    </xf>
    <xf numFmtId="3" fontId="1" fillId="0" borderId="45" xfId="0" applyNumberFormat="1" applyFont="1" applyFill="1" applyBorder="1" applyAlignment="1">
      <alignment horizontal="center" vertical="top" wrapText="1"/>
    </xf>
    <xf numFmtId="3" fontId="1" fillId="8" borderId="32" xfId="0" applyNumberFormat="1" applyFont="1" applyFill="1" applyBorder="1" applyAlignment="1">
      <alignment horizontal="center" vertical="top" wrapText="1"/>
    </xf>
    <xf numFmtId="3" fontId="3" fillId="7" borderId="41" xfId="0" applyNumberFormat="1" applyFont="1" applyFill="1" applyBorder="1" applyAlignment="1">
      <alignment horizontal="right" vertical="top"/>
    </xf>
    <xf numFmtId="3" fontId="1" fillId="0" borderId="55" xfId="0" applyNumberFormat="1" applyFont="1" applyFill="1" applyBorder="1" applyAlignment="1">
      <alignment horizontal="left" vertical="top" wrapText="1"/>
    </xf>
    <xf numFmtId="3" fontId="1" fillId="0" borderId="64" xfId="0" applyNumberFormat="1" applyFont="1" applyFill="1" applyBorder="1" applyAlignment="1">
      <alignment horizontal="center" vertical="top"/>
    </xf>
    <xf numFmtId="3" fontId="13" fillId="0" borderId="61" xfId="0" applyNumberFormat="1" applyFont="1" applyBorder="1" applyAlignment="1">
      <alignment horizontal="center" vertical="top"/>
    </xf>
    <xf numFmtId="164" fontId="13" fillId="6" borderId="17" xfId="0" applyNumberFormat="1" applyFont="1" applyFill="1" applyBorder="1" applyAlignment="1">
      <alignment horizontal="center" vertical="top" wrapText="1"/>
    </xf>
    <xf numFmtId="3" fontId="1" fillId="0" borderId="13" xfId="0" applyNumberFormat="1" applyFont="1" applyFill="1" applyBorder="1" applyAlignment="1">
      <alignment horizontal="center" vertical="top"/>
    </xf>
    <xf numFmtId="0" fontId="12" fillId="0" borderId="0" xfId="0" applyFont="1"/>
    <xf numFmtId="3" fontId="3" fillId="7" borderId="40" xfId="0" applyNumberFormat="1" applyFont="1" applyFill="1" applyBorder="1" applyAlignment="1">
      <alignment horizontal="right" vertical="top"/>
    </xf>
    <xf numFmtId="3" fontId="3" fillId="7" borderId="31" xfId="0" applyNumberFormat="1" applyFont="1" applyFill="1" applyBorder="1" applyAlignment="1">
      <alignment horizontal="right" vertical="top"/>
    </xf>
    <xf numFmtId="164" fontId="3" fillId="5" borderId="33" xfId="0" applyNumberFormat="1" applyFont="1" applyFill="1" applyBorder="1" applyAlignment="1">
      <alignment horizontal="center" vertical="top"/>
    </xf>
    <xf numFmtId="164" fontId="3" fillId="7" borderId="39" xfId="0" applyNumberFormat="1" applyFont="1" applyFill="1" applyBorder="1" applyAlignment="1">
      <alignment horizontal="center" vertical="top"/>
    </xf>
    <xf numFmtId="164" fontId="1" fillId="6" borderId="12" xfId="0" applyNumberFormat="1" applyFont="1" applyFill="1" applyBorder="1" applyAlignment="1">
      <alignment horizontal="center" vertical="top"/>
    </xf>
    <xf numFmtId="164" fontId="1" fillId="6" borderId="52" xfId="0" applyNumberFormat="1" applyFont="1" applyFill="1" applyBorder="1" applyAlignment="1">
      <alignment horizontal="center" vertical="top"/>
    </xf>
    <xf numFmtId="3" fontId="3" fillId="0" borderId="51" xfId="0" applyNumberFormat="1" applyFont="1" applyFill="1" applyBorder="1" applyAlignment="1">
      <alignment horizontal="center" vertical="center"/>
    </xf>
    <xf numFmtId="3" fontId="3" fillId="0" borderId="51" xfId="0" applyNumberFormat="1" applyFont="1" applyFill="1" applyBorder="1" applyAlignment="1">
      <alignment horizontal="center" textRotation="90"/>
    </xf>
    <xf numFmtId="3" fontId="1" fillId="0" borderId="61" xfId="0" applyNumberFormat="1" applyFont="1" applyBorder="1" applyAlignment="1">
      <alignment horizontal="center" vertical="top"/>
    </xf>
    <xf numFmtId="164" fontId="1" fillId="6" borderId="10" xfId="0" applyNumberFormat="1" applyFont="1" applyFill="1" applyBorder="1" applyAlignment="1">
      <alignment horizontal="center" vertical="top"/>
    </xf>
    <xf numFmtId="164" fontId="1" fillId="6" borderId="11" xfId="0" applyNumberFormat="1" applyFont="1" applyFill="1" applyBorder="1" applyAlignment="1">
      <alignment horizontal="center" vertical="top"/>
    </xf>
    <xf numFmtId="164" fontId="1" fillId="6" borderId="17" xfId="0" applyNumberFormat="1" applyFont="1" applyFill="1" applyBorder="1" applyAlignment="1">
      <alignment horizontal="center" vertical="top"/>
    </xf>
    <xf numFmtId="3" fontId="3" fillId="0" borderId="23" xfId="0" applyNumberFormat="1" applyFont="1" applyFill="1" applyBorder="1" applyAlignment="1">
      <alignment horizontal="center" vertical="center"/>
    </xf>
    <xf numFmtId="3" fontId="3" fillId="0" borderId="0" xfId="0" applyNumberFormat="1" applyFont="1" applyFill="1" applyBorder="1" applyAlignment="1">
      <alignment horizontal="center" vertical="center"/>
    </xf>
    <xf numFmtId="3" fontId="3" fillId="0" borderId="37" xfId="0" applyNumberFormat="1" applyFont="1" applyBorder="1" applyAlignment="1">
      <alignment horizontal="center" vertical="top"/>
    </xf>
    <xf numFmtId="3" fontId="3" fillId="0" borderId="43" xfId="0" applyNumberFormat="1" applyFont="1" applyBorder="1" applyAlignment="1">
      <alignment horizontal="center" vertical="top"/>
    </xf>
    <xf numFmtId="164" fontId="3" fillId="7" borderId="31" xfId="0" applyNumberFormat="1" applyFont="1" applyFill="1" applyBorder="1" applyAlignment="1">
      <alignment horizontal="center" vertical="top"/>
    </xf>
    <xf numFmtId="3" fontId="3" fillId="0" borderId="34" xfId="0" applyNumberFormat="1" applyFont="1" applyFill="1" applyBorder="1" applyAlignment="1">
      <alignment horizontal="center" vertical="center"/>
    </xf>
    <xf numFmtId="164" fontId="1" fillId="8" borderId="9" xfId="0" applyNumberFormat="1" applyFont="1" applyFill="1" applyBorder="1" applyAlignment="1">
      <alignment horizontal="center" vertical="top"/>
    </xf>
    <xf numFmtId="3" fontId="3" fillId="0" borderId="1" xfId="0" applyNumberFormat="1" applyFont="1" applyFill="1" applyBorder="1" applyAlignment="1">
      <alignment horizontal="center" vertical="center"/>
    </xf>
    <xf numFmtId="3" fontId="3" fillId="0" borderId="45" xfId="0" applyNumberFormat="1" applyFont="1" applyBorder="1" applyAlignment="1">
      <alignment horizontal="center" vertical="top"/>
    </xf>
    <xf numFmtId="164" fontId="3" fillId="5" borderId="31" xfId="0" applyNumberFormat="1" applyFont="1" applyFill="1" applyBorder="1" applyAlignment="1">
      <alignment horizontal="center" vertical="top"/>
    </xf>
    <xf numFmtId="164" fontId="3" fillId="5" borderId="12" xfId="0" applyNumberFormat="1" applyFont="1" applyFill="1" applyBorder="1" applyAlignment="1">
      <alignment horizontal="center" vertical="top"/>
    </xf>
    <xf numFmtId="164" fontId="3" fillId="5" borderId="0" xfId="0" applyNumberFormat="1" applyFont="1" applyFill="1" applyBorder="1" applyAlignment="1">
      <alignment horizontal="center" vertical="top"/>
    </xf>
    <xf numFmtId="3" fontId="3" fillId="8" borderId="36" xfId="0" applyNumberFormat="1" applyFont="1" applyFill="1" applyBorder="1" applyAlignment="1">
      <alignment vertical="top" wrapText="1"/>
    </xf>
    <xf numFmtId="3" fontId="3" fillId="8" borderId="8" xfId="0" applyNumberFormat="1" applyFont="1" applyFill="1" applyBorder="1" applyAlignment="1">
      <alignment horizontal="center" vertical="top" wrapText="1"/>
    </xf>
    <xf numFmtId="3" fontId="3" fillId="0" borderId="60" xfId="0" applyNumberFormat="1" applyFont="1" applyFill="1" applyBorder="1" applyAlignment="1">
      <alignment horizontal="center" vertical="top" wrapText="1"/>
    </xf>
    <xf numFmtId="164" fontId="1" fillId="8" borderId="40" xfId="0" applyNumberFormat="1" applyFont="1" applyFill="1" applyBorder="1" applyAlignment="1">
      <alignment horizontal="center" vertical="top" wrapText="1"/>
    </xf>
    <xf numFmtId="164" fontId="1" fillId="8" borderId="56" xfId="0" applyNumberFormat="1" applyFont="1" applyFill="1" applyBorder="1" applyAlignment="1">
      <alignment horizontal="center" vertical="top" wrapText="1"/>
    </xf>
    <xf numFmtId="3" fontId="3" fillId="0" borderId="28" xfId="0" applyNumberFormat="1" applyFont="1" applyFill="1" applyBorder="1" applyAlignment="1">
      <alignment horizontal="center" vertical="top" wrapText="1"/>
    </xf>
    <xf numFmtId="164" fontId="1" fillId="6" borderId="29" xfId="0" applyNumberFormat="1" applyFont="1" applyFill="1" applyBorder="1" applyAlignment="1">
      <alignment horizontal="center" vertical="top" wrapText="1"/>
    </xf>
    <xf numFmtId="164" fontId="1" fillId="6" borderId="51" xfId="0" applyNumberFormat="1" applyFont="1" applyFill="1" applyBorder="1" applyAlignment="1">
      <alignment horizontal="center" vertical="top" wrapText="1"/>
    </xf>
    <xf numFmtId="164" fontId="1" fillId="6" borderId="12" xfId="0" applyNumberFormat="1" applyFont="1" applyFill="1" applyBorder="1" applyAlignment="1">
      <alignment horizontal="center" vertical="top" wrapText="1"/>
    </xf>
    <xf numFmtId="164" fontId="1" fillId="6" borderId="52" xfId="0" applyNumberFormat="1" applyFont="1" applyFill="1" applyBorder="1" applyAlignment="1">
      <alignment horizontal="center" vertical="top" wrapText="1"/>
    </xf>
    <xf numFmtId="3" fontId="3" fillId="0" borderId="1" xfId="0" applyNumberFormat="1" applyFont="1" applyFill="1" applyBorder="1" applyAlignment="1">
      <alignment horizontal="center" vertical="top" wrapText="1"/>
    </xf>
    <xf numFmtId="164" fontId="1" fillId="6" borderId="46" xfId="0" applyNumberFormat="1" applyFont="1" applyFill="1" applyBorder="1" applyAlignment="1">
      <alignment horizontal="center" vertical="top" wrapText="1"/>
    </xf>
    <xf numFmtId="164" fontId="1" fillId="8" borderId="15" xfId="0" applyNumberFormat="1" applyFont="1" applyFill="1" applyBorder="1" applyAlignment="1">
      <alignment horizontal="center" vertical="top" wrapText="1"/>
    </xf>
    <xf numFmtId="164" fontId="1" fillId="8" borderId="10" xfId="0" applyNumberFormat="1" applyFont="1" applyFill="1" applyBorder="1" applyAlignment="1">
      <alignment horizontal="center" vertical="top" wrapText="1"/>
    </xf>
    <xf numFmtId="164" fontId="1" fillId="8" borderId="11" xfId="0" applyNumberFormat="1" applyFont="1" applyFill="1" applyBorder="1" applyAlignment="1">
      <alignment horizontal="center" vertical="top" wrapText="1"/>
    </xf>
    <xf numFmtId="164" fontId="1" fillId="8" borderId="10" xfId="0" applyNumberFormat="1" applyFont="1" applyFill="1" applyBorder="1" applyAlignment="1">
      <alignment horizontal="center" vertical="top"/>
    </xf>
    <xf numFmtId="164" fontId="1" fillId="8" borderId="11" xfId="0" applyNumberFormat="1" applyFont="1" applyFill="1" applyBorder="1" applyAlignment="1">
      <alignment horizontal="center" vertical="top"/>
    </xf>
    <xf numFmtId="164" fontId="1" fillId="8" borderId="12" xfId="0" applyNumberFormat="1" applyFont="1" applyFill="1" applyBorder="1" applyAlignment="1">
      <alignment horizontal="center" vertical="top"/>
    </xf>
    <xf numFmtId="3" fontId="3" fillId="0" borderId="29" xfId="0" applyNumberFormat="1" applyFont="1" applyFill="1" applyBorder="1" applyAlignment="1">
      <alignment horizontal="center" vertical="top" wrapText="1"/>
    </xf>
    <xf numFmtId="3" fontId="3" fillId="8" borderId="17" xfId="0" applyNumberFormat="1" applyFont="1" applyFill="1" applyBorder="1" applyAlignment="1">
      <alignment horizontal="center" vertical="top" wrapText="1"/>
    </xf>
    <xf numFmtId="164" fontId="1" fillId="8" borderId="2" xfId="0" applyNumberFormat="1" applyFont="1" applyFill="1" applyBorder="1" applyAlignment="1">
      <alignment horizontal="center" vertical="top" wrapText="1"/>
    </xf>
    <xf numFmtId="164" fontId="1" fillId="6" borderId="9" xfId="0" applyNumberFormat="1" applyFont="1" applyFill="1" applyBorder="1" applyAlignment="1">
      <alignment horizontal="center" vertical="top" wrapText="1"/>
    </xf>
    <xf numFmtId="3" fontId="3" fillId="8" borderId="14" xfId="0" applyNumberFormat="1" applyFont="1" applyFill="1" applyBorder="1" applyAlignment="1">
      <alignment vertical="top" wrapText="1"/>
    </xf>
    <xf numFmtId="3" fontId="3" fillId="8" borderId="52" xfId="0" applyNumberFormat="1" applyFont="1" applyFill="1" applyBorder="1" applyAlignment="1">
      <alignment horizontal="center" vertical="top" wrapText="1"/>
    </xf>
    <xf numFmtId="3" fontId="3" fillId="8" borderId="58" xfId="0" applyNumberFormat="1" applyFont="1" applyFill="1" applyBorder="1" applyAlignment="1">
      <alignment vertical="top" wrapText="1"/>
    </xf>
    <xf numFmtId="3" fontId="3" fillId="8" borderId="29" xfId="0" applyNumberFormat="1" applyFont="1" applyFill="1" applyBorder="1" applyAlignment="1">
      <alignment horizontal="center" vertical="top" wrapText="1"/>
    </xf>
    <xf numFmtId="3" fontId="3" fillId="7" borderId="61" xfId="0" applyNumberFormat="1" applyFont="1" applyFill="1" applyBorder="1" applyAlignment="1">
      <alignment horizontal="right" vertical="top"/>
    </xf>
    <xf numFmtId="164" fontId="3" fillId="7" borderId="10" xfId="0" applyNumberFormat="1" applyFont="1" applyFill="1" applyBorder="1" applyAlignment="1">
      <alignment horizontal="center" vertical="top"/>
    </xf>
    <xf numFmtId="164" fontId="3" fillId="7" borderId="11" xfId="0" applyNumberFormat="1" applyFont="1" applyFill="1" applyBorder="1" applyAlignment="1">
      <alignment horizontal="center" vertical="top"/>
    </xf>
    <xf numFmtId="164" fontId="3" fillId="7" borderId="17" xfId="0" applyNumberFormat="1" applyFont="1" applyFill="1" applyBorder="1" applyAlignment="1">
      <alignment horizontal="center" vertical="top"/>
    </xf>
    <xf numFmtId="3" fontId="3" fillId="0" borderId="43" xfId="0" applyNumberFormat="1" applyFont="1" applyFill="1" applyBorder="1" applyAlignment="1">
      <alignment horizontal="center" vertical="top" wrapText="1"/>
    </xf>
    <xf numFmtId="3" fontId="3" fillId="0" borderId="64" xfId="0" applyNumberFormat="1" applyFont="1" applyFill="1" applyBorder="1" applyAlignment="1">
      <alignment horizontal="center" vertical="top" wrapText="1"/>
    </xf>
    <xf numFmtId="164" fontId="1" fillId="6" borderId="2" xfId="0" applyNumberFormat="1" applyFont="1" applyFill="1" applyBorder="1" applyAlignment="1">
      <alignment horizontal="center" vertical="top" wrapText="1"/>
    </xf>
    <xf numFmtId="164" fontId="1" fillId="6" borderId="3" xfId="0" applyNumberFormat="1" applyFont="1" applyFill="1" applyBorder="1" applyAlignment="1">
      <alignment horizontal="center" vertical="top" wrapText="1"/>
    </xf>
    <xf numFmtId="164" fontId="3" fillId="5" borderId="59" xfId="0" applyNumberFormat="1" applyFont="1" applyFill="1" applyBorder="1" applyAlignment="1">
      <alignment horizontal="center" vertical="top"/>
    </xf>
    <xf numFmtId="164" fontId="3" fillId="5" borderId="26" xfId="0" applyNumberFormat="1" applyFont="1" applyFill="1" applyBorder="1" applyAlignment="1">
      <alignment horizontal="center" vertical="top"/>
    </xf>
    <xf numFmtId="164" fontId="3" fillId="5" borderId="24" xfId="0" applyNumberFormat="1" applyFont="1" applyFill="1" applyBorder="1" applyAlignment="1">
      <alignment horizontal="center" vertical="top"/>
    </xf>
    <xf numFmtId="164" fontId="3" fillId="5" borderId="25" xfId="0" applyNumberFormat="1" applyFont="1" applyFill="1" applyBorder="1" applyAlignment="1">
      <alignment horizontal="center" vertical="top"/>
    </xf>
    <xf numFmtId="164" fontId="3" fillId="4" borderId="24" xfId="0" applyNumberFormat="1" applyFont="1" applyFill="1" applyBorder="1" applyAlignment="1">
      <alignment horizontal="center" vertical="top"/>
    </xf>
    <xf numFmtId="164" fontId="3" fillId="4" borderId="59" xfId="0" applyNumberFormat="1" applyFont="1" applyFill="1" applyBorder="1" applyAlignment="1">
      <alignment horizontal="center" vertical="top"/>
    </xf>
    <xf numFmtId="164" fontId="3" fillId="4" borderId="25" xfId="0" applyNumberFormat="1" applyFont="1" applyFill="1" applyBorder="1" applyAlignment="1">
      <alignment horizontal="center" vertical="top"/>
    </xf>
    <xf numFmtId="164" fontId="3" fillId="3" borderId="38" xfId="0" applyNumberFormat="1" applyFont="1" applyFill="1" applyBorder="1" applyAlignment="1">
      <alignment horizontal="center" vertical="top"/>
    </xf>
    <xf numFmtId="164" fontId="3" fillId="3" borderId="20" xfId="0" applyNumberFormat="1" applyFont="1" applyFill="1" applyBorder="1" applyAlignment="1">
      <alignment horizontal="center" vertical="top"/>
    </xf>
    <xf numFmtId="164" fontId="3" fillId="3" borderId="1" xfId="0" applyNumberFormat="1" applyFont="1" applyFill="1" applyBorder="1" applyAlignment="1">
      <alignment horizontal="center" vertical="top"/>
    </xf>
    <xf numFmtId="164" fontId="3" fillId="3" borderId="61" xfId="0" applyNumberFormat="1" applyFont="1" applyFill="1" applyBorder="1" applyAlignment="1">
      <alignment horizontal="center" vertical="top" wrapText="1"/>
    </xf>
    <xf numFmtId="164" fontId="3" fillId="3" borderId="11" xfId="0" applyNumberFormat="1" applyFont="1" applyFill="1" applyBorder="1" applyAlignment="1">
      <alignment horizontal="center" vertical="top" wrapText="1"/>
    </xf>
    <xf numFmtId="164" fontId="3" fillId="3" borderId="17" xfId="0" applyNumberFormat="1" applyFont="1" applyFill="1" applyBorder="1" applyAlignment="1">
      <alignment horizontal="center" vertical="top" wrapText="1"/>
    </xf>
    <xf numFmtId="164" fontId="1" fillId="0" borderId="27" xfId="0" applyNumberFormat="1" applyFont="1" applyBorder="1" applyAlignment="1">
      <alignment horizontal="center" vertical="top"/>
    </xf>
    <xf numFmtId="164" fontId="1" fillId="0" borderId="63" xfId="0" applyNumberFormat="1" applyFont="1" applyBorder="1" applyAlignment="1">
      <alignment horizontal="center" vertical="top"/>
    </xf>
    <xf numFmtId="164" fontId="1" fillId="0" borderId="29" xfId="0" applyNumberFormat="1" applyFont="1" applyBorder="1" applyAlignment="1">
      <alignment horizontal="center" vertical="top"/>
    </xf>
    <xf numFmtId="164" fontId="1" fillId="0" borderId="11" xfId="0" applyNumberFormat="1" applyFont="1" applyBorder="1" applyAlignment="1">
      <alignment horizontal="center" vertical="top" wrapText="1"/>
    </xf>
    <xf numFmtId="164" fontId="1" fillId="0" borderId="17" xfId="0" applyNumberFormat="1" applyFont="1" applyBorder="1" applyAlignment="1">
      <alignment horizontal="center" vertical="top" wrapText="1"/>
    </xf>
    <xf numFmtId="164" fontId="3" fillId="3" borderId="61" xfId="0" applyNumberFormat="1" applyFont="1" applyFill="1" applyBorder="1" applyAlignment="1">
      <alignment horizontal="center" vertical="top"/>
    </xf>
    <xf numFmtId="164" fontId="3" fillId="3" borderId="11" xfId="0" applyNumberFormat="1" applyFont="1" applyFill="1" applyBorder="1" applyAlignment="1">
      <alignment horizontal="center" vertical="top"/>
    </xf>
    <xf numFmtId="164" fontId="3" fillId="3" borderId="17" xfId="0" applyNumberFormat="1" applyFont="1" applyFill="1" applyBorder="1" applyAlignment="1">
      <alignment horizontal="center" vertical="top"/>
    </xf>
    <xf numFmtId="164" fontId="1" fillId="0" borderId="61" xfId="0" applyNumberFormat="1" applyFont="1" applyBorder="1" applyAlignment="1">
      <alignment horizontal="center" vertical="top"/>
    </xf>
    <xf numFmtId="164" fontId="1" fillId="0" borderId="11" xfId="0" applyNumberFormat="1" applyFont="1" applyBorder="1" applyAlignment="1">
      <alignment horizontal="center" vertical="top"/>
    </xf>
    <xf numFmtId="164" fontId="1" fillId="0" borderId="17" xfId="0" applyNumberFormat="1" applyFont="1" applyBorder="1" applyAlignment="1">
      <alignment horizontal="center" vertical="top"/>
    </xf>
    <xf numFmtId="164" fontId="13" fillId="8" borderId="56" xfId="0" applyNumberFormat="1" applyFont="1" applyFill="1" applyBorder="1" applyAlignment="1">
      <alignment horizontal="center" vertical="top" wrapText="1"/>
    </xf>
    <xf numFmtId="164" fontId="13" fillId="6" borderId="10" xfId="0" applyNumberFormat="1" applyFont="1" applyFill="1" applyBorder="1" applyAlignment="1">
      <alignment horizontal="center" vertical="top" wrapText="1"/>
    </xf>
    <xf numFmtId="164" fontId="13" fillId="6" borderId="11" xfId="0" applyNumberFormat="1" applyFont="1" applyFill="1" applyBorder="1" applyAlignment="1">
      <alignment horizontal="center" vertical="top" wrapText="1"/>
    </xf>
    <xf numFmtId="3" fontId="17" fillId="0" borderId="71" xfId="0" applyNumberFormat="1" applyFont="1" applyFill="1" applyBorder="1" applyAlignment="1">
      <alignment horizontal="center" vertical="top"/>
    </xf>
    <xf numFmtId="3" fontId="13" fillId="6" borderId="14" xfId="0" applyNumberFormat="1" applyFont="1" applyFill="1" applyBorder="1" applyAlignment="1">
      <alignment vertical="top" wrapText="1"/>
    </xf>
    <xf numFmtId="164" fontId="13" fillId="8" borderId="56" xfId="0" applyNumberFormat="1" applyFont="1" applyFill="1" applyBorder="1" applyAlignment="1">
      <alignment horizontal="center" vertical="top"/>
    </xf>
    <xf numFmtId="164" fontId="13" fillId="0" borderId="62" xfId="0" applyNumberFormat="1" applyFont="1" applyFill="1" applyBorder="1" applyAlignment="1">
      <alignment horizontal="center" vertical="top"/>
    </xf>
    <xf numFmtId="49" fontId="1" fillId="0" borderId="42" xfId="0" applyNumberFormat="1" applyFont="1" applyFill="1" applyBorder="1" applyAlignment="1">
      <alignment horizontal="center" vertical="top"/>
    </xf>
    <xf numFmtId="3" fontId="1" fillId="6" borderId="14" xfId="0" applyNumberFormat="1" applyFont="1" applyFill="1" applyBorder="1" applyAlignment="1">
      <alignment vertical="top" wrapText="1"/>
    </xf>
    <xf numFmtId="3" fontId="13" fillId="8" borderId="10" xfId="0" applyNumberFormat="1" applyFont="1" applyFill="1" applyBorder="1" applyAlignment="1">
      <alignment vertical="top" wrapText="1"/>
    </xf>
    <xf numFmtId="3" fontId="13" fillId="8" borderId="13" xfId="0" applyNumberFormat="1" applyFont="1" applyFill="1" applyBorder="1" applyAlignment="1">
      <alignment horizontal="center" vertical="top" wrapText="1"/>
    </xf>
    <xf numFmtId="49" fontId="3" fillId="5" borderId="12" xfId="0" applyNumberFormat="1" applyFont="1" applyFill="1" applyBorder="1" applyAlignment="1">
      <alignment horizontal="center" vertical="top"/>
    </xf>
    <xf numFmtId="164" fontId="13" fillId="8" borderId="4" xfId="0" applyNumberFormat="1" applyFont="1" applyFill="1" applyBorder="1" applyAlignment="1">
      <alignment horizontal="center" vertical="top"/>
    </xf>
    <xf numFmtId="164" fontId="13" fillId="6" borderId="9" xfId="0" applyNumberFormat="1" applyFont="1" applyFill="1" applyBorder="1" applyAlignment="1">
      <alignment horizontal="center" vertical="top" wrapText="1"/>
    </xf>
    <xf numFmtId="3" fontId="1" fillId="0" borderId="45" xfId="0" applyNumberFormat="1" applyFont="1" applyFill="1" applyBorder="1" applyAlignment="1">
      <alignment horizontal="center" vertical="top"/>
    </xf>
    <xf numFmtId="3" fontId="19" fillId="0" borderId="32" xfId="0" applyNumberFormat="1" applyFont="1" applyFill="1" applyBorder="1" applyAlignment="1">
      <alignment horizontal="center" vertical="top" wrapText="1"/>
    </xf>
    <xf numFmtId="3" fontId="13" fillId="0" borderId="32" xfId="0" applyNumberFormat="1" applyFont="1" applyFill="1" applyBorder="1" applyAlignment="1">
      <alignment horizontal="center" vertical="top" wrapText="1"/>
    </xf>
    <xf numFmtId="164" fontId="1" fillId="0" borderId="27" xfId="0" applyNumberFormat="1" applyFont="1" applyFill="1" applyBorder="1" applyAlignment="1">
      <alignment horizontal="center" vertical="top"/>
    </xf>
    <xf numFmtId="164" fontId="1" fillId="0" borderId="40" xfId="0" applyNumberFormat="1" applyFont="1" applyFill="1" applyBorder="1" applyAlignment="1">
      <alignment horizontal="center" vertical="top"/>
    </xf>
    <xf numFmtId="164" fontId="1" fillId="6" borderId="33" xfId="0" applyNumberFormat="1" applyFont="1" applyFill="1" applyBorder="1" applyAlignment="1">
      <alignment horizontal="center" vertical="top"/>
    </xf>
    <xf numFmtId="164" fontId="4" fillId="6" borderId="31" xfId="0" applyNumberFormat="1" applyFont="1" applyFill="1" applyBorder="1" applyAlignment="1">
      <alignment horizontal="center" vertical="top"/>
    </xf>
    <xf numFmtId="164" fontId="4" fillId="8" borderId="7" xfId="0" applyNumberFormat="1" applyFont="1" applyFill="1" applyBorder="1" applyAlignment="1">
      <alignment horizontal="center" vertical="top"/>
    </xf>
    <xf numFmtId="164" fontId="5" fillId="7" borderId="19" xfId="0" applyNumberFormat="1" applyFont="1" applyFill="1" applyBorder="1" applyAlignment="1">
      <alignment horizontal="center" vertical="top"/>
    </xf>
    <xf numFmtId="164" fontId="4" fillId="6" borderId="12" xfId="0" applyNumberFormat="1" applyFont="1" applyFill="1" applyBorder="1" applyAlignment="1">
      <alignment horizontal="center" vertical="top"/>
    </xf>
    <xf numFmtId="164" fontId="1" fillId="0" borderId="11" xfId="0" applyNumberFormat="1" applyFont="1" applyFill="1" applyBorder="1" applyAlignment="1">
      <alignment horizontal="center" vertical="top"/>
    </xf>
    <xf numFmtId="164" fontId="5" fillId="7" borderId="12" xfId="0" applyNumberFormat="1" applyFont="1" applyFill="1" applyBorder="1" applyAlignment="1">
      <alignment horizontal="center" vertical="top"/>
    </xf>
    <xf numFmtId="164" fontId="4" fillId="8" borderId="3" xfId="0" applyNumberFormat="1" applyFont="1" applyFill="1" applyBorder="1" applyAlignment="1">
      <alignment horizontal="center" vertical="top"/>
    </xf>
    <xf numFmtId="164" fontId="5" fillId="7" borderId="20" xfId="0" applyNumberFormat="1" applyFont="1" applyFill="1" applyBorder="1" applyAlignment="1">
      <alignment horizontal="center" vertical="top"/>
    </xf>
    <xf numFmtId="164" fontId="3" fillId="5" borderId="20" xfId="0" applyNumberFormat="1" applyFont="1" applyFill="1" applyBorder="1" applyAlignment="1">
      <alignment horizontal="center" vertical="top"/>
    </xf>
    <xf numFmtId="164" fontId="6" fillId="8" borderId="17" xfId="0" applyNumberFormat="1" applyFont="1" applyFill="1" applyBorder="1" applyAlignment="1">
      <alignment horizontal="center" vertical="top"/>
    </xf>
    <xf numFmtId="164" fontId="1" fillId="8" borderId="61" xfId="0" applyNumberFormat="1" applyFont="1" applyFill="1" applyBorder="1" applyAlignment="1">
      <alignment horizontal="center" vertical="top" wrapText="1"/>
    </xf>
    <xf numFmtId="164" fontId="6" fillId="8" borderId="27" xfId="0" applyNumberFormat="1" applyFont="1" applyFill="1" applyBorder="1" applyAlignment="1">
      <alignment horizontal="center" vertical="top" wrapText="1"/>
    </xf>
    <xf numFmtId="164" fontId="6" fillId="8" borderId="31" xfId="0" applyNumberFormat="1" applyFont="1" applyFill="1" applyBorder="1" applyAlignment="1">
      <alignment horizontal="center" vertical="top" wrapText="1"/>
    </xf>
    <xf numFmtId="164" fontId="6" fillId="8" borderId="61" xfId="0" applyNumberFormat="1" applyFont="1" applyFill="1" applyBorder="1" applyAlignment="1">
      <alignment horizontal="center" vertical="top" wrapText="1"/>
    </xf>
    <xf numFmtId="164" fontId="4" fillId="6" borderId="61" xfId="0" applyNumberFormat="1" applyFont="1" applyFill="1" applyBorder="1" applyAlignment="1">
      <alignment horizontal="center" vertical="top" wrapText="1"/>
    </xf>
    <xf numFmtId="164" fontId="3" fillId="7" borderId="61" xfId="0" applyNumberFormat="1" applyFont="1" applyFill="1" applyBorder="1" applyAlignment="1">
      <alignment horizontal="center" vertical="top"/>
    </xf>
    <xf numFmtId="164" fontId="1" fillId="8" borderId="33" xfId="0" applyNumberFormat="1" applyFont="1" applyFill="1" applyBorder="1" applyAlignment="1">
      <alignment horizontal="center" vertical="top"/>
    </xf>
    <xf numFmtId="164" fontId="1" fillId="6" borderId="7" xfId="0" applyNumberFormat="1" applyFont="1" applyFill="1" applyBorder="1" applyAlignment="1">
      <alignment horizontal="center" vertical="top" wrapText="1"/>
    </xf>
    <xf numFmtId="164" fontId="6" fillId="8" borderId="63" xfId="0" applyNumberFormat="1" applyFont="1" applyFill="1" applyBorder="1" applyAlignment="1">
      <alignment horizontal="center" vertical="top" wrapText="1"/>
    </xf>
    <xf numFmtId="164" fontId="6" fillId="8" borderId="12" xfId="0" applyNumberFormat="1" applyFont="1" applyFill="1" applyBorder="1" applyAlignment="1">
      <alignment horizontal="center" vertical="top" wrapText="1"/>
    </xf>
    <xf numFmtId="164" fontId="6" fillId="8" borderId="11" xfId="0" applyNumberFormat="1" applyFont="1" applyFill="1" applyBorder="1" applyAlignment="1">
      <alignment horizontal="center" vertical="top" wrapText="1"/>
    </xf>
    <xf numFmtId="164" fontId="4" fillId="6" borderId="11" xfId="0" applyNumberFormat="1" applyFont="1" applyFill="1" applyBorder="1" applyAlignment="1">
      <alignment horizontal="center" vertical="top" wrapText="1"/>
    </xf>
    <xf numFmtId="164" fontId="1" fillId="6" borderId="40" xfId="0" applyNumberFormat="1" applyFont="1" applyFill="1" applyBorder="1" applyAlignment="1">
      <alignment horizontal="center" vertical="top" wrapText="1"/>
    </xf>
    <xf numFmtId="164" fontId="1" fillId="6" borderId="56" xfId="0" applyNumberFormat="1" applyFont="1" applyFill="1" applyBorder="1" applyAlignment="1">
      <alignment horizontal="center" vertical="top" wrapText="1"/>
    </xf>
    <xf numFmtId="164" fontId="1" fillId="6" borderId="31" xfId="0" applyNumberFormat="1" applyFont="1" applyFill="1" applyBorder="1" applyAlignment="1">
      <alignment horizontal="center" vertical="top" wrapText="1"/>
    </xf>
    <xf numFmtId="164" fontId="13" fillId="6" borderId="61" xfId="0" applyNumberFormat="1" applyFont="1" applyFill="1" applyBorder="1" applyAlignment="1">
      <alignment horizontal="center" vertical="top" wrapText="1"/>
    </xf>
    <xf numFmtId="164" fontId="6" fillId="8" borderId="63" xfId="0" applyNumberFormat="1" applyFont="1" applyFill="1" applyBorder="1" applyAlignment="1">
      <alignment horizontal="center" vertical="top"/>
    </xf>
    <xf numFmtId="164" fontId="7" fillId="8" borderId="63" xfId="0" applyNumberFormat="1" applyFont="1" applyFill="1" applyBorder="1" applyAlignment="1">
      <alignment horizontal="center" vertical="top"/>
    </xf>
    <xf numFmtId="164" fontId="4" fillId="6" borderId="0" xfId="0" applyNumberFormat="1" applyFont="1" applyFill="1" applyBorder="1" applyAlignment="1">
      <alignment horizontal="center" vertical="top"/>
    </xf>
    <xf numFmtId="164" fontId="6" fillId="0" borderId="33"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164" fontId="6" fillId="0" borderId="46" xfId="0" applyNumberFormat="1" applyFont="1" applyBorder="1" applyAlignment="1">
      <alignment horizontal="center" vertical="center" wrapText="1"/>
    </xf>
    <xf numFmtId="164" fontId="3" fillId="7" borderId="66" xfId="0" applyNumberFormat="1" applyFont="1" applyFill="1" applyBorder="1" applyAlignment="1">
      <alignment horizontal="center" vertical="top"/>
    </xf>
    <xf numFmtId="3" fontId="13" fillId="0" borderId="40" xfId="0" applyNumberFormat="1" applyFont="1" applyBorder="1" applyAlignment="1">
      <alignment horizontal="center" vertical="top"/>
    </xf>
    <xf numFmtId="164" fontId="13" fillId="8" borderId="40" xfId="0" applyNumberFormat="1" applyFont="1" applyFill="1" applyBorder="1" applyAlignment="1">
      <alignment horizontal="center" vertical="top"/>
    </xf>
    <xf numFmtId="164" fontId="1" fillId="0" borderId="10" xfId="0" applyNumberFormat="1" applyFont="1" applyFill="1" applyBorder="1" applyAlignment="1">
      <alignment horizontal="center" vertical="top"/>
    </xf>
    <xf numFmtId="3" fontId="3" fillId="6" borderId="14" xfId="0" applyNumberFormat="1" applyFont="1" applyFill="1" applyBorder="1" applyAlignment="1">
      <alignment horizontal="left" vertical="top" wrapText="1"/>
    </xf>
    <xf numFmtId="49" fontId="3" fillId="5" borderId="12" xfId="0" applyNumberFormat="1" applyFont="1" applyFill="1" applyBorder="1" applyAlignment="1">
      <alignment horizontal="center" vertical="top"/>
    </xf>
    <xf numFmtId="49" fontId="1" fillId="5" borderId="12" xfId="0" applyNumberFormat="1" applyFont="1" applyFill="1" applyBorder="1" applyAlignment="1">
      <alignment horizontal="center" vertical="top"/>
    </xf>
    <xf numFmtId="49" fontId="3" fillId="5" borderId="12" xfId="0" applyNumberFormat="1" applyFont="1" applyFill="1" applyBorder="1" applyAlignment="1">
      <alignment horizontal="center" vertical="top" wrapText="1"/>
    </xf>
    <xf numFmtId="49" fontId="3" fillId="5" borderId="4" xfId="0" applyNumberFormat="1" applyFont="1" applyFill="1" applyBorder="1" applyAlignment="1">
      <alignment horizontal="center" vertical="top" wrapText="1"/>
    </xf>
    <xf numFmtId="49" fontId="3" fillId="6" borderId="43" xfId="0" applyNumberFormat="1" applyFont="1" applyFill="1" applyBorder="1" applyAlignment="1">
      <alignment horizontal="center" vertical="top" wrapText="1"/>
    </xf>
    <xf numFmtId="3" fontId="13" fillId="6" borderId="53" xfId="0" applyNumberFormat="1" applyFont="1" applyFill="1" applyBorder="1" applyAlignment="1">
      <alignment horizontal="left" vertical="top" wrapText="1"/>
    </xf>
    <xf numFmtId="164" fontId="13" fillId="8" borderId="3" xfId="0" applyNumberFormat="1" applyFont="1" applyFill="1" applyBorder="1" applyAlignment="1">
      <alignment horizontal="center" vertical="top" wrapText="1"/>
    </xf>
    <xf numFmtId="3" fontId="13" fillId="0" borderId="42" xfId="0" applyNumberFormat="1" applyFont="1" applyBorder="1" applyAlignment="1">
      <alignment horizontal="center" vertical="top" wrapText="1"/>
    </xf>
    <xf numFmtId="3" fontId="2" fillId="0" borderId="63" xfId="0" applyNumberFormat="1" applyFont="1" applyBorder="1"/>
    <xf numFmtId="3" fontId="2" fillId="0" borderId="72" xfId="0" applyNumberFormat="1" applyFont="1" applyBorder="1"/>
    <xf numFmtId="164" fontId="21" fillId="6" borderId="11" xfId="0" applyNumberFormat="1" applyFont="1" applyFill="1" applyBorder="1" applyAlignment="1">
      <alignment horizontal="center" vertical="top" wrapText="1"/>
    </xf>
    <xf numFmtId="164" fontId="21" fillId="6" borderId="29" xfId="0" applyNumberFormat="1" applyFont="1" applyFill="1" applyBorder="1" applyAlignment="1">
      <alignment horizontal="center" vertical="top" wrapText="1"/>
    </xf>
    <xf numFmtId="49" fontId="3" fillId="5" borderId="12" xfId="0" applyNumberFormat="1" applyFont="1" applyFill="1" applyBorder="1" applyAlignment="1">
      <alignment horizontal="center" vertical="top"/>
    </xf>
    <xf numFmtId="49" fontId="3" fillId="6" borderId="42" xfId="0" applyNumberFormat="1" applyFont="1" applyFill="1" applyBorder="1" applyAlignment="1">
      <alignment horizontal="center" vertical="top" wrapText="1"/>
    </xf>
    <xf numFmtId="3" fontId="1" fillId="0" borderId="55" xfId="0" applyNumberFormat="1" applyFont="1" applyFill="1" applyBorder="1" applyAlignment="1">
      <alignment horizontal="left" vertical="top" wrapText="1"/>
    </xf>
    <xf numFmtId="49" fontId="3" fillId="6" borderId="64" xfId="0" applyNumberFormat="1" applyFont="1" applyFill="1" applyBorder="1" applyAlignment="1">
      <alignment horizontal="center" vertical="top"/>
    </xf>
    <xf numFmtId="3" fontId="3" fillId="0" borderId="55" xfId="0" applyNumberFormat="1" applyFont="1" applyFill="1" applyBorder="1" applyAlignment="1">
      <alignment vertical="top" textRotation="180" wrapText="1"/>
    </xf>
    <xf numFmtId="3" fontId="3" fillId="0" borderId="29" xfId="0" applyNumberFormat="1" applyFont="1" applyBorder="1" applyAlignment="1">
      <alignment vertical="top"/>
    </xf>
    <xf numFmtId="164" fontId="1" fillId="0" borderId="55" xfId="0" applyNumberFormat="1" applyFont="1" applyFill="1" applyBorder="1" applyAlignment="1">
      <alignment horizontal="center" vertical="top"/>
    </xf>
    <xf numFmtId="49" fontId="3" fillId="4" borderId="27" xfId="0" applyNumberFormat="1" applyFont="1" applyFill="1" applyBorder="1" applyAlignment="1">
      <alignment vertical="top" wrapText="1"/>
    </xf>
    <xf numFmtId="49" fontId="3" fillId="5" borderId="63" xfId="0" applyNumberFormat="1" applyFont="1" applyFill="1" applyBorder="1" applyAlignment="1">
      <alignment vertical="top" wrapText="1"/>
    </xf>
    <xf numFmtId="49" fontId="3" fillId="6" borderId="71" xfId="0" applyNumberFormat="1" applyFont="1" applyFill="1" applyBorder="1" applyAlignment="1">
      <alignment horizontal="center" vertical="top" wrapText="1"/>
    </xf>
    <xf numFmtId="164" fontId="13" fillId="0" borderId="11" xfId="0" applyNumberFormat="1" applyFont="1" applyFill="1" applyBorder="1" applyAlignment="1">
      <alignment horizontal="center" vertical="top"/>
    </xf>
    <xf numFmtId="3" fontId="1" fillId="0" borderId="21" xfId="0" applyNumberFormat="1" applyFont="1" applyBorder="1" applyAlignment="1">
      <alignment horizontal="center" vertical="center" textRotation="90"/>
    </xf>
    <xf numFmtId="0" fontId="2" fillId="0" borderId="0" xfId="0" applyFont="1"/>
    <xf numFmtId="0" fontId="23" fillId="0" borderId="0" xfId="0" applyFont="1" applyFill="1" applyBorder="1" applyAlignment="1">
      <alignment vertical="top" wrapText="1"/>
    </xf>
    <xf numFmtId="0" fontId="10" fillId="0" borderId="0" xfId="0" applyFont="1"/>
    <xf numFmtId="0" fontId="10" fillId="0" borderId="0" xfId="0" applyFont="1" applyFill="1"/>
    <xf numFmtId="0" fontId="23" fillId="0" borderId="0" xfId="0" applyFont="1" applyFill="1" applyBorder="1" applyAlignment="1">
      <alignment horizontal="center" vertical="top" wrapText="1"/>
    </xf>
    <xf numFmtId="0" fontId="0" fillId="0" borderId="0" xfId="0" applyFill="1" applyAlignment="1"/>
    <xf numFmtId="0" fontId="0" fillId="0" borderId="0" xfId="0" applyFill="1"/>
    <xf numFmtId="0" fontId="24" fillId="0" borderId="0" xfId="0" applyFont="1" applyFill="1" applyAlignment="1">
      <alignment vertical="top" wrapText="1"/>
    </xf>
    <xf numFmtId="0" fontId="2" fillId="0" borderId="0" xfId="0" applyFont="1" applyFill="1"/>
    <xf numFmtId="0" fontId="24" fillId="0" borderId="0" xfId="0" applyFont="1" applyBorder="1" applyAlignment="1">
      <alignment horizontal="center" vertical="top" wrapText="1"/>
    </xf>
    <xf numFmtId="0" fontId="9" fillId="0" borderId="0" xfId="0" applyFont="1" applyFill="1" applyAlignment="1">
      <alignment horizontal="center" vertical="top"/>
    </xf>
    <xf numFmtId="0" fontId="24" fillId="6" borderId="0" xfId="0" applyFont="1" applyFill="1" applyBorder="1" applyAlignment="1">
      <alignment horizontal="left" vertical="top" wrapText="1"/>
    </xf>
    <xf numFmtId="0" fontId="25" fillId="6" borderId="0" xfId="0" applyFont="1" applyFill="1" applyBorder="1" applyAlignment="1">
      <alignment horizontal="left" vertical="top" wrapText="1"/>
    </xf>
    <xf numFmtId="0" fontId="23" fillId="6" borderId="0" xfId="0" applyFont="1" applyFill="1" applyBorder="1" applyAlignment="1">
      <alignment horizontal="center" vertical="top" wrapText="1"/>
    </xf>
    <xf numFmtId="0" fontId="1" fillId="0" borderId="0" xfId="0" applyFont="1"/>
    <xf numFmtId="0" fontId="24" fillId="0" borderId="0" xfId="0" applyFont="1" applyFill="1" applyAlignment="1">
      <alignment horizontal="left" vertical="top" wrapText="1"/>
    </xf>
    <xf numFmtId="0" fontId="26" fillId="0" borderId="0" xfId="0" applyFont="1"/>
    <xf numFmtId="0" fontId="27" fillId="0" borderId="0" xfId="0" applyFont="1" applyFill="1" applyBorder="1" applyAlignment="1"/>
    <xf numFmtId="0" fontId="27" fillId="0" borderId="0" xfId="0" applyFont="1" applyFill="1" applyBorder="1"/>
    <xf numFmtId="0" fontId="26" fillId="0" borderId="0" xfId="0" applyFont="1" applyFill="1"/>
    <xf numFmtId="0" fontId="28" fillId="0" borderId="0" xfId="2" applyFont="1" applyBorder="1" applyAlignment="1">
      <alignment vertical="top" wrapText="1"/>
    </xf>
    <xf numFmtId="0" fontId="28" fillId="0" borderId="0" xfId="2" applyFont="1" applyAlignment="1">
      <alignment vertical="center" wrapText="1"/>
    </xf>
    <xf numFmtId="49" fontId="3" fillId="10" borderId="24" xfId="0" applyNumberFormat="1" applyFont="1" applyFill="1" applyBorder="1" applyAlignment="1">
      <alignment horizontal="center" vertical="top"/>
    </xf>
    <xf numFmtId="49" fontId="3" fillId="10" borderId="35" xfId="0" applyNumberFormat="1" applyFont="1" applyFill="1" applyBorder="1" applyAlignment="1">
      <alignment horizontal="center" vertical="top"/>
    </xf>
    <xf numFmtId="164" fontId="1" fillId="0" borderId="4" xfId="0" applyNumberFormat="1" applyFont="1" applyFill="1" applyBorder="1" applyAlignment="1">
      <alignment horizontal="center" vertical="top"/>
    </xf>
    <xf numFmtId="49" fontId="3" fillId="10" borderId="51" xfId="0" applyNumberFormat="1" applyFont="1" applyFill="1" applyBorder="1" applyAlignment="1">
      <alignment horizontal="center" vertical="top"/>
    </xf>
    <xf numFmtId="49" fontId="3" fillId="10" borderId="23" xfId="0" applyNumberFormat="1" applyFont="1" applyFill="1" applyBorder="1" applyAlignment="1">
      <alignment horizontal="center" vertical="top"/>
    </xf>
    <xf numFmtId="49" fontId="3" fillId="10" borderId="35" xfId="0" applyNumberFormat="1" applyFont="1" applyFill="1" applyBorder="1" applyAlignment="1">
      <alignment vertical="top"/>
    </xf>
    <xf numFmtId="49" fontId="3" fillId="10" borderId="51" xfId="0" applyNumberFormat="1" applyFont="1" applyFill="1" applyBorder="1" applyAlignment="1">
      <alignment vertical="top"/>
    </xf>
    <xf numFmtId="49" fontId="1" fillId="10" borderId="51" xfId="0" applyNumberFormat="1" applyFont="1" applyFill="1" applyBorder="1" applyAlignment="1">
      <alignment vertical="top"/>
    </xf>
    <xf numFmtId="49" fontId="3" fillId="10" borderId="23" xfId="0" applyNumberFormat="1" applyFont="1" applyFill="1" applyBorder="1" applyAlignment="1">
      <alignment vertical="top"/>
    </xf>
    <xf numFmtId="49" fontId="3" fillId="10" borderId="33" xfId="0" applyNumberFormat="1" applyFont="1" applyFill="1" applyBorder="1" applyAlignment="1">
      <alignment vertical="top"/>
    </xf>
    <xf numFmtId="49" fontId="3" fillId="10" borderId="31" xfId="0" applyNumberFormat="1" applyFont="1" applyFill="1" applyBorder="1" applyAlignment="1">
      <alignment vertical="top"/>
    </xf>
    <xf numFmtId="49" fontId="3" fillId="10" borderId="38" xfId="0" applyNumberFormat="1" applyFont="1" applyFill="1" applyBorder="1" applyAlignment="1">
      <alignment vertical="top"/>
    </xf>
    <xf numFmtId="49" fontId="3" fillId="10" borderId="24" xfId="0" applyNumberFormat="1" applyFont="1" applyFill="1" applyBorder="1" applyAlignment="1">
      <alignment horizontal="center" vertical="top" wrapText="1"/>
    </xf>
    <xf numFmtId="49" fontId="3" fillId="10" borderId="31" xfId="0" applyNumberFormat="1" applyFont="1" applyFill="1" applyBorder="1" applyAlignment="1">
      <alignment vertical="top" wrapText="1"/>
    </xf>
    <xf numFmtId="49" fontId="3" fillId="10" borderId="33" xfId="0" applyNumberFormat="1" applyFont="1" applyFill="1" applyBorder="1" applyAlignment="1">
      <alignment vertical="top" wrapText="1"/>
    </xf>
    <xf numFmtId="3" fontId="1" fillId="0" borderId="0" xfId="0" applyNumberFormat="1" applyFont="1" applyBorder="1" applyAlignment="1">
      <alignment horizontal="justify"/>
    </xf>
    <xf numFmtId="0" fontId="1" fillId="0" borderId="0" xfId="0" applyFont="1" applyBorder="1"/>
    <xf numFmtId="164" fontId="1" fillId="8" borderId="0" xfId="0" applyNumberFormat="1" applyFont="1" applyFill="1" applyBorder="1" applyAlignment="1">
      <alignment horizontal="center" vertical="top"/>
    </xf>
    <xf numFmtId="3" fontId="1" fillId="8" borderId="52" xfId="0" applyNumberFormat="1" applyFont="1" applyFill="1" applyBorder="1" applyAlignment="1">
      <alignment horizontal="center" vertical="top"/>
    </xf>
    <xf numFmtId="3" fontId="1" fillId="0" borderId="0" xfId="0" applyNumberFormat="1" applyFont="1" applyBorder="1" applyAlignment="1">
      <alignment horizontal="center"/>
    </xf>
    <xf numFmtId="3" fontId="1" fillId="8" borderId="53" xfId="0" applyNumberFormat="1" applyFont="1" applyFill="1" applyBorder="1" applyAlignment="1">
      <alignment vertical="top" wrapText="1"/>
    </xf>
    <xf numFmtId="3" fontId="1" fillId="0" borderId="31" xfId="0" applyNumberFormat="1" applyFont="1" applyBorder="1" applyAlignment="1">
      <alignment vertical="top"/>
    </xf>
    <xf numFmtId="3" fontId="1" fillId="0" borderId="31" xfId="0" applyNumberFormat="1" applyFont="1" applyFill="1" applyBorder="1" applyAlignment="1">
      <alignment horizontal="center" vertical="top" textRotation="90" wrapText="1"/>
    </xf>
    <xf numFmtId="3" fontId="1" fillId="0" borderId="27" xfId="0" applyNumberFormat="1" applyFont="1" applyFill="1" applyBorder="1" applyAlignment="1">
      <alignment horizontal="center" vertical="top" textRotation="90" wrapText="1"/>
    </xf>
    <xf numFmtId="49" fontId="3" fillId="10" borderId="30" xfId="0" applyNumberFormat="1" applyFont="1" applyFill="1" applyBorder="1" applyAlignment="1">
      <alignment horizontal="center" vertical="top"/>
    </xf>
    <xf numFmtId="3" fontId="3" fillId="7" borderId="38" xfId="0" applyNumberFormat="1" applyFont="1" applyFill="1" applyBorder="1" applyAlignment="1">
      <alignment horizontal="center" vertical="top"/>
    </xf>
    <xf numFmtId="3" fontId="3" fillId="10" borderId="24" xfId="0" applyNumberFormat="1" applyFont="1" applyFill="1" applyBorder="1" applyAlignment="1">
      <alignment horizontal="left" vertical="top"/>
    </xf>
    <xf numFmtId="3" fontId="3" fillId="10" borderId="25" xfId="0" applyNumberFormat="1" applyFont="1" applyFill="1" applyBorder="1" applyAlignment="1">
      <alignment horizontal="center" vertical="top"/>
    </xf>
    <xf numFmtId="3" fontId="3" fillId="10" borderId="26" xfId="0" applyNumberFormat="1" applyFont="1" applyFill="1" applyBorder="1" applyAlignment="1">
      <alignment horizontal="center" vertical="top"/>
    </xf>
    <xf numFmtId="3" fontId="3" fillId="8" borderId="42" xfId="0" applyNumberFormat="1" applyFont="1" applyFill="1" applyBorder="1" applyAlignment="1">
      <alignment horizontal="center" vertical="top" wrapText="1"/>
    </xf>
    <xf numFmtId="3" fontId="1" fillId="8" borderId="31" xfId="0" applyNumberFormat="1" applyFont="1" applyFill="1" applyBorder="1" applyAlignment="1">
      <alignment vertical="top" wrapText="1"/>
    </xf>
    <xf numFmtId="3" fontId="1" fillId="8" borderId="27" xfId="0" applyNumberFormat="1" applyFont="1" applyFill="1" applyBorder="1" applyAlignment="1">
      <alignment vertical="top" wrapText="1"/>
    </xf>
    <xf numFmtId="3" fontId="3" fillId="8" borderId="7" xfId="0" applyNumberFormat="1" applyFont="1" applyFill="1" applyBorder="1" applyAlignment="1">
      <alignment horizontal="left" vertical="top" wrapText="1"/>
    </xf>
    <xf numFmtId="3" fontId="1" fillId="0" borderId="31" xfId="0" applyNumberFormat="1" applyFont="1" applyFill="1" applyBorder="1" applyAlignment="1">
      <alignment vertical="center" textRotation="90" wrapText="1"/>
    </xf>
    <xf numFmtId="49" fontId="1" fillId="0" borderId="31" xfId="0" applyNumberFormat="1" applyFont="1" applyBorder="1" applyAlignment="1">
      <alignment vertical="top" wrapText="1"/>
    </xf>
    <xf numFmtId="49" fontId="3" fillId="8" borderId="42" xfId="0" applyNumberFormat="1" applyFont="1" applyFill="1" applyBorder="1" applyAlignment="1">
      <alignment horizontal="center" vertical="top"/>
    </xf>
    <xf numFmtId="3" fontId="1" fillId="8" borderId="57" xfId="0" applyNumberFormat="1" applyFont="1" applyFill="1" applyBorder="1" applyAlignment="1">
      <alignment horizontal="center" vertical="top"/>
    </xf>
    <xf numFmtId="49" fontId="3" fillId="0" borderId="42" xfId="0" applyNumberFormat="1" applyFont="1" applyBorder="1" applyAlignment="1">
      <alignment horizontal="center" vertical="top"/>
    </xf>
    <xf numFmtId="3" fontId="1" fillId="8" borderId="40" xfId="0" applyNumberFormat="1" applyFont="1" applyFill="1" applyBorder="1" applyAlignment="1">
      <alignment vertical="top" wrapText="1"/>
    </xf>
    <xf numFmtId="3" fontId="3" fillId="8" borderId="70" xfId="0" applyNumberFormat="1" applyFont="1" applyFill="1" applyBorder="1" applyAlignment="1">
      <alignment horizontal="center" vertical="top" wrapText="1"/>
    </xf>
    <xf numFmtId="3" fontId="1" fillId="0" borderId="57" xfId="0" applyNumberFormat="1" applyFont="1" applyBorder="1" applyAlignment="1">
      <alignment horizontal="center" vertical="top"/>
    </xf>
    <xf numFmtId="3" fontId="1" fillId="0" borderId="43" xfId="0" applyNumberFormat="1" applyFont="1" applyBorder="1" applyAlignment="1">
      <alignment horizontal="center" vertical="top"/>
    </xf>
    <xf numFmtId="3" fontId="3" fillId="7" borderId="27" xfId="0" applyNumberFormat="1" applyFont="1" applyFill="1" applyBorder="1" applyAlignment="1">
      <alignment horizontal="center" vertical="top"/>
    </xf>
    <xf numFmtId="3" fontId="1" fillId="0" borderId="33" xfId="0" applyNumberFormat="1" applyFont="1" applyFill="1" applyBorder="1" applyAlignment="1">
      <alignment horizontal="center" vertical="top"/>
    </xf>
    <xf numFmtId="49" fontId="3" fillId="12" borderId="24" xfId="0" applyNumberFormat="1" applyFont="1" applyFill="1" applyBorder="1" applyAlignment="1">
      <alignment vertical="top"/>
    </xf>
    <xf numFmtId="3" fontId="3" fillId="6" borderId="0" xfId="0" applyNumberFormat="1" applyFont="1" applyFill="1" applyBorder="1" applyAlignment="1">
      <alignment horizontal="center" vertical="center" wrapText="1"/>
    </xf>
    <xf numFmtId="3" fontId="3" fillId="6" borderId="0" xfId="0" applyNumberFormat="1" applyFont="1" applyFill="1" applyBorder="1" applyAlignment="1">
      <alignment horizontal="center" vertical="top"/>
    </xf>
    <xf numFmtId="3" fontId="3" fillId="6" borderId="0" xfId="0" applyNumberFormat="1" applyFont="1" applyFill="1" applyBorder="1" applyAlignment="1">
      <alignment horizontal="center" vertical="top" wrapText="1"/>
    </xf>
    <xf numFmtId="3" fontId="1" fillId="6" borderId="0" xfId="0" applyNumberFormat="1" applyFont="1" applyFill="1" applyBorder="1" applyAlignment="1">
      <alignment horizontal="center" vertical="top" wrapText="1"/>
    </xf>
    <xf numFmtId="49" fontId="3" fillId="6" borderId="42" xfId="0" applyNumberFormat="1" applyFont="1" applyFill="1" applyBorder="1" applyAlignment="1">
      <alignment horizontal="center" vertical="top" wrapText="1"/>
    </xf>
    <xf numFmtId="3" fontId="3" fillId="8" borderId="6" xfId="0" applyNumberFormat="1" applyFont="1" applyFill="1" applyBorder="1" applyAlignment="1">
      <alignment horizontal="left" vertical="top" wrapText="1"/>
    </xf>
    <xf numFmtId="49" fontId="3" fillId="10" borderId="31" xfId="0" applyNumberFormat="1" applyFont="1" applyFill="1" applyBorder="1" applyAlignment="1">
      <alignment horizontal="center" vertical="top"/>
    </xf>
    <xf numFmtId="49" fontId="3" fillId="10" borderId="38" xfId="0" applyNumberFormat="1" applyFont="1" applyFill="1" applyBorder="1" applyAlignment="1">
      <alignment horizontal="center" vertical="top"/>
    </xf>
    <xf numFmtId="49" fontId="3" fillId="5" borderId="4" xfId="0" applyNumberFormat="1" applyFont="1" applyFill="1" applyBorder="1" applyAlignment="1">
      <alignment horizontal="center" vertical="top"/>
    </xf>
    <xf numFmtId="49" fontId="3" fillId="5" borderId="12" xfId="0" applyNumberFormat="1" applyFont="1" applyFill="1" applyBorder="1" applyAlignment="1">
      <alignment horizontal="center" vertical="top"/>
    </xf>
    <xf numFmtId="49" fontId="3" fillId="5" borderId="20" xfId="0" applyNumberFormat="1" applyFont="1" applyFill="1" applyBorder="1" applyAlignment="1">
      <alignment horizontal="center" vertical="top"/>
    </xf>
    <xf numFmtId="49" fontId="3" fillId="6" borderId="34" xfId="0" applyNumberFormat="1" applyFont="1" applyFill="1" applyBorder="1" applyAlignment="1">
      <alignment horizontal="center" vertical="top"/>
    </xf>
    <xf numFmtId="49" fontId="3" fillId="6" borderId="0" xfId="0" applyNumberFormat="1" applyFont="1" applyFill="1" applyBorder="1" applyAlignment="1">
      <alignment horizontal="center" vertical="top"/>
    </xf>
    <xf numFmtId="49" fontId="3" fillId="6" borderId="1" xfId="0" applyNumberFormat="1" applyFont="1" applyFill="1" applyBorder="1" applyAlignment="1">
      <alignment horizontal="center" vertical="top"/>
    </xf>
    <xf numFmtId="3" fontId="3" fillId="6" borderId="6" xfId="0" applyNumberFormat="1" applyFont="1" applyFill="1" applyBorder="1" applyAlignment="1">
      <alignment horizontal="left" vertical="top" wrapText="1"/>
    </xf>
    <xf numFmtId="3" fontId="3" fillId="6" borderId="14" xfId="0" applyNumberFormat="1" applyFont="1" applyFill="1" applyBorder="1" applyAlignment="1">
      <alignment horizontal="left" vertical="top" wrapText="1"/>
    </xf>
    <xf numFmtId="3" fontId="1" fillId="0" borderId="14" xfId="0" applyNumberFormat="1" applyFont="1" applyFill="1" applyBorder="1" applyAlignment="1">
      <alignment horizontal="left" vertical="top" wrapText="1"/>
    </xf>
    <xf numFmtId="3" fontId="1" fillId="8" borderId="0" xfId="0" applyNumberFormat="1" applyFont="1" applyFill="1" applyBorder="1" applyAlignment="1">
      <alignment horizontal="center" vertical="top"/>
    </xf>
    <xf numFmtId="3" fontId="1" fillId="8" borderId="40" xfId="0" applyNumberFormat="1" applyFont="1" applyFill="1" applyBorder="1" applyAlignment="1">
      <alignment horizontal="left" vertical="top" wrapText="1"/>
    </xf>
    <xf numFmtId="3" fontId="1" fillId="8" borderId="27" xfId="0" applyNumberFormat="1" applyFont="1" applyFill="1" applyBorder="1" applyAlignment="1">
      <alignment horizontal="left" vertical="top" wrapText="1"/>
    </xf>
    <xf numFmtId="3" fontId="1" fillId="8" borderId="22" xfId="0" applyNumberFormat="1" applyFont="1" applyFill="1" applyBorder="1" applyAlignment="1">
      <alignment vertical="top" wrapText="1"/>
    </xf>
    <xf numFmtId="3" fontId="1" fillId="8" borderId="38" xfId="0" applyNumberFormat="1" applyFont="1" applyFill="1" applyBorder="1" applyAlignment="1">
      <alignment horizontal="left" vertical="top" wrapText="1"/>
    </xf>
    <xf numFmtId="3" fontId="1" fillId="0" borderId="40" xfId="0" applyNumberFormat="1" applyFont="1" applyFill="1" applyBorder="1" applyAlignment="1">
      <alignment horizontal="left" vertical="top" wrapText="1"/>
    </xf>
    <xf numFmtId="3" fontId="3" fillId="8" borderId="53" xfId="0" applyNumberFormat="1" applyFont="1" applyFill="1" applyBorder="1" applyAlignment="1">
      <alignment horizontal="left" vertical="top" wrapText="1"/>
    </xf>
    <xf numFmtId="3" fontId="1" fillId="8" borderId="31" xfId="0" applyNumberFormat="1" applyFont="1" applyFill="1" applyBorder="1" applyAlignment="1">
      <alignment horizontal="left" vertical="top" wrapText="1"/>
    </xf>
    <xf numFmtId="3" fontId="3" fillId="0" borderId="9" xfId="0" applyNumberFormat="1" applyFont="1" applyFill="1" applyBorder="1" applyAlignment="1">
      <alignment horizontal="center" vertical="top"/>
    </xf>
    <xf numFmtId="3" fontId="1" fillId="0" borderId="32" xfId="0" applyNumberFormat="1" applyFont="1" applyFill="1" applyBorder="1" applyAlignment="1">
      <alignment horizontal="center" vertical="top" wrapText="1"/>
    </xf>
    <xf numFmtId="3" fontId="1" fillId="0" borderId="44" xfId="0" applyNumberFormat="1" applyFont="1" applyFill="1" applyBorder="1" applyAlignment="1">
      <alignment horizontal="center" vertical="top" wrapText="1"/>
    </xf>
    <xf numFmtId="3" fontId="1" fillId="8" borderId="32" xfId="0" applyNumberFormat="1" applyFont="1" applyFill="1" applyBorder="1" applyAlignment="1">
      <alignment horizontal="center" vertical="top" wrapText="1"/>
    </xf>
    <xf numFmtId="3" fontId="1" fillId="0" borderId="44" xfId="0" applyNumberFormat="1" applyFont="1" applyBorder="1" applyAlignment="1">
      <alignment horizontal="center" vertical="top" wrapText="1"/>
    </xf>
    <xf numFmtId="3" fontId="1" fillId="8" borderId="37" xfId="0" applyNumberFormat="1" applyFont="1" applyFill="1" applyBorder="1" applyAlignment="1">
      <alignment horizontal="center" vertical="top" wrapText="1"/>
    </xf>
    <xf numFmtId="3" fontId="1" fillId="0" borderId="45" xfId="0" applyNumberFormat="1" applyFont="1" applyBorder="1" applyAlignment="1">
      <alignment horizontal="center" vertical="top" wrapText="1"/>
    </xf>
    <xf numFmtId="3" fontId="1" fillId="0" borderId="0" xfId="0" applyNumberFormat="1" applyFont="1" applyBorder="1" applyAlignment="1">
      <alignment horizontal="left" vertical="top"/>
    </xf>
    <xf numFmtId="3" fontId="1" fillId="0" borderId="37" xfId="0" applyNumberFormat="1" applyFont="1" applyFill="1" applyBorder="1" applyAlignment="1">
      <alignment horizontal="center" vertical="top" wrapText="1"/>
    </xf>
    <xf numFmtId="3" fontId="1" fillId="0" borderId="45" xfId="0" applyNumberFormat="1" applyFont="1" applyFill="1" applyBorder="1" applyAlignment="1">
      <alignment horizontal="center" vertical="top" wrapText="1"/>
    </xf>
    <xf numFmtId="3" fontId="3" fillId="0" borderId="46" xfId="0" applyNumberFormat="1" applyFont="1" applyFill="1" applyBorder="1" applyAlignment="1">
      <alignment horizontal="center" vertical="top"/>
    </xf>
    <xf numFmtId="3" fontId="3" fillId="0" borderId="47" xfId="0" applyNumberFormat="1" applyFont="1" applyFill="1" applyBorder="1" applyAlignment="1">
      <alignment horizontal="center" vertical="top"/>
    </xf>
    <xf numFmtId="3" fontId="1" fillId="0" borderId="0" xfId="0" applyNumberFormat="1" applyFont="1" applyAlignment="1">
      <alignment vertical="top" wrapText="1"/>
    </xf>
    <xf numFmtId="3" fontId="30" fillId="0" borderId="0" xfId="0" applyNumberFormat="1" applyFont="1" applyAlignment="1">
      <alignment horizontal="center" vertical="top" textRotation="90"/>
    </xf>
    <xf numFmtId="3" fontId="1" fillId="0" borderId="45" xfId="0" applyNumberFormat="1" applyFont="1" applyBorder="1" applyAlignment="1">
      <alignment horizontal="center" vertical="center" textRotation="90" wrapText="1"/>
    </xf>
    <xf numFmtId="3" fontId="1" fillId="10" borderId="65" xfId="0" applyNumberFormat="1" applyFont="1" applyFill="1" applyBorder="1" applyAlignment="1">
      <alignment horizontal="center" vertical="top" wrapText="1"/>
    </xf>
    <xf numFmtId="3" fontId="1" fillId="10" borderId="61" xfId="0" applyNumberFormat="1" applyFont="1" applyFill="1" applyBorder="1" applyAlignment="1">
      <alignment horizontal="left" vertical="top" wrapText="1"/>
    </xf>
    <xf numFmtId="49" fontId="3" fillId="5" borderId="42" xfId="0" applyNumberFormat="1" applyFont="1" applyFill="1" applyBorder="1" applyAlignment="1">
      <alignment horizontal="center" vertical="top"/>
    </xf>
    <xf numFmtId="49" fontId="3" fillId="6" borderId="34" xfId="0" applyNumberFormat="1" applyFont="1" applyFill="1" applyBorder="1" applyAlignment="1">
      <alignment vertical="top"/>
    </xf>
    <xf numFmtId="49" fontId="1" fillId="6" borderId="37" xfId="0" applyNumberFormat="1" applyFont="1" applyFill="1" applyBorder="1" applyAlignment="1">
      <alignment horizontal="center" vertical="top"/>
    </xf>
    <xf numFmtId="164" fontId="1" fillId="8" borderId="34" xfId="0" applyNumberFormat="1" applyFont="1" applyFill="1" applyBorder="1" applyAlignment="1">
      <alignment horizontal="center" vertical="top"/>
    </xf>
    <xf numFmtId="164" fontId="1" fillId="8" borderId="4" xfId="0" applyNumberFormat="1" applyFont="1" applyFill="1" applyBorder="1" applyAlignment="1">
      <alignment horizontal="center" vertical="top"/>
    </xf>
    <xf numFmtId="3" fontId="1" fillId="8" borderId="7" xfId="0" applyNumberFormat="1" applyFont="1" applyFill="1" applyBorder="1" applyAlignment="1">
      <alignment horizontal="left" vertical="top" wrapText="1"/>
    </xf>
    <xf numFmtId="3" fontId="1" fillId="8" borderId="67" xfId="0" applyNumberFormat="1" applyFont="1" applyFill="1" applyBorder="1" applyAlignment="1">
      <alignment horizontal="center" vertical="top" wrapText="1"/>
    </xf>
    <xf numFmtId="49" fontId="3" fillId="6" borderId="0" xfId="0" applyNumberFormat="1" applyFont="1" applyFill="1" applyBorder="1" applyAlignment="1">
      <alignment vertical="top"/>
    </xf>
    <xf numFmtId="49" fontId="1" fillId="6" borderId="43" xfId="0" applyNumberFormat="1" applyFont="1" applyFill="1" applyBorder="1" applyAlignment="1">
      <alignment horizontal="center" vertical="top"/>
    </xf>
    <xf numFmtId="49" fontId="3" fillId="6" borderId="1" xfId="0" applyNumberFormat="1" applyFont="1" applyFill="1" applyBorder="1" applyAlignment="1">
      <alignment vertical="top"/>
    </xf>
    <xf numFmtId="49" fontId="1" fillId="6" borderId="45" xfId="0" applyNumberFormat="1" applyFont="1" applyFill="1" applyBorder="1" applyAlignment="1">
      <alignment horizontal="center" vertical="top"/>
    </xf>
    <xf numFmtId="164" fontId="1" fillId="0" borderId="34" xfId="0" applyNumberFormat="1" applyFont="1" applyFill="1" applyBorder="1" applyAlignment="1">
      <alignment horizontal="center" vertical="top"/>
    </xf>
    <xf numFmtId="3" fontId="1" fillId="0" borderId="38" xfId="0" applyNumberFormat="1" applyFont="1" applyFill="1" applyBorder="1" applyAlignment="1">
      <alignment horizontal="left" vertical="top" wrapText="1"/>
    </xf>
    <xf numFmtId="0" fontId="1" fillId="0" borderId="45" xfId="0" applyFont="1" applyBorder="1" applyAlignment="1">
      <alignment horizontal="center" vertical="top" wrapText="1"/>
    </xf>
    <xf numFmtId="164" fontId="1" fillId="8" borderId="63" xfId="0" applyNumberFormat="1" applyFont="1" applyFill="1" applyBorder="1" applyAlignment="1">
      <alignment horizontal="center" vertical="top"/>
    </xf>
    <xf numFmtId="3" fontId="1" fillId="8" borderId="43" xfId="0" applyNumberFormat="1" applyFont="1" applyFill="1" applyBorder="1" applyAlignment="1">
      <alignment horizontal="center" vertical="top" wrapText="1"/>
    </xf>
    <xf numFmtId="3" fontId="1" fillId="8" borderId="45" xfId="0" applyNumberFormat="1" applyFont="1" applyFill="1" applyBorder="1" applyAlignment="1">
      <alignment horizontal="center" vertical="top" wrapText="1"/>
    </xf>
    <xf numFmtId="3" fontId="1" fillId="0" borderId="33" xfId="0" applyNumberFormat="1" applyFont="1" applyFill="1" applyBorder="1" applyAlignment="1">
      <alignment horizontal="left" vertical="top" wrapText="1"/>
    </xf>
    <xf numFmtId="3" fontId="1" fillId="0" borderId="0" xfId="0" applyNumberFormat="1" applyFont="1"/>
    <xf numFmtId="164" fontId="1" fillId="0" borderId="0" xfId="0" applyNumberFormat="1" applyFont="1"/>
    <xf numFmtId="3" fontId="30" fillId="0" borderId="4" xfId="0" applyNumberFormat="1" applyFont="1" applyFill="1" applyBorder="1" applyAlignment="1">
      <alignment vertical="top" textRotation="90" wrapText="1"/>
    </xf>
    <xf numFmtId="3" fontId="30" fillId="0" borderId="12" xfId="0" applyNumberFormat="1" applyFont="1" applyFill="1" applyBorder="1" applyAlignment="1">
      <alignment vertical="top" textRotation="90" wrapText="1"/>
    </xf>
    <xf numFmtId="164" fontId="1" fillId="8" borderId="40" xfId="0" applyNumberFormat="1" applyFont="1" applyFill="1" applyBorder="1" applyAlignment="1">
      <alignment horizontal="center" vertical="top"/>
    </xf>
    <xf numFmtId="164" fontId="1" fillId="8" borderId="56" xfId="0" applyNumberFormat="1" applyFont="1" applyFill="1" applyBorder="1" applyAlignment="1">
      <alignment horizontal="center" vertical="top"/>
    </xf>
    <xf numFmtId="164" fontId="1" fillId="0" borderId="56" xfId="0" applyNumberFormat="1" applyFont="1" applyBorder="1" applyAlignment="1">
      <alignment horizontal="center" vertical="top"/>
    </xf>
    <xf numFmtId="3" fontId="1" fillId="8" borderId="61" xfId="0" applyNumberFormat="1" applyFont="1" applyFill="1" applyBorder="1" applyAlignment="1">
      <alignment horizontal="left" vertical="top" wrapText="1"/>
    </xf>
    <xf numFmtId="164" fontId="1" fillId="0" borderId="12" xfId="0" applyNumberFormat="1" applyFont="1" applyBorder="1" applyAlignment="1">
      <alignment horizontal="center" vertical="top"/>
    </xf>
    <xf numFmtId="3" fontId="1" fillId="0" borderId="61" xfId="0" applyNumberFormat="1" applyFont="1" applyFill="1" applyBorder="1" applyAlignment="1">
      <alignment vertical="top" wrapText="1"/>
    </xf>
    <xf numFmtId="49" fontId="1" fillId="6" borderId="57" xfId="0" applyNumberFormat="1" applyFont="1" applyFill="1" applyBorder="1" applyAlignment="1">
      <alignment horizontal="center" vertical="top"/>
    </xf>
    <xf numFmtId="3" fontId="30" fillId="0" borderId="56" xfId="0" applyNumberFormat="1" applyFont="1" applyFill="1" applyBorder="1" applyAlignment="1">
      <alignment vertical="top" textRotation="90" wrapText="1"/>
    </xf>
    <xf numFmtId="3" fontId="1" fillId="6" borderId="14" xfId="0" applyNumberFormat="1" applyFont="1" applyFill="1" applyBorder="1" applyAlignment="1">
      <alignment horizontal="left" vertical="top" wrapText="1"/>
    </xf>
    <xf numFmtId="49" fontId="1" fillId="6" borderId="65" xfId="0" applyNumberFormat="1" applyFont="1" applyFill="1" applyBorder="1" applyAlignment="1">
      <alignment horizontal="center" vertical="top"/>
    </xf>
    <xf numFmtId="3" fontId="30" fillId="0" borderId="11" xfId="0" applyNumberFormat="1" applyFont="1" applyFill="1" applyBorder="1" applyAlignment="1">
      <alignment vertical="top" textRotation="90" wrapText="1"/>
    </xf>
    <xf numFmtId="3" fontId="1" fillId="8" borderId="61" xfId="0" applyNumberFormat="1" applyFont="1" applyFill="1" applyBorder="1" applyAlignment="1">
      <alignment vertical="top" wrapText="1"/>
    </xf>
    <xf numFmtId="3" fontId="1" fillId="6" borderId="58" xfId="0" applyNumberFormat="1" applyFont="1" applyFill="1" applyBorder="1" applyAlignment="1">
      <alignment horizontal="left" vertical="top" wrapText="1"/>
    </xf>
    <xf numFmtId="0" fontId="1" fillId="8" borderId="61" xfId="0" applyNumberFormat="1" applyFont="1" applyFill="1" applyBorder="1" applyAlignment="1">
      <alignment horizontal="left" vertical="top" wrapText="1"/>
    </xf>
    <xf numFmtId="0" fontId="1" fillId="8" borderId="61" xfId="0" applyNumberFormat="1" applyFont="1" applyFill="1" applyBorder="1" applyAlignment="1">
      <alignment vertical="top" wrapText="1"/>
    </xf>
    <xf numFmtId="3" fontId="30" fillId="0" borderId="56" xfId="0" applyNumberFormat="1" applyFont="1" applyFill="1" applyBorder="1" applyAlignment="1">
      <alignment horizontal="center" vertical="top" textRotation="90" wrapText="1"/>
    </xf>
    <xf numFmtId="3" fontId="3" fillId="8" borderId="43" xfId="0" applyNumberFormat="1" applyFont="1" applyFill="1" applyBorder="1" applyAlignment="1">
      <alignment horizontal="center" vertical="top"/>
    </xf>
    <xf numFmtId="3" fontId="1" fillId="0" borderId="31" xfId="0" applyNumberFormat="1" applyFont="1" applyFill="1" applyBorder="1" applyAlignment="1">
      <alignment vertical="top" wrapText="1"/>
    </xf>
    <xf numFmtId="3" fontId="3" fillId="8" borderId="45" xfId="0" applyNumberFormat="1" applyFont="1" applyFill="1" applyBorder="1" applyAlignment="1">
      <alignment horizontal="center" vertical="top"/>
    </xf>
    <xf numFmtId="3" fontId="1" fillId="0" borderId="38" xfId="0" applyNumberFormat="1" applyFont="1" applyFill="1" applyBorder="1" applyAlignment="1">
      <alignment vertical="top" wrapText="1"/>
    </xf>
    <xf numFmtId="3" fontId="1" fillId="0" borderId="27" xfId="0" applyNumberFormat="1" applyFont="1" applyBorder="1" applyAlignment="1">
      <alignment vertical="top" wrapText="1"/>
    </xf>
    <xf numFmtId="3" fontId="1" fillId="0" borderId="43" xfId="0" applyNumberFormat="1" applyFont="1" applyBorder="1" applyAlignment="1">
      <alignment horizontal="center" vertical="top" wrapText="1"/>
    </xf>
    <xf numFmtId="3" fontId="1" fillId="0" borderId="0" xfId="0" applyNumberFormat="1" applyFont="1" applyAlignment="1">
      <alignment horizontal="justify"/>
    </xf>
    <xf numFmtId="3" fontId="1" fillId="0" borderId="7" xfId="0" applyNumberFormat="1" applyFont="1" applyFill="1" applyBorder="1" applyAlignment="1">
      <alignment vertical="top" wrapText="1"/>
    </xf>
    <xf numFmtId="3" fontId="1" fillId="0" borderId="0" xfId="0" applyNumberFormat="1" applyFont="1" applyBorder="1"/>
    <xf numFmtId="3" fontId="1" fillId="0" borderId="41" xfId="0" applyNumberFormat="1" applyFont="1" applyFill="1" applyBorder="1" applyAlignment="1">
      <alignment vertical="top" wrapText="1"/>
    </xf>
    <xf numFmtId="3" fontId="1" fillId="0" borderId="33" xfId="0" applyNumberFormat="1" applyFont="1" applyFill="1" applyBorder="1" applyAlignment="1">
      <alignment vertical="top" wrapText="1"/>
    </xf>
    <xf numFmtId="3" fontId="3" fillId="0" borderId="34" xfId="0" applyNumberFormat="1" applyFont="1" applyFill="1" applyBorder="1" applyAlignment="1">
      <alignment horizontal="center" vertical="center" textRotation="90" wrapText="1"/>
    </xf>
    <xf numFmtId="3" fontId="1" fillId="0" borderId="4" xfId="0" applyNumberFormat="1" applyFont="1" applyFill="1" applyBorder="1" applyAlignment="1">
      <alignment vertical="top" textRotation="90" wrapText="1"/>
    </xf>
    <xf numFmtId="3" fontId="3" fillId="0" borderId="32" xfId="0" applyNumberFormat="1" applyFont="1" applyFill="1" applyBorder="1" applyAlignment="1">
      <alignment horizontal="center" vertical="top" wrapText="1"/>
    </xf>
    <xf numFmtId="3" fontId="1" fillId="8" borderId="33" xfId="0" applyNumberFormat="1" applyFont="1" applyFill="1" applyBorder="1" applyAlignment="1">
      <alignment vertical="top" wrapText="1"/>
    </xf>
    <xf numFmtId="3" fontId="3" fillId="0" borderId="1" xfId="0" applyNumberFormat="1" applyFont="1" applyFill="1" applyBorder="1" applyAlignment="1">
      <alignment horizontal="center" vertical="center" textRotation="90" wrapText="1"/>
    </xf>
    <xf numFmtId="3" fontId="1" fillId="0" borderId="20" xfId="0" applyNumberFormat="1" applyFont="1" applyFill="1" applyBorder="1" applyAlignment="1">
      <alignment vertical="top" textRotation="90" wrapText="1"/>
    </xf>
    <xf numFmtId="3" fontId="3" fillId="0" borderId="44" xfId="0" applyNumberFormat="1" applyFont="1" applyFill="1" applyBorder="1" applyAlignment="1">
      <alignment vertical="top" wrapText="1"/>
    </xf>
    <xf numFmtId="49" fontId="1" fillId="6" borderId="37" xfId="0" applyNumberFormat="1" applyFont="1" applyFill="1" applyBorder="1" applyAlignment="1">
      <alignment horizontal="center" vertical="top" wrapText="1"/>
    </xf>
    <xf numFmtId="3" fontId="30" fillId="0" borderId="4" xfId="0" applyNumberFormat="1" applyFont="1" applyBorder="1" applyAlignment="1">
      <alignment vertical="top" textRotation="90"/>
    </xf>
    <xf numFmtId="49" fontId="3" fillId="0" borderId="34" xfId="0" applyNumberFormat="1" applyFont="1" applyBorder="1" applyAlignment="1">
      <alignment horizontal="center" vertical="top" wrapText="1"/>
    </xf>
    <xf numFmtId="3" fontId="1" fillId="8" borderId="6" xfId="0" applyNumberFormat="1" applyFont="1" applyFill="1" applyBorder="1" applyAlignment="1">
      <alignment horizontal="center" vertical="top" wrapText="1"/>
    </xf>
    <xf numFmtId="3" fontId="1" fillId="0" borderId="37" xfId="0" applyNumberFormat="1" applyFont="1" applyBorder="1" applyAlignment="1">
      <alignment horizontal="center"/>
    </xf>
    <xf numFmtId="3" fontId="30" fillId="0" borderId="12" xfId="0" applyNumberFormat="1" applyFont="1" applyBorder="1" applyAlignment="1">
      <alignment vertical="top" textRotation="90"/>
    </xf>
    <xf numFmtId="49" fontId="3" fillId="0" borderId="0" xfId="0" applyNumberFormat="1" applyFont="1" applyBorder="1" applyAlignment="1">
      <alignment horizontal="center" vertical="top" wrapText="1"/>
    </xf>
    <xf numFmtId="3" fontId="1" fillId="0" borderId="31" xfId="0" applyNumberFormat="1" applyFont="1" applyBorder="1"/>
    <xf numFmtId="3" fontId="1" fillId="0" borderId="43" xfId="0" applyNumberFormat="1" applyFont="1" applyBorder="1" applyAlignment="1">
      <alignment horizontal="center"/>
    </xf>
    <xf numFmtId="3" fontId="1" fillId="8" borderId="53" xfId="0" applyNumberFormat="1" applyFont="1" applyFill="1" applyBorder="1" applyAlignment="1">
      <alignment horizontal="center" vertical="top" wrapText="1"/>
    </xf>
    <xf numFmtId="49" fontId="1" fillId="6" borderId="57" xfId="0" applyNumberFormat="1" applyFont="1" applyFill="1" applyBorder="1" applyAlignment="1">
      <alignment horizontal="center" vertical="top" wrapText="1"/>
    </xf>
    <xf numFmtId="0" fontId="1" fillId="8" borderId="0" xfId="0" applyFont="1" applyFill="1" applyBorder="1" applyAlignment="1">
      <alignment horizontal="center" vertical="center" wrapText="1"/>
    </xf>
    <xf numFmtId="0" fontId="1" fillId="8" borderId="0" xfId="0" applyFont="1" applyFill="1" applyBorder="1" applyAlignment="1">
      <alignment horizontal="center" vertical="center"/>
    </xf>
    <xf numFmtId="3" fontId="1" fillId="8" borderId="0" xfId="0" applyNumberFormat="1" applyFont="1" applyFill="1" applyBorder="1" applyAlignment="1">
      <alignment horizontal="center" vertical="top" wrapText="1"/>
    </xf>
    <xf numFmtId="164" fontId="1" fillId="8" borderId="0" xfId="0" applyNumberFormat="1" applyFont="1" applyFill="1" applyBorder="1" applyAlignment="1">
      <alignment horizontal="center" vertical="top" wrapText="1"/>
    </xf>
    <xf numFmtId="164" fontId="1" fillId="8" borderId="0" xfId="0" applyNumberFormat="1" applyFont="1" applyFill="1" applyBorder="1" applyAlignment="1">
      <alignment horizontal="center" vertical="center"/>
    </xf>
    <xf numFmtId="49" fontId="1" fillId="6" borderId="43" xfId="0" applyNumberFormat="1" applyFont="1" applyFill="1" applyBorder="1" applyAlignment="1">
      <alignment horizontal="center" vertical="top" wrapText="1"/>
    </xf>
    <xf numFmtId="164" fontId="1" fillId="13" borderId="12" xfId="3" applyNumberFormat="1" applyFont="1" applyFill="1" applyBorder="1" applyAlignment="1">
      <alignment horizontal="center" vertical="top"/>
    </xf>
    <xf numFmtId="3" fontId="1" fillId="8" borderId="64" xfId="0" applyNumberFormat="1" applyFont="1" applyFill="1" applyBorder="1" applyAlignment="1">
      <alignment horizontal="center" vertical="top" wrapText="1"/>
    </xf>
    <xf numFmtId="3" fontId="1" fillId="8" borderId="57" xfId="0" applyNumberFormat="1" applyFont="1" applyFill="1" applyBorder="1" applyAlignment="1">
      <alignment horizontal="center" vertical="top" wrapText="1"/>
    </xf>
    <xf numFmtId="3" fontId="1" fillId="8" borderId="65" xfId="0" applyNumberFormat="1" applyFont="1" applyFill="1" applyBorder="1" applyAlignment="1">
      <alignment horizontal="center" vertical="top" wrapText="1"/>
    </xf>
    <xf numFmtId="3" fontId="1" fillId="0" borderId="7" xfId="0" applyNumberFormat="1" applyFont="1" applyFill="1" applyBorder="1" applyAlignment="1">
      <alignment vertical="center" textRotation="90" wrapText="1"/>
    </xf>
    <xf numFmtId="3" fontId="30" fillId="0" borderId="3" xfId="0" applyNumberFormat="1" applyFont="1" applyFill="1" applyBorder="1" applyAlignment="1">
      <alignment vertical="center" textRotation="90" wrapText="1"/>
    </xf>
    <xf numFmtId="3" fontId="3" fillId="0" borderId="5" xfId="0" applyNumberFormat="1" applyFont="1" applyFill="1" applyBorder="1" applyAlignment="1">
      <alignment horizontal="center" vertical="top" wrapText="1"/>
    </xf>
    <xf numFmtId="3" fontId="1" fillId="8" borderId="40" xfId="0" applyNumberFormat="1" applyFont="1" applyFill="1" applyBorder="1" applyAlignment="1">
      <alignment horizontal="center" vertical="top"/>
    </xf>
    <xf numFmtId="49" fontId="1" fillId="0" borderId="64" xfId="0" applyNumberFormat="1" applyFont="1" applyBorder="1" applyAlignment="1">
      <alignment horizontal="center" vertical="top"/>
    </xf>
    <xf numFmtId="49" fontId="30" fillId="0" borderId="12" xfId="0" applyNumberFormat="1" applyFont="1" applyBorder="1" applyAlignment="1">
      <alignment vertical="top" textRotation="90"/>
    </xf>
    <xf numFmtId="49" fontId="1" fillId="0" borderId="43" xfId="0" applyNumberFormat="1" applyFont="1" applyBorder="1" applyAlignment="1">
      <alignment horizontal="center" vertical="top"/>
    </xf>
    <xf numFmtId="49" fontId="3" fillId="0" borderId="70" xfId="0" applyNumberFormat="1" applyFont="1" applyBorder="1" applyAlignment="1">
      <alignment horizontal="center" vertical="top"/>
    </xf>
    <xf numFmtId="0" fontId="1" fillId="8" borderId="61" xfId="0" applyFont="1" applyFill="1" applyBorder="1" applyAlignment="1">
      <alignment horizontal="left" vertical="top" wrapText="1"/>
    </xf>
    <xf numFmtId="49" fontId="1" fillId="0" borderId="57" xfId="0" applyNumberFormat="1" applyFont="1" applyBorder="1" applyAlignment="1">
      <alignment horizontal="center" vertical="top"/>
    </xf>
    <xf numFmtId="49" fontId="30" fillId="0" borderId="56" xfId="0" applyNumberFormat="1" applyFont="1" applyBorder="1" applyAlignment="1">
      <alignment vertical="top" textRotation="90"/>
    </xf>
    <xf numFmtId="49" fontId="3" fillId="8" borderId="70" xfId="0" applyNumberFormat="1" applyFont="1" applyFill="1" applyBorder="1" applyAlignment="1">
      <alignment horizontal="center" vertical="top"/>
    </xf>
    <xf numFmtId="49" fontId="30" fillId="0" borderId="63" xfId="0" applyNumberFormat="1" applyFont="1" applyBorder="1" applyAlignment="1">
      <alignment vertical="top" textRotation="90"/>
    </xf>
    <xf numFmtId="49" fontId="3" fillId="8" borderId="71" xfId="0" applyNumberFormat="1" applyFont="1" applyFill="1" applyBorder="1" applyAlignment="1">
      <alignment horizontal="center" vertical="top"/>
    </xf>
    <xf numFmtId="3" fontId="1" fillId="0" borderId="40" xfId="0" applyNumberFormat="1" applyFont="1" applyFill="1" applyBorder="1" applyAlignment="1">
      <alignment horizontal="center" vertical="top" textRotation="90" wrapText="1"/>
    </xf>
    <xf numFmtId="164" fontId="1" fillId="0" borderId="11" xfId="0" applyNumberFormat="1" applyFont="1" applyFill="1" applyBorder="1" applyAlignment="1">
      <alignment horizontal="center" vertical="top" wrapText="1"/>
    </xf>
    <xf numFmtId="3" fontId="30" fillId="0" borderId="12" xfId="0" applyNumberFormat="1" applyFont="1" applyFill="1" applyBorder="1" applyAlignment="1">
      <alignment horizontal="center" vertical="top" textRotation="90" wrapText="1"/>
    </xf>
    <xf numFmtId="3" fontId="1" fillId="0" borderId="38" xfId="0" applyNumberFormat="1" applyFont="1" applyBorder="1" applyAlignment="1">
      <alignment horizontal="left" vertical="top" wrapText="1"/>
    </xf>
    <xf numFmtId="49" fontId="1" fillId="0" borderId="37" xfId="0" applyNumberFormat="1" applyFont="1" applyBorder="1" applyAlignment="1">
      <alignment horizontal="center" vertical="top"/>
    </xf>
    <xf numFmtId="3" fontId="3" fillId="0" borderId="37" xfId="0" applyNumberFormat="1" applyFont="1" applyBorder="1" applyAlignment="1">
      <alignment horizontal="center" vertical="top"/>
    </xf>
    <xf numFmtId="3" fontId="1" fillId="0" borderId="31" xfId="0" applyNumberFormat="1" applyFont="1" applyFill="1" applyBorder="1" applyAlignment="1">
      <alignment horizontal="center" vertical="top"/>
    </xf>
    <xf numFmtId="49" fontId="1" fillId="0" borderId="45" xfId="0" applyNumberFormat="1" applyFont="1" applyBorder="1" applyAlignment="1">
      <alignment horizontal="center" vertical="top"/>
    </xf>
    <xf numFmtId="3" fontId="3" fillId="0" borderId="45" xfId="0" applyNumberFormat="1" applyFont="1" applyBorder="1" applyAlignment="1">
      <alignment horizontal="center" vertical="top"/>
    </xf>
    <xf numFmtId="3" fontId="30" fillId="0" borderId="4" xfId="0" applyNumberFormat="1" applyFont="1" applyFill="1" applyBorder="1" applyAlignment="1">
      <alignment horizontal="center" vertical="center" textRotation="90" wrapText="1"/>
    </xf>
    <xf numFmtId="3" fontId="30" fillId="0" borderId="20" xfId="0" applyNumberFormat="1" applyFont="1" applyFill="1" applyBorder="1" applyAlignment="1">
      <alignment horizontal="center" vertical="center" textRotation="90" wrapText="1"/>
    </xf>
    <xf numFmtId="3" fontId="3" fillId="12" borderId="38" xfId="0" applyNumberFormat="1" applyFont="1" applyFill="1" applyBorder="1" applyAlignment="1">
      <alignment horizontal="left" vertical="top"/>
    </xf>
    <xf numFmtId="3" fontId="3" fillId="12" borderId="1" xfId="0" applyNumberFormat="1" applyFont="1" applyFill="1" applyBorder="1" applyAlignment="1">
      <alignment horizontal="center" vertical="top"/>
    </xf>
    <xf numFmtId="3" fontId="3" fillId="12" borderId="47" xfId="0" applyNumberFormat="1" applyFont="1" applyFill="1" applyBorder="1" applyAlignment="1">
      <alignment horizontal="center" vertical="top"/>
    </xf>
    <xf numFmtId="164" fontId="1" fillId="6" borderId="0" xfId="0" applyNumberFormat="1" applyFont="1" applyFill="1" applyBorder="1" applyAlignment="1">
      <alignment horizontal="left" vertical="top" wrapText="1"/>
    </xf>
    <xf numFmtId="3" fontId="1" fillId="0" borderId="0" xfId="0" applyNumberFormat="1" applyFont="1" applyAlignment="1">
      <alignment vertical="top"/>
    </xf>
    <xf numFmtId="3" fontId="1" fillId="8" borderId="43" xfId="0" applyNumberFormat="1" applyFont="1" applyFill="1" applyBorder="1" applyAlignment="1">
      <alignment horizontal="center" vertical="top"/>
    </xf>
    <xf numFmtId="3" fontId="3" fillId="0" borderId="45" xfId="0" applyNumberFormat="1" applyFont="1" applyFill="1" applyBorder="1" applyAlignment="1">
      <alignment vertical="top"/>
    </xf>
    <xf numFmtId="3" fontId="3" fillId="0" borderId="31" xfId="0" applyNumberFormat="1" applyFont="1" applyFill="1" applyBorder="1" applyAlignment="1">
      <alignment vertical="top" textRotation="180" wrapText="1"/>
    </xf>
    <xf numFmtId="0" fontId="1" fillId="8" borderId="67" xfId="0" applyNumberFormat="1" applyFont="1" applyFill="1" applyBorder="1" applyAlignment="1">
      <alignment horizontal="center" vertical="top" wrapText="1"/>
    </xf>
    <xf numFmtId="3" fontId="1" fillId="0" borderId="0" xfId="0" applyNumberFormat="1" applyFont="1" applyBorder="1" applyAlignment="1">
      <alignment vertical="top"/>
    </xf>
    <xf numFmtId="0" fontId="1" fillId="8" borderId="65" xfId="0" applyNumberFormat="1" applyFont="1" applyFill="1" applyBorder="1" applyAlignment="1">
      <alignment horizontal="center" vertical="top" wrapText="1"/>
    </xf>
    <xf numFmtId="49" fontId="1" fillId="6" borderId="64" xfId="0" applyNumberFormat="1" applyFont="1" applyFill="1" applyBorder="1" applyAlignment="1">
      <alignment horizontal="center" vertical="top"/>
    </xf>
    <xf numFmtId="3" fontId="3" fillId="0" borderId="31" xfId="0" applyNumberFormat="1" applyFont="1" applyFill="1" applyBorder="1" applyAlignment="1">
      <alignment vertical="top" wrapText="1"/>
    </xf>
    <xf numFmtId="0" fontId="1" fillId="8" borderId="57" xfId="0" applyNumberFormat="1" applyFont="1" applyFill="1" applyBorder="1" applyAlignment="1">
      <alignment horizontal="center" vertical="top" wrapText="1"/>
    </xf>
    <xf numFmtId="0" fontId="1" fillId="8" borderId="31" xfId="0" applyNumberFormat="1" applyFont="1" applyFill="1" applyBorder="1" applyAlignment="1">
      <alignment vertical="top" wrapText="1"/>
    </xf>
    <xf numFmtId="3" fontId="1" fillId="0" borderId="58" xfId="0" applyNumberFormat="1" applyFont="1" applyBorder="1" applyAlignment="1">
      <alignment horizontal="left" vertical="top" wrapText="1"/>
    </xf>
    <xf numFmtId="3" fontId="1" fillId="0" borderId="27" xfId="0" applyNumberFormat="1" applyFont="1" applyFill="1" applyBorder="1" applyAlignment="1">
      <alignment vertical="top" wrapText="1"/>
    </xf>
    <xf numFmtId="3" fontId="3" fillId="0" borderId="38" xfId="0" applyNumberFormat="1" applyFont="1" applyFill="1" applyBorder="1" applyAlignment="1">
      <alignment vertical="top" textRotation="180" wrapText="1"/>
    </xf>
    <xf numFmtId="3" fontId="3" fillId="0" borderId="33" xfId="0" applyNumberFormat="1" applyFont="1" applyFill="1" applyBorder="1" applyAlignment="1">
      <alignment textRotation="90"/>
    </xf>
    <xf numFmtId="3" fontId="30" fillId="0" borderId="4" xfId="0" applyNumberFormat="1" applyFont="1" applyFill="1" applyBorder="1" applyAlignment="1">
      <alignment textRotation="90"/>
    </xf>
    <xf numFmtId="49" fontId="1" fillId="6" borderId="12" xfId="0" applyNumberFormat="1" applyFont="1" applyFill="1" applyBorder="1" applyAlignment="1">
      <alignment horizontal="center" vertical="top"/>
    </xf>
    <xf numFmtId="3" fontId="3" fillId="0" borderId="31" xfId="0" applyNumberFormat="1" applyFont="1" applyFill="1" applyBorder="1" applyAlignment="1">
      <alignment textRotation="90"/>
    </xf>
    <xf numFmtId="3" fontId="30" fillId="0" borderId="56" xfId="0" applyNumberFormat="1" applyFont="1" applyFill="1" applyBorder="1" applyAlignment="1">
      <alignment horizontal="center" vertical="center" textRotation="90"/>
    </xf>
    <xf numFmtId="3" fontId="1" fillId="8" borderId="58" xfId="0" applyNumberFormat="1" applyFont="1" applyFill="1" applyBorder="1" applyAlignment="1">
      <alignment vertical="top" wrapText="1"/>
    </xf>
    <xf numFmtId="3" fontId="30" fillId="0" borderId="63" xfId="0" applyNumberFormat="1" applyFont="1" applyFill="1" applyBorder="1" applyAlignment="1">
      <alignment textRotation="90"/>
    </xf>
    <xf numFmtId="3" fontId="30" fillId="0" borderId="56" xfId="0" applyNumberFormat="1" applyFont="1" applyFill="1" applyBorder="1" applyAlignment="1">
      <alignment textRotation="90"/>
    </xf>
    <xf numFmtId="3" fontId="3" fillId="0" borderId="31" xfId="0" applyNumberFormat="1" applyFont="1" applyFill="1" applyBorder="1" applyAlignment="1">
      <alignment horizontal="center" textRotation="90"/>
    </xf>
    <xf numFmtId="3" fontId="30" fillId="0" borderId="56" xfId="0" applyNumberFormat="1" applyFont="1" applyFill="1" applyBorder="1" applyAlignment="1">
      <alignment horizontal="center" textRotation="90"/>
    </xf>
    <xf numFmtId="3" fontId="1" fillId="0" borderId="50" xfId="0" applyNumberFormat="1" applyFont="1" applyBorder="1" applyAlignment="1">
      <alignment horizontal="center" vertical="top"/>
    </xf>
    <xf numFmtId="3" fontId="3" fillId="0" borderId="31" xfId="0" applyNumberFormat="1" applyFont="1" applyFill="1" applyBorder="1" applyAlignment="1">
      <alignment horizontal="center" vertical="center"/>
    </xf>
    <xf numFmtId="3" fontId="30" fillId="0" borderId="12" xfId="0" applyNumberFormat="1" applyFont="1" applyFill="1" applyBorder="1" applyAlignment="1">
      <alignment horizontal="center" vertical="center" textRotation="90"/>
    </xf>
    <xf numFmtId="165" fontId="1" fillId="0" borderId="43" xfId="0" applyNumberFormat="1" applyFont="1" applyFill="1" applyBorder="1" applyAlignment="1">
      <alignment horizontal="center" vertical="top" wrapText="1"/>
    </xf>
    <xf numFmtId="3" fontId="3" fillId="0" borderId="38" xfId="0" applyNumberFormat="1" applyFont="1" applyFill="1" applyBorder="1" applyAlignment="1">
      <alignment horizontal="center" vertical="center"/>
    </xf>
    <xf numFmtId="3" fontId="30" fillId="0" borderId="20" xfId="0" applyNumberFormat="1" applyFont="1" applyFill="1" applyBorder="1" applyAlignment="1">
      <alignment horizontal="center" vertical="center" textRotation="90"/>
    </xf>
    <xf numFmtId="0" fontId="1" fillId="8" borderId="37" xfId="0" applyNumberFormat="1" applyFont="1" applyFill="1" applyBorder="1" applyAlignment="1">
      <alignment horizontal="center" vertical="top" wrapText="1"/>
    </xf>
    <xf numFmtId="3" fontId="3" fillId="0" borderId="34" xfId="0" applyNumberFormat="1" applyFont="1" applyFill="1" applyBorder="1" applyAlignment="1">
      <alignment horizontal="center" vertical="top"/>
    </xf>
    <xf numFmtId="3" fontId="3" fillId="0" borderId="28" xfId="0" applyNumberFormat="1" applyFont="1" applyFill="1" applyBorder="1" applyAlignment="1">
      <alignment horizontal="center" vertical="center"/>
    </xf>
    <xf numFmtId="3" fontId="1" fillId="8" borderId="75" xfId="0" applyNumberFormat="1" applyFont="1" applyFill="1" applyBorder="1" applyAlignment="1">
      <alignment horizontal="center" vertical="top" wrapText="1"/>
    </xf>
    <xf numFmtId="3" fontId="3" fillId="0" borderId="0" xfId="0" applyNumberFormat="1" applyFont="1" applyFill="1" applyBorder="1" applyAlignment="1">
      <alignment horizontal="center" vertical="top"/>
    </xf>
    <xf numFmtId="3" fontId="3" fillId="0" borderId="57" xfId="0" applyNumberFormat="1" applyFont="1" applyBorder="1" applyAlignment="1">
      <alignment horizontal="center" vertical="top"/>
    </xf>
    <xf numFmtId="3" fontId="3" fillId="0" borderId="35" xfId="0" applyNumberFormat="1" applyFont="1" applyBorder="1" applyAlignment="1">
      <alignment vertical="top"/>
    </xf>
    <xf numFmtId="3" fontId="3" fillId="0" borderId="51" xfId="0" applyNumberFormat="1" applyFont="1" applyBorder="1" applyAlignment="1">
      <alignment vertical="top"/>
    </xf>
    <xf numFmtId="3" fontId="1" fillId="8" borderId="58" xfId="0" applyNumberFormat="1" applyFont="1" applyFill="1" applyBorder="1" applyAlignment="1">
      <alignment horizontal="center" vertical="top" wrapText="1"/>
    </xf>
    <xf numFmtId="3" fontId="3" fillId="0" borderId="10" xfId="0" applyNumberFormat="1" applyFont="1" applyFill="1" applyBorder="1" applyAlignment="1">
      <alignment horizontal="center" vertical="top" wrapText="1"/>
    </xf>
    <xf numFmtId="3" fontId="1" fillId="8" borderId="50" xfId="0" applyNumberFormat="1" applyFont="1" applyFill="1" applyBorder="1" applyAlignment="1">
      <alignment horizontal="center" vertical="top"/>
    </xf>
    <xf numFmtId="164" fontId="1" fillId="8" borderId="0" xfId="0" applyNumberFormat="1" applyFont="1" applyFill="1"/>
    <xf numFmtId="3" fontId="1" fillId="8" borderId="0" xfId="0" applyNumberFormat="1" applyFont="1" applyFill="1" applyBorder="1"/>
    <xf numFmtId="3" fontId="3" fillId="8" borderId="53" xfId="0" applyNumberFormat="1" applyFont="1" applyFill="1" applyBorder="1" applyAlignment="1">
      <alignment vertical="top" wrapText="1"/>
    </xf>
    <xf numFmtId="3" fontId="1" fillId="8" borderId="53" xfId="0" applyNumberFormat="1" applyFont="1" applyFill="1" applyBorder="1" applyAlignment="1">
      <alignment horizontal="center" vertical="top"/>
    </xf>
    <xf numFmtId="164" fontId="1" fillId="8" borderId="0" xfId="0" applyNumberFormat="1" applyFont="1" applyFill="1" applyBorder="1"/>
    <xf numFmtId="165" fontId="1" fillId="0" borderId="0" xfId="0" applyNumberFormat="1" applyFont="1"/>
    <xf numFmtId="3" fontId="30" fillId="0" borderId="12" xfId="0" applyNumberFormat="1" applyFont="1" applyFill="1" applyBorder="1" applyAlignment="1">
      <alignment horizontal="center" vertical="top" textRotation="90"/>
    </xf>
    <xf numFmtId="164" fontId="1" fillId="8" borderId="0" xfId="0" applyNumberFormat="1" applyFont="1" applyFill="1" applyBorder="1" applyAlignment="1">
      <alignment horizontal="center" vertical="center" wrapText="1"/>
    </xf>
    <xf numFmtId="3" fontId="30" fillId="0" borderId="12" xfId="0" applyNumberFormat="1" applyFont="1" applyBorder="1" applyAlignment="1">
      <alignment vertical="center" textRotation="90"/>
    </xf>
    <xf numFmtId="3" fontId="3" fillId="0" borderId="51" xfId="0" applyNumberFormat="1" applyFont="1" applyBorder="1" applyAlignment="1">
      <alignment horizontal="center" vertical="center" textRotation="90"/>
    </xf>
    <xf numFmtId="3" fontId="30" fillId="0" borderId="74" xfId="0" applyNumberFormat="1" applyFont="1" applyBorder="1" applyAlignment="1">
      <alignment vertical="center" textRotation="90"/>
    </xf>
    <xf numFmtId="3" fontId="30" fillId="8" borderId="54" xfId="0" applyNumberFormat="1" applyFont="1" applyFill="1" applyBorder="1" applyAlignment="1">
      <alignment horizontal="center" vertical="center" textRotation="90" wrapText="1"/>
    </xf>
    <xf numFmtId="3" fontId="30" fillId="8" borderId="73" xfId="0" applyNumberFormat="1" applyFont="1" applyFill="1" applyBorder="1" applyAlignment="1">
      <alignment horizontal="center" vertical="center" textRotation="90" wrapText="1"/>
    </xf>
    <xf numFmtId="49" fontId="1" fillId="6" borderId="70" xfId="0" applyNumberFormat="1" applyFont="1" applyFill="1" applyBorder="1" applyAlignment="1">
      <alignment horizontal="center" vertical="top" wrapText="1"/>
    </xf>
    <xf numFmtId="3" fontId="3" fillId="8" borderId="40" xfId="0" applyNumberFormat="1" applyFont="1" applyFill="1" applyBorder="1" applyAlignment="1">
      <alignment horizontal="center" vertical="top" wrapText="1"/>
    </xf>
    <xf numFmtId="3" fontId="30" fillId="8" borderId="56" xfId="0" applyNumberFormat="1" applyFont="1" applyFill="1" applyBorder="1" applyAlignment="1">
      <alignment horizontal="center" vertical="center" textRotation="90" wrapText="1"/>
    </xf>
    <xf numFmtId="3" fontId="3" fillId="8" borderId="57" xfId="0" applyNumberFormat="1" applyFont="1" applyFill="1" applyBorder="1" applyAlignment="1">
      <alignment horizontal="center" vertical="top" wrapText="1"/>
    </xf>
    <xf numFmtId="49" fontId="1" fillId="10" borderId="38" xfId="0" applyNumberFormat="1" applyFont="1" applyFill="1" applyBorder="1" applyAlignment="1">
      <alignment vertical="top" wrapText="1"/>
    </xf>
    <xf numFmtId="49" fontId="1" fillId="5" borderId="20" xfId="0" applyNumberFormat="1" applyFont="1" applyFill="1" applyBorder="1" applyAlignment="1">
      <alignment horizontal="center" vertical="top" wrapText="1"/>
    </xf>
    <xf numFmtId="3" fontId="30" fillId="0" borderId="20" xfId="0" applyNumberFormat="1" applyFont="1" applyFill="1" applyBorder="1" applyAlignment="1">
      <alignment vertical="top" textRotation="90" wrapText="1"/>
    </xf>
    <xf numFmtId="3" fontId="3" fillId="0" borderId="45" xfId="0" applyNumberFormat="1" applyFont="1" applyFill="1" applyBorder="1" applyAlignment="1">
      <alignment vertical="top" wrapText="1"/>
    </xf>
    <xf numFmtId="164" fontId="1" fillId="0" borderId="0" xfId="0" applyNumberFormat="1" applyFont="1" applyBorder="1"/>
    <xf numFmtId="49" fontId="1" fillId="6" borderId="67" xfId="0" applyNumberFormat="1" applyFont="1" applyFill="1" applyBorder="1" applyAlignment="1">
      <alignment horizontal="center" vertical="top" wrapText="1"/>
    </xf>
    <xf numFmtId="49" fontId="3" fillId="0" borderId="31" xfId="0" applyNumberFormat="1" applyFont="1" applyBorder="1" applyAlignment="1">
      <alignment vertical="top"/>
    </xf>
    <xf numFmtId="49" fontId="3" fillId="0" borderId="51" xfId="0" applyNumberFormat="1" applyFont="1" applyBorder="1" applyAlignment="1">
      <alignment horizontal="center" vertical="top"/>
    </xf>
    <xf numFmtId="3" fontId="1" fillId="0" borderId="40" xfId="0" applyNumberFormat="1" applyFont="1" applyFill="1" applyBorder="1" applyAlignment="1">
      <alignment horizontal="center" vertical="top"/>
    </xf>
    <xf numFmtId="49" fontId="3" fillId="0" borderId="40" xfId="0" applyNumberFormat="1" applyFont="1" applyBorder="1" applyAlignment="1">
      <alignment vertical="top"/>
    </xf>
    <xf numFmtId="49" fontId="3" fillId="0" borderId="27" xfId="0" applyNumberFormat="1" applyFont="1" applyBorder="1" applyAlignment="1">
      <alignment vertical="top"/>
    </xf>
    <xf numFmtId="3" fontId="3" fillId="8" borderId="71" xfId="0" applyNumberFormat="1" applyFont="1" applyFill="1" applyBorder="1" applyAlignment="1">
      <alignment horizontal="center" vertical="top" wrapText="1"/>
    </xf>
    <xf numFmtId="3" fontId="3" fillId="8" borderId="0" xfId="0" applyNumberFormat="1" applyFont="1" applyFill="1" applyBorder="1" applyAlignment="1">
      <alignment vertical="top" wrapText="1"/>
    </xf>
    <xf numFmtId="49" fontId="3" fillId="5" borderId="26" xfId="0" applyNumberFormat="1" applyFont="1" applyFill="1" applyBorder="1" applyAlignment="1">
      <alignment horizontal="center" vertical="top" wrapText="1"/>
    </xf>
    <xf numFmtId="3" fontId="3" fillId="0" borderId="35" xfId="0" applyNumberFormat="1" applyFont="1" applyFill="1" applyBorder="1" applyAlignment="1">
      <alignment horizontal="center" vertical="top"/>
    </xf>
    <xf numFmtId="3" fontId="30" fillId="0" borderId="4" xfId="0" applyNumberFormat="1" applyFont="1" applyFill="1" applyBorder="1" applyAlignment="1">
      <alignment horizontal="center" vertical="top" textRotation="90"/>
    </xf>
    <xf numFmtId="3" fontId="3" fillId="0" borderId="23" xfId="0" applyNumberFormat="1" applyFont="1" applyFill="1" applyBorder="1" applyAlignment="1">
      <alignment horizontal="center" vertical="top"/>
    </xf>
    <xf numFmtId="3" fontId="30" fillId="0" borderId="20" xfId="0" applyNumberFormat="1" applyFont="1" applyFill="1" applyBorder="1" applyAlignment="1">
      <alignment horizontal="center" vertical="top" textRotation="90"/>
    </xf>
    <xf numFmtId="164" fontId="3" fillId="10" borderId="24" xfId="0" applyNumberFormat="1" applyFont="1" applyFill="1" applyBorder="1" applyAlignment="1">
      <alignment horizontal="center" vertical="top"/>
    </xf>
    <xf numFmtId="164" fontId="3" fillId="12" borderId="38" xfId="0" applyNumberFormat="1" applyFont="1" applyFill="1" applyBorder="1" applyAlignment="1">
      <alignment horizontal="center" vertical="top"/>
    </xf>
    <xf numFmtId="3" fontId="1" fillId="8" borderId="31" xfId="0" applyNumberFormat="1" applyFont="1" applyFill="1" applyBorder="1"/>
    <xf numFmtId="3" fontId="1" fillId="0" borderId="0" xfId="0" applyNumberFormat="1" applyFont="1" applyFill="1" applyAlignment="1">
      <alignment vertical="top"/>
    </xf>
    <xf numFmtId="164" fontId="3" fillId="6" borderId="0" xfId="0" applyNumberFormat="1" applyFont="1" applyFill="1" applyBorder="1" applyAlignment="1">
      <alignment horizontal="left" vertical="top" wrapText="1"/>
    </xf>
    <xf numFmtId="164" fontId="3" fillId="6" borderId="0" xfId="0" applyNumberFormat="1" applyFont="1" applyFill="1" applyBorder="1" applyAlignment="1">
      <alignment horizontal="left" vertical="top"/>
    </xf>
    <xf numFmtId="0" fontId="1" fillId="0" borderId="0" xfId="0" applyFont="1" applyAlignment="1">
      <alignment horizontal="center"/>
    </xf>
    <xf numFmtId="0" fontId="30" fillId="0" borderId="0" xfId="0" applyFont="1" applyAlignment="1">
      <alignment textRotation="90"/>
    </xf>
    <xf numFmtId="3" fontId="1" fillId="8" borderId="37" xfId="0" applyNumberFormat="1" applyFont="1" applyFill="1" applyBorder="1" applyAlignment="1">
      <alignment horizontal="center" vertical="top"/>
    </xf>
    <xf numFmtId="3" fontId="1" fillId="8" borderId="5" xfId="0" applyNumberFormat="1" applyFont="1" applyFill="1" applyBorder="1" applyAlignment="1">
      <alignment horizontal="center" vertical="top" wrapText="1"/>
    </xf>
    <xf numFmtId="3" fontId="1" fillId="8" borderId="70" xfId="0" applyNumberFormat="1" applyFont="1" applyFill="1" applyBorder="1" applyAlignment="1">
      <alignment horizontal="center" vertical="top" wrapText="1"/>
    </xf>
    <xf numFmtId="0" fontId="1" fillId="0" borderId="44" xfId="0" applyFont="1" applyBorder="1" applyAlignment="1">
      <alignment horizontal="center" vertical="top" wrapText="1"/>
    </xf>
    <xf numFmtId="3" fontId="1" fillId="8" borderId="42" xfId="0" applyNumberFormat="1" applyFont="1" applyFill="1" applyBorder="1" applyAlignment="1">
      <alignment horizontal="center" vertical="top" wrapText="1"/>
    </xf>
    <xf numFmtId="3" fontId="1" fillId="8" borderId="42" xfId="0" applyNumberFormat="1" applyFont="1" applyFill="1" applyBorder="1" applyAlignment="1">
      <alignment horizontal="center" vertical="top"/>
    </xf>
    <xf numFmtId="3" fontId="1" fillId="8" borderId="44" xfId="0" applyNumberFormat="1" applyFont="1" applyFill="1" applyBorder="1" applyAlignment="1">
      <alignment horizontal="center" vertical="top" wrapText="1"/>
    </xf>
    <xf numFmtId="3" fontId="1" fillId="8" borderId="62" xfId="0" applyNumberFormat="1" applyFont="1" applyFill="1" applyBorder="1" applyAlignment="1">
      <alignment horizontal="center" vertical="top" wrapText="1"/>
    </xf>
    <xf numFmtId="3" fontId="1" fillId="8" borderId="52" xfId="0" applyNumberFormat="1" applyFont="1" applyFill="1" applyBorder="1" applyAlignment="1">
      <alignment horizontal="center" vertical="top" wrapText="1"/>
    </xf>
    <xf numFmtId="3" fontId="1" fillId="8" borderId="47" xfId="0" applyNumberFormat="1" applyFont="1" applyFill="1" applyBorder="1" applyAlignment="1">
      <alignment horizontal="center" vertical="top" wrapText="1"/>
    </xf>
    <xf numFmtId="3" fontId="1" fillId="8" borderId="56" xfId="0" applyNumberFormat="1" applyFont="1" applyFill="1" applyBorder="1" applyAlignment="1">
      <alignment horizontal="center" vertical="top" wrapText="1"/>
    </xf>
    <xf numFmtId="3" fontId="1" fillId="0" borderId="20" xfId="0" applyNumberFormat="1" applyFont="1" applyFill="1" applyBorder="1" applyAlignment="1">
      <alignment horizontal="center" vertical="top" wrapText="1"/>
    </xf>
    <xf numFmtId="3" fontId="1" fillId="8" borderId="12" xfId="0" applyNumberFormat="1" applyFont="1" applyFill="1" applyBorder="1" applyAlignment="1">
      <alignment horizontal="center" vertical="top" wrapText="1"/>
    </xf>
    <xf numFmtId="3" fontId="1" fillId="8" borderId="12" xfId="0" applyNumberFormat="1" applyFont="1" applyFill="1" applyBorder="1" applyAlignment="1">
      <alignment horizontal="center" vertical="top"/>
    </xf>
    <xf numFmtId="3" fontId="1" fillId="8" borderId="20" xfId="0" applyNumberFormat="1" applyFont="1" applyFill="1" applyBorder="1" applyAlignment="1">
      <alignment horizontal="center" vertical="top" wrapText="1"/>
    </xf>
    <xf numFmtId="0" fontId="1" fillId="8" borderId="5" xfId="0" applyNumberFormat="1" applyFont="1" applyFill="1" applyBorder="1" applyAlignment="1">
      <alignment horizontal="center" vertical="top" wrapText="1"/>
    </xf>
    <xf numFmtId="0" fontId="1" fillId="8" borderId="13" xfId="0" applyNumberFormat="1" applyFont="1" applyFill="1" applyBorder="1" applyAlignment="1">
      <alignment horizontal="center" vertical="top" wrapText="1"/>
    </xf>
    <xf numFmtId="0" fontId="1" fillId="8" borderId="71" xfId="0" applyNumberFormat="1" applyFont="1" applyFill="1" applyBorder="1" applyAlignment="1">
      <alignment horizontal="center" vertical="top" wrapText="1"/>
    </xf>
    <xf numFmtId="3" fontId="1" fillId="8" borderId="13" xfId="0" applyNumberFormat="1" applyFont="1" applyFill="1" applyBorder="1" applyAlignment="1">
      <alignment horizontal="center" vertical="top" wrapText="1"/>
    </xf>
    <xf numFmtId="3" fontId="1" fillId="8" borderId="71" xfId="0" applyNumberFormat="1" applyFont="1" applyFill="1" applyBorder="1" applyAlignment="1">
      <alignment horizontal="center" vertical="top" wrapText="1"/>
    </xf>
    <xf numFmtId="0" fontId="1" fillId="8" borderId="70" xfId="0" applyNumberFormat="1" applyFont="1" applyFill="1" applyBorder="1" applyAlignment="1">
      <alignment horizontal="center" vertical="top" wrapText="1"/>
    </xf>
    <xf numFmtId="165" fontId="1" fillId="0" borderId="42" xfId="0" applyNumberFormat="1" applyFont="1" applyFill="1" applyBorder="1" applyAlignment="1">
      <alignment horizontal="center" vertical="top" wrapText="1"/>
    </xf>
    <xf numFmtId="0" fontId="1" fillId="8" borderId="32" xfId="0" applyNumberFormat="1" applyFont="1" applyFill="1" applyBorder="1" applyAlignment="1">
      <alignment horizontal="center" vertical="top" wrapText="1"/>
    </xf>
    <xf numFmtId="3" fontId="1" fillId="8" borderId="21" xfId="0" applyNumberFormat="1" applyFont="1" applyFill="1" applyBorder="1" applyAlignment="1">
      <alignment horizontal="center" vertical="top" wrapText="1"/>
    </xf>
    <xf numFmtId="0" fontId="1" fillId="8" borderId="9" xfId="0" applyNumberFormat="1" applyFont="1" applyFill="1" applyBorder="1" applyAlignment="1">
      <alignment horizontal="center" vertical="top" wrapText="1"/>
    </xf>
    <xf numFmtId="0" fontId="1" fillId="8" borderId="17" xfId="0" applyNumberFormat="1" applyFont="1" applyFill="1" applyBorder="1" applyAlignment="1">
      <alignment horizontal="center" vertical="top" wrapText="1"/>
    </xf>
    <xf numFmtId="0" fontId="1" fillId="8" borderId="29" xfId="0" applyNumberFormat="1" applyFont="1" applyFill="1" applyBorder="1" applyAlignment="1">
      <alignment horizontal="center" vertical="top" wrapText="1"/>
    </xf>
    <xf numFmtId="3" fontId="1" fillId="8" borderId="17" xfId="0" applyNumberFormat="1" applyFont="1" applyFill="1" applyBorder="1" applyAlignment="1">
      <alignment horizontal="center" vertical="top" wrapText="1"/>
    </xf>
    <xf numFmtId="3" fontId="1" fillId="8" borderId="29" xfId="0" applyNumberFormat="1" applyFont="1" applyFill="1" applyBorder="1" applyAlignment="1">
      <alignment horizontal="center" vertical="top" wrapText="1"/>
    </xf>
    <xf numFmtId="3" fontId="1" fillId="0" borderId="17" xfId="0" applyNumberFormat="1" applyFont="1" applyBorder="1" applyAlignment="1">
      <alignment horizontal="center" vertical="top"/>
    </xf>
    <xf numFmtId="3" fontId="1" fillId="0" borderId="17" xfId="0" applyNumberFormat="1" applyFont="1" applyFill="1" applyBorder="1" applyAlignment="1">
      <alignment horizontal="center" vertical="top" wrapText="1"/>
    </xf>
    <xf numFmtId="0" fontId="1" fillId="8" borderId="62" xfId="0" applyNumberFormat="1" applyFont="1" applyFill="1" applyBorder="1" applyAlignment="1">
      <alignment horizontal="center" vertical="top" wrapText="1"/>
    </xf>
    <xf numFmtId="3" fontId="1" fillId="0" borderId="62" xfId="0" applyNumberFormat="1" applyFont="1" applyFill="1" applyBorder="1" applyAlignment="1">
      <alignment horizontal="center" vertical="top" wrapText="1"/>
    </xf>
    <xf numFmtId="3" fontId="1" fillId="8" borderId="46" xfId="0" applyNumberFormat="1" applyFont="1" applyFill="1" applyBorder="1" applyAlignment="1">
      <alignment horizontal="center" vertical="top" wrapText="1"/>
    </xf>
    <xf numFmtId="0" fontId="1" fillId="8" borderId="3" xfId="0" applyNumberFormat="1" applyFont="1" applyFill="1" applyBorder="1" applyAlignment="1">
      <alignment horizontal="center" vertical="top" wrapText="1"/>
    </xf>
    <xf numFmtId="0" fontId="1" fillId="8" borderId="11" xfId="0" applyNumberFormat="1" applyFont="1" applyFill="1" applyBorder="1" applyAlignment="1">
      <alignment horizontal="center" vertical="top" wrapText="1"/>
    </xf>
    <xf numFmtId="0" fontId="1" fillId="8" borderId="63" xfId="0" applyNumberFormat="1" applyFont="1" applyFill="1" applyBorder="1" applyAlignment="1">
      <alignment horizontal="center" vertical="top" wrapText="1"/>
    </xf>
    <xf numFmtId="3" fontId="1" fillId="8" borderId="11" xfId="0" applyNumberFormat="1" applyFont="1" applyFill="1" applyBorder="1" applyAlignment="1">
      <alignment horizontal="center" vertical="top" wrapText="1"/>
    </xf>
    <xf numFmtId="3" fontId="1" fillId="8" borderId="63" xfId="0" applyNumberFormat="1" applyFont="1" applyFill="1" applyBorder="1" applyAlignment="1">
      <alignment horizontal="center" vertical="top" wrapText="1"/>
    </xf>
    <xf numFmtId="3" fontId="1" fillId="0" borderId="11" xfId="0" applyNumberFormat="1" applyFont="1" applyBorder="1" applyAlignment="1">
      <alignment horizontal="center" vertical="top"/>
    </xf>
    <xf numFmtId="3" fontId="1" fillId="0" borderId="11" xfId="0" applyNumberFormat="1" applyFont="1" applyFill="1" applyBorder="1" applyAlignment="1">
      <alignment horizontal="center" vertical="top" wrapText="1"/>
    </xf>
    <xf numFmtId="3" fontId="1" fillId="8" borderId="4" xfId="0" applyNumberFormat="1" applyFont="1" applyFill="1" applyBorder="1" applyAlignment="1">
      <alignment horizontal="center" vertical="top" wrapText="1"/>
    </xf>
    <xf numFmtId="3" fontId="1" fillId="0" borderId="46" xfId="0" applyNumberFormat="1" applyFont="1" applyBorder="1" applyAlignment="1">
      <alignment horizontal="center"/>
    </xf>
    <xf numFmtId="3" fontId="1" fillId="0" borderId="52" xfId="0" applyNumberFormat="1" applyFont="1" applyBorder="1" applyAlignment="1">
      <alignment horizontal="center"/>
    </xf>
    <xf numFmtId="3" fontId="1" fillId="0" borderId="9" xfId="0" applyNumberFormat="1" applyFont="1" applyFill="1" applyBorder="1" applyAlignment="1">
      <alignment horizontal="center" vertical="top" wrapText="1"/>
    </xf>
    <xf numFmtId="3" fontId="1" fillId="0" borderId="52" xfId="0" applyNumberFormat="1" applyFont="1" applyBorder="1" applyAlignment="1">
      <alignment horizontal="center" vertical="top" wrapText="1"/>
    </xf>
    <xf numFmtId="3" fontId="1" fillId="0" borderId="62" xfId="0" applyNumberFormat="1" applyFont="1" applyBorder="1" applyAlignment="1">
      <alignment horizontal="center" vertical="top"/>
    </xf>
    <xf numFmtId="3" fontId="1" fillId="0" borderId="47" xfId="0" applyNumberFormat="1" applyFont="1" applyBorder="1" applyAlignment="1">
      <alignment horizontal="center" vertical="top" wrapText="1"/>
    </xf>
    <xf numFmtId="3" fontId="1" fillId="0" borderId="4" xfId="0" applyNumberFormat="1" applyFont="1" applyBorder="1" applyAlignment="1">
      <alignment horizontal="center"/>
    </xf>
    <xf numFmtId="3" fontId="1" fillId="0" borderId="12" xfId="0" applyNumberFormat="1" applyFont="1" applyBorder="1" applyAlignment="1">
      <alignment horizontal="center"/>
    </xf>
    <xf numFmtId="3" fontId="1" fillId="0" borderId="3" xfId="0" applyNumberFormat="1" applyFont="1" applyFill="1" applyBorder="1" applyAlignment="1">
      <alignment horizontal="center" vertical="top" wrapText="1"/>
    </xf>
    <xf numFmtId="3" fontId="1" fillId="0" borderId="12" xfId="0" applyNumberFormat="1" applyFont="1" applyBorder="1" applyAlignment="1">
      <alignment horizontal="center" vertical="top" wrapText="1"/>
    </xf>
    <xf numFmtId="3" fontId="1" fillId="0" borderId="56" xfId="0" applyNumberFormat="1" applyFont="1" applyBorder="1" applyAlignment="1">
      <alignment horizontal="center" vertical="top"/>
    </xf>
    <xf numFmtId="3" fontId="1" fillId="0" borderId="12" xfId="0" applyNumberFormat="1" applyFont="1" applyBorder="1" applyAlignment="1">
      <alignment horizontal="center" vertical="top"/>
    </xf>
    <xf numFmtId="3" fontId="1" fillId="0" borderId="20" xfId="0" applyNumberFormat="1" applyFont="1" applyBorder="1" applyAlignment="1">
      <alignment horizontal="center" vertical="top" wrapText="1"/>
    </xf>
    <xf numFmtId="3" fontId="1" fillId="0" borderId="32" xfId="0" applyNumberFormat="1" applyFont="1" applyBorder="1" applyAlignment="1">
      <alignment horizontal="center"/>
    </xf>
    <xf numFmtId="3" fontId="1" fillId="0" borderId="42" xfId="0" applyNumberFormat="1" applyFont="1" applyBorder="1" applyAlignment="1">
      <alignment horizontal="center"/>
    </xf>
    <xf numFmtId="3" fontId="1" fillId="0" borderId="42" xfId="0" applyNumberFormat="1" applyFont="1" applyBorder="1" applyAlignment="1">
      <alignment horizontal="center" vertical="top" wrapText="1"/>
    </xf>
    <xf numFmtId="3" fontId="1" fillId="8" borderId="70" xfId="0" applyNumberFormat="1" applyFont="1" applyFill="1" applyBorder="1" applyAlignment="1">
      <alignment horizontal="center" vertical="top"/>
    </xf>
    <xf numFmtId="3" fontId="1" fillId="0" borderId="70" xfId="0" applyNumberFormat="1" applyFont="1" applyBorder="1" applyAlignment="1">
      <alignment horizontal="center" vertical="top"/>
    </xf>
    <xf numFmtId="49" fontId="3" fillId="5" borderId="25" xfId="0" applyNumberFormat="1" applyFont="1" applyFill="1" applyBorder="1" applyAlignment="1">
      <alignment horizontal="center" vertical="top" wrapText="1"/>
    </xf>
    <xf numFmtId="164" fontId="3" fillId="12" borderId="61" xfId="0" applyNumberFormat="1" applyFont="1" applyFill="1" applyBorder="1" applyAlignment="1">
      <alignment horizontal="center" vertical="top" wrapText="1"/>
    </xf>
    <xf numFmtId="164" fontId="1" fillId="7" borderId="27" xfId="0" applyNumberFormat="1" applyFont="1" applyFill="1" applyBorder="1" applyAlignment="1">
      <alignment horizontal="center" vertical="top"/>
    </xf>
    <xf numFmtId="164" fontId="3" fillId="12" borderId="61" xfId="0" applyNumberFormat="1" applyFont="1" applyFill="1" applyBorder="1" applyAlignment="1">
      <alignment horizontal="center" vertical="top"/>
    </xf>
    <xf numFmtId="164" fontId="3" fillId="12" borderId="17" xfId="0" applyNumberFormat="1" applyFont="1" applyFill="1" applyBorder="1" applyAlignment="1">
      <alignment horizontal="center" vertical="top" wrapText="1"/>
    </xf>
    <xf numFmtId="164" fontId="1" fillId="7" borderId="29" xfId="0" applyNumberFormat="1" applyFont="1" applyFill="1" applyBorder="1" applyAlignment="1">
      <alignment horizontal="center" vertical="top"/>
    </xf>
    <xf numFmtId="164" fontId="3" fillId="12" borderId="17" xfId="0" applyNumberFormat="1" applyFont="1" applyFill="1" applyBorder="1" applyAlignment="1">
      <alignment horizontal="center" vertical="top"/>
    </xf>
    <xf numFmtId="164" fontId="3" fillId="12" borderId="11" xfId="0" applyNumberFormat="1" applyFont="1" applyFill="1" applyBorder="1" applyAlignment="1">
      <alignment horizontal="center" vertical="top" wrapText="1"/>
    </xf>
    <xf numFmtId="164" fontId="1" fillId="7" borderId="63" xfId="0" applyNumberFormat="1" applyFont="1" applyFill="1" applyBorder="1" applyAlignment="1">
      <alignment horizontal="center" vertical="top"/>
    </xf>
    <xf numFmtId="164" fontId="3" fillId="12" borderId="11" xfId="0" applyNumberFormat="1" applyFont="1" applyFill="1" applyBorder="1" applyAlignment="1">
      <alignment horizontal="center" vertical="top"/>
    </xf>
    <xf numFmtId="164" fontId="3" fillId="10" borderId="25" xfId="0" applyNumberFormat="1" applyFont="1" applyFill="1" applyBorder="1" applyAlignment="1">
      <alignment horizontal="center" vertical="top"/>
    </xf>
    <xf numFmtId="164" fontId="3" fillId="12" borderId="1" xfId="0" applyNumberFormat="1" applyFont="1" applyFill="1" applyBorder="1" applyAlignment="1">
      <alignment horizontal="center" vertical="top"/>
    </xf>
    <xf numFmtId="164" fontId="3" fillId="10" borderId="59" xfId="0" applyNumberFormat="1" applyFont="1" applyFill="1" applyBorder="1" applyAlignment="1">
      <alignment horizontal="center" vertical="top"/>
    </xf>
    <xf numFmtId="164" fontId="3" fillId="12" borderId="20" xfId="0" applyNumberFormat="1" applyFont="1" applyFill="1" applyBorder="1" applyAlignment="1">
      <alignment horizontal="center" vertical="top"/>
    </xf>
    <xf numFmtId="164" fontId="1" fillId="13" borderId="31" xfId="3" applyNumberFormat="1" applyFont="1" applyFill="1" applyBorder="1" applyAlignment="1">
      <alignment horizontal="center" vertical="top"/>
    </xf>
    <xf numFmtId="164" fontId="1" fillId="13" borderId="61" xfId="3" applyNumberFormat="1" applyFont="1" applyFill="1" applyBorder="1" applyAlignment="1">
      <alignment horizontal="center" vertical="top"/>
    </xf>
    <xf numFmtId="164" fontId="1" fillId="13" borderId="40" xfId="3" applyNumberFormat="1" applyFont="1" applyFill="1" applyBorder="1" applyAlignment="1">
      <alignment horizontal="center" vertical="top"/>
    </xf>
    <xf numFmtId="164" fontId="1" fillId="0" borderId="61" xfId="0" applyNumberFormat="1" applyFont="1" applyFill="1" applyBorder="1" applyAlignment="1">
      <alignment horizontal="center" vertical="top" wrapText="1"/>
    </xf>
    <xf numFmtId="164" fontId="3" fillId="5" borderId="38" xfId="0" applyNumberFormat="1" applyFont="1" applyFill="1" applyBorder="1" applyAlignment="1">
      <alignment horizontal="center" vertical="top"/>
    </xf>
    <xf numFmtId="164" fontId="1" fillId="0" borderId="40" xfId="0" applyNumberFormat="1" applyFont="1" applyBorder="1" applyAlignment="1">
      <alignment horizontal="center" vertical="top"/>
    </xf>
    <xf numFmtId="164" fontId="1" fillId="0" borderId="31" xfId="0" applyNumberFormat="1" applyFont="1" applyBorder="1" applyAlignment="1">
      <alignment horizontal="center" vertical="top"/>
    </xf>
    <xf numFmtId="164" fontId="1" fillId="6" borderId="31" xfId="0" applyNumberFormat="1" applyFont="1" applyFill="1" applyBorder="1" applyAlignment="1">
      <alignment horizontal="center" vertical="top"/>
    </xf>
    <xf numFmtId="164" fontId="1" fillId="8" borderId="5" xfId="0" applyNumberFormat="1" applyFont="1" applyFill="1" applyBorder="1" applyAlignment="1">
      <alignment horizontal="center" vertical="top" wrapText="1"/>
    </xf>
    <xf numFmtId="164" fontId="1" fillId="8" borderId="46" xfId="0" applyNumberFormat="1" applyFont="1" applyFill="1" applyBorder="1" applyAlignment="1">
      <alignment horizontal="center" vertical="top"/>
    </xf>
    <xf numFmtId="164" fontId="1" fillId="0" borderId="62" xfId="0" applyNumberFormat="1" applyFont="1" applyBorder="1" applyAlignment="1">
      <alignment horizontal="center" vertical="top"/>
    </xf>
    <xf numFmtId="164" fontId="1" fillId="0" borderId="52" xfId="0" applyNumberFormat="1" applyFont="1" applyBorder="1" applyAlignment="1">
      <alignment horizontal="center" vertical="top"/>
    </xf>
    <xf numFmtId="164" fontId="1" fillId="8" borderId="62" xfId="0" applyNumberFormat="1" applyFont="1" applyFill="1" applyBorder="1" applyAlignment="1">
      <alignment horizontal="center" vertical="top"/>
    </xf>
    <xf numFmtId="164" fontId="1" fillId="8" borderId="52" xfId="0" applyNumberFormat="1" applyFont="1" applyFill="1" applyBorder="1" applyAlignment="1">
      <alignment horizontal="center" vertical="top"/>
    </xf>
    <xf numFmtId="164" fontId="1" fillId="8" borderId="29" xfId="0" applyNumberFormat="1" applyFont="1" applyFill="1" applyBorder="1" applyAlignment="1">
      <alignment horizontal="center" vertical="top"/>
    </xf>
    <xf numFmtId="164" fontId="1" fillId="8" borderId="17" xfId="0" applyNumberFormat="1" applyFont="1" applyFill="1" applyBorder="1" applyAlignment="1">
      <alignment horizontal="center" vertical="top"/>
    </xf>
    <xf numFmtId="164" fontId="1" fillId="8" borderId="76" xfId="0" applyNumberFormat="1" applyFont="1" applyFill="1" applyBorder="1" applyAlignment="1">
      <alignment horizontal="center" vertical="top" wrapText="1"/>
    </xf>
    <xf numFmtId="164" fontId="1" fillId="8" borderId="46" xfId="0" applyNumberFormat="1" applyFont="1" applyFill="1" applyBorder="1" applyAlignment="1">
      <alignment horizontal="center" vertical="top" wrapText="1"/>
    </xf>
    <xf numFmtId="164" fontId="3" fillId="5" borderId="47" xfId="0" applyNumberFormat="1" applyFont="1" applyFill="1" applyBorder="1" applyAlignment="1">
      <alignment horizontal="center" vertical="top"/>
    </xf>
    <xf numFmtId="164" fontId="1" fillId="0" borderId="46" xfId="0" applyNumberFormat="1" applyFont="1" applyFill="1" applyBorder="1" applyAlignment="1">
      <alignment horizontal="center" vertical="top"/>
    </xf>
    <xf numFmtId="3" fontId="3" fillId="7" borderId="39" xfId="0" applyNumberFormat="1" applyFont="1" applyFill="1" applyBorder="1" applyAlignment="1">
      <alignment horizontal="right" vertical="top"/>
    </xf>
    <xf numFmtId="49" fontId="3" fillId="10" borderId="31" xfId="0" applyNumberFormat="1" applyFont="1" applyFill="1" applyBorder="1" applyAlignment="1">
      <alignment horizontal="center" vertical="top" wrapText="1"/>
    </xf>
    <xf numFmtId="3" fontId="1" fillId="10" borderId="67" xfId="0" applyNumberFormat="1" applyFont="1" applyFill="1" applyBorder="1" applyAlignment="1">
      <alignment vertical="top" wrapText="1"/>
    </xf>
    <xf numFmtId="3" fontId="1" fillId="10" borderId="65" xfId="0" applyNumberFormat="1" applyFont="1" applyFill="1" applyBorder="1" applyAlignment="1">
      <alignment horizontal="left" vertical="top" wrapText="1"/>
    </xf>
    <xf numFmtId="49" fontId="3" fillId="10" borderId="38" xfId="0" applyNumberFormat="1" applyFont="1" applyFill="1" applyBorder="1" applyAlignment="1">
      <alignment horizontal="center" vertical="top" wrapText="1"/>
    </xf>
    <xf numFmtId="3" fontId="1" fillId="10" borderId="75" xfId="0" applyNumberFormat="1" applyFont="1" applyFill="1" applyBorder="1" applyAlignment="1">
      <alignment horizontal="left" vertical="top" wrapText="1"/>
    </xf>
    <xf numFmtId="49" fontId="3" fillId="10" borderId="35" xfId="0" applyNumberFormat="1" applyFont="1" applyFill="1" applyBorder="1" applyAlignment="1">
      <alignment horizontal="center" vertical="top" wrapText="1"/>
    </xf>
    <xf numFmtId="49" fontId="3" fillId="10" borderId="51" xfId="0" applyNumberFormat="1" applyFont="1" applyFill="1" applyBorder="1" applyAlignment="1">
      <alignment horizontal="center" vertical="top" wrapText="1"/>
    </xf>
    <xf numFmtId="3" fontId="1" fillId="10" borderId="76" xfId="0" applyNumberFormat="1" applyFont="1" applyFill="1" applyBorder="1" applyAlignment="1">
      <alignment vertical="top" wrapText="1"/>
    </xf>
    <xf numFmtId="3" fontId="1" fillId="10" borderId="54" xfId="0" applyNumberFormat="1" applyFont="1" applyFill="1" applyBorder="1" applyAlignment="1">
      <alignment horizontal="left" vertical="top" wrapText="1"/>
    </xf>
    <xf numFmtId="3" fontId="1" fillId="10" borderId="77" xfId="0" applyNumberFormat="1" applyFont="1" applyFill="1" applyBorder="1" applyAlignment="1">
      <alignment horizontal="left" vertical="top" wrapText="1"/>
    </xf>
    <xf numFmtId="3" fontId="1" fillId="10" borderId="7" xfId="0" applyNumberFormat="1" applyFont="1" applyFill="1" applyBorder="1" applyAlignment="1">
      <alignment vertical="top" wrapText="1"/>
    </xf>
    <xf numFmtId="3" fontId="1" fillId="10" borderId="41" xfId="0" applyNumberFormat="1" applyFont="1" applyFill="1" applyBorder="1" applyAlignment="1">
      <alignment horizontal="left" vertical="top" wrapText="1"/>
    </xf>
    <xf numFmtId="3" fontId="1" fillId="10" borderId="67" xfId="0" applyNumberFormat="1" applyFont="1" applyFill="1" applyBorder="1" applyAlignment="1">
      <alignment horizontal="center" vertical="top" wrapText="1"/>
    </xf>
    <xf numFmtId="3" fontId="1" fillId="10" borderId="75" xfId="0" applyNumberFormat="1" applyFont="1" applyFill="1" applyBorder="1" applyAlignment="1">
      <alignment horizontal="center" vertical="top" wrapText="1"/>
    </xf>
    <xf numFmtId="0" fontId="33" fillId="0" borderId="0" xfId="0" applyNumberFormat="1" applyFont="1" applyFill="1" applyAlignment="1" applyProtection="1">
      <alignment wrapText="1" readingOrder="1"/>
    </xf>
    <xf numFmtId="0" fontId="32" fillId="0" borderId="85" xfId="0" applyNumberFormat="1" applyFont="1" applyFill="1" applyBorder="1" applyAlignment="1" applyProtection="1">
      <alignment horizontal="center" wrapText="1" readingOrder="1"/>
    </xf>
    <xf numFmtId="0" fontId="32" fillId="14" borderId="78" xfId="0" applyNumberFormat="1" applyFont="1" applyFill="1" applyBorder="1" applyAlignment="1" applyProtection="1">
      <alignment vertical="top" wrapText="1" readingOrder="1"/>
      <protection locked="0"/>
    </xf>
    <xf numFmtId="0" fontId="32" fillId="14" borderId="79" xfId="0" applyNumberFormat="1" applyFont="1" applyFill="1" applyBorder="1" applyAlignment="1" applyProtection="1">
      <alignment vertical="top" wrapText="1" readingOrder="1"/>
      <protection locked="0"/>
    </xf>
    <xf numFmtId="0" fontId="32" fillId="14" borderId="79" xfId="0" applyNumberFormat="1" applyFont="1" applyFill="1" applyBorder="1" applyAlignment="1" applyProtection="1">
      <alignment horizontal="left" vertical="top" wrapText="1" readingOrder="1"/>
      <protection locked="0"/>
    </xf>
    <xf numFmtId="167" fontId="32" fillId="14" borderId="79" xfId="0" applyNumberFormat="1" applyFont="1" applyFill="1" applyBorder="1" applyAlignment="1" applyProtection="1">
      <alignment horizontal="right" vertical="top" wrapText="1" readingOrder="1"/>
    </xf>
    <xf numFmtId="0" fontId="32" fillId="14" borderId="79" xfId="0" applyNumberFormat="1" applyFont="1" applyFill="1" applyBorder="1" applyAlignment="1" applyProtection="1">
      <alignment horizontal="center" vertical="top" wrapText="1" readingOrder="1"/>
      <protection locked="0"/>
    </xf>
    <xf numFmtId="0" fontId="32" fillId="14" borderId="79" xfId="0" applyNumberFormat="1" applyFont="1" applyFill="1" applyBorder="1" applyAlignment="1" applyProtection="1">
      <alignment horizontal="right" vertical="top" wrapText="1" readingOrder="1"/>
      <protection locked="0"/>
    </xf>
    <xf numFmtId="0" fontId="32" fillId="14" borderId="80" xfId="0" applyNumberFormat="1" applyFont="1" applyFill="1" applyBorder="1" applyAlignment="1" applyProtection="1">
      <alignment horizontal="left" vertical="top" wrapText="1" readingOrder="1"/>
      <protection locked="0"/>
    </xf>
    <xf numFmtId="0" fontId="32" fillId="15" borderId="78" xfId="0" applyNumberFormat="1" applyFont="1" applyFill="1" applyBorder="1" applyAlignment="1" applyProtection="1">
      <alignment vertical="top" wrapText="1" readingOrder="1"/>
      <protection locked="0"/>
    </xf>
    <xf numFmtId="0" fontId="32" fillId="15" borderId="79" xfId="0" applyNumberFormat="1" applyFont="1" applyFill="1" applyBorder="1" applyAlignment="1" applyProtection="1">
      <alignment vertical="top" wrapText="1" readingOrder="1"/>
      <protection locked="0"/>
    </xf>
    <xf numFmtId="0" fontId="32" fillId="15" borderId="79" xfId="0" applyNumberFormat="1" applyFont="1" applyFill="1" applyBorder="1" applyAlignment="1" applyProtection="1">
      <alignment horizontal="left" vertical="top" wrapText="1" readingOrder="1"/>
      <protection locked="0"/>
    </xf>
    <xf numFmtId="167" fontId="32" fillId="15" borderId="79" xfId="0" applyNumberFormat="1" applyFont="1" applyFill="1" applyBorder="1" applyAlignment="1" applyProtection="1">
      <alignment horizontal="right" vertical="top" wrapText="1" readingOrder="1"/>
    </xf>
    <xf numFmtId="0" fontId="32" fillId="15" borderId="79" xfId="0" applyNumberFormat="1" applyFont="1" applyFill="1" applyBorder="1" applyAlignment="1" applyProtection="1">
      <alignment horizontal="center" vertical="top" wrapText="1" readingOrder="1"/>
      <protection locked="0"/>
    </xf>
    <xf numFmtId="0" fontId="32" fillId="15" borderId="79" xfId="0" applyNumberFormat="1" applyFont="1" applyFill="1" applyBorder="1" applyAlignment="1" applyProtection="1">
      <alignment horizontal="right" vertical="top" wrapText="1" readingOrder="1"/>
      <protection locked="0"/>
    </xf>
    <xf numFmtId="0" fontId="32" fillId="15" borderId="80" xfId="0" applyNumberFormat="1" applyFont="1" applyFill="1" applyBorder="1" applyAlignment="1" applyProtection="1">
      <alignment horizontal="left" vertical="top" wrapText="1" readingOrder="1"/>
      <protection locked="0"/>
    </xf>
    <xf numFmtId="0" fontId="33" fillId="0" borderId="81" xfId="0" applyNumberFormat="1" applyFont="1" applyFill="1" applyBorder="1" applyAlignment="1" applyProtection="1">
      <alignment vertical="top" wrapText="1" readingOrder="1"/>
      <protection locked="0"/>
    </xf>
    <xf numFmtId="0" fontId="33" fillId="0" borderId="82" xfId="0" applyNumberFormat="1" applyFont="1" applyFill="1" applyBorder="1" applyAlignment="1" applyProtection="1">
      <alignment vertical="top" wrapText="1" readingOrder="1"/>
      <protection locked="0"/>
    </xf>
    <xf numFmtId="0" fontId="33" fillId="0" borderId="82" xfId="0" applyNumberFormat="1" applyFont="1" applyFill="1" applyBorder="1" applyAlignment="1" applyProtection="1">
      <alignment horizontal="left" vertical="top" wrapText="1" readingOrder="1"/>
      <protection locked="0"/>
    </xf>
    <xf numFmtId="167" fontId="33" fillId="0" borderId="82" xfId="0" applyNumberFormat="1" applyFont="1" applyFill="1" applyBorder="1" applyAlignment="1" applyProtection="1">
      <alignment horizontal="right" vertical="top" wrapText="1" readingOrder="1"/>
      <protection locked="0"/>
    </xf>
    <xf numFmtId="0" fontId="33" fillId="0" borderId="82" xfId="0" applyNumberFormat="1" applyFont="1" applyFill="1" applyBorder="1" applyAlignment="1" applyProtection="1">
      <alignment horizontal="center" vertical="top" wrapText="1" readingOrder="1"/>
      <protection locked="0"/>
    </xf>
    <xf numFmtId="0" fontId="33" fillId="0" borderId="82" xfId="0" applyNumberFormat="1" applyFont="1" applyFill="1" applyBorder="1" applyAlignment="1" applyProtection="1">
      <alignment horizontal="right" vertical="top" wrapText="1" readingOrder="1"/>
      <protection locked="0"/>
    </xf>
    <xf numFmtId="0" fontId="33" fillId="0" borderId="83" xfId="0" applyNumberFormat="1" applyFont="1" applyFill="1" applyBorder="1" applyAlignment="1" applyProtection="1">
      <alignment horizontal="left" vertical="top" wrapText="1" readingOrder="1"/>
      <protection locked="0"/>
    </xf>
    <xf numFmtId="0" fontId="32" fillId="16" borderId="78" xfId="0" applyNumberFormat="1" applyFont="1" applyFill="1" applyBorder="1" applyAlignment="1" applyProtection="1">
      <alignment vertical="top" wrapText="1" readingOrder="1"/>
      <protection locked="0"/>
    </xf>
    <xf numFmtId="0" fontId="32" fillId="16" borderId="79" xfId="0" applyNumberFormat="1" applyFont="1" applyFill="1" applyBorder="1" applyAlignment="1" applyProtection="1">
      <alignment vertical="top" wrapText="1" readingOrder="1"/>
      <protection locked="0"/>
    </xf>
    <xf numFmtId="0" fontId="32" fillId="16" borderId="79" xfId="0" applyNumberFormat="1" applyFont="1" applyFill="1" applyBorder="1" applyAlignment="1" applyProtection="1">
      <alignment horizontal="left" vertical="top" wrapText="1" readingOrder="1"/>
      <protection locked="0"/>
    </xf>
    <xf numFmtId="167" fontId="32" fillId="16" borderId="79" xfId="0" applyNumberFormat="1" applyFont="1" applyFill="1" applyBorder="1" applyAlignment="1" applyProtection="1">
      <alignment horizontal="right" vertical="top" wrapText="1" readingOrder="1"/>
    </xf>
    <xf numFmtId="0" fontId="32" fillId="16" borderId="79" xfId="0" applyNumberFormat="1" applyFont="1" applyFill="1" applyBorder="1" applyAlignment="1" applyProtection="1">
      <alignment horizontal="center" vertical="top" wrapText="1" readingOrder="1"/>
      <protection locked="0"/>
    </xf>
    <xf numFmtId="0" fontId="32" fillId="16" borderId="79" xfId="0" applyNumberFormat="1" applyFont="1" applyFill="1" applyBorder="1" applyAlignment="1" applyProtection="1">
      <alignment horizontal="right" vertical="top" wrapText="1" readingOrder="1"/>
      <protection locked="0"/>
    </xf>
    <xf numFmtId="0" fontId="32" fillId="16" borderId="80" xfId="0" applyNumberFormat="1" applyFont="1" applyFill="1" applyBorder="1" applyAlignment="1" applyProtection="1">
      <alignment horizontal="left" vertical="top" wrapText="1" readingOrder="1"/>
      <protection locked="0"/>
    </xf>
    <xf numFmtId="0" fontId="33" fillId="0" borderId="78" xfId="0" applyNumberFormat="1" applyFont="1" applyFill="1" applyBorder="1" applyAlignment="1" applyProtection="1">
      <alignment vertical="top" wrapText="1" readingOrder="1"/>
      <protection locked="0"/>
    </xf>
    <xf numFmtId="0" fontId="33" fillId="0" borderId="79" xfId="0" applyNumberFormat="1" applyFont="1" applyFill="1" applyBorder="1" applyAlignment="1" applyProtection="1">
      <alignment vertical="top" wrapText="1" readingOrder="1"/>
      <protection locked="0"/>
    </xf>
    <xf numFmtId="0" fontId="33" fillId="0" borderId="79" xfId="0" applyNumberFormat="1" applyFont="1" applyFill="1" applyBorder="1" applyAlignment="1" applyProtection="1">
      <alignment horizontal="left" vertical="top" wrapText="1" readingOrder="1"/>
      <protection locked="0"/>
    </xf>
    <xf numFmtId="167" fontId="33" fillId="0" borderId="79" xfId="0" applyNumberFormat="1" applyFont="1" applyFill="1" applyBorder="1" applyAlignment="1" applyProtection="1">
      <alignment horizontal="right" vertical="top" wrapText="1" readingOrder="1"/>
    </xf>
    <xf numFmtId="0" fontId="33" fillId="0" borderId="79" xfId="0" applyNumberFormat="1" applyFont="1" applyFill="1" applyBorder="1" applyAlignment="1" applyProtection="1">
      <alignment horizontal="center" vertical="top" wrapText="1" readingOrder="1"/>
      <protection locked="0"/>
    </xf>
    <xf numFmtId="0" fontId="33" fillId="0" borderId="79" xfId="0" applyNumberFormat="1" applyFont="1" applyFill="1" applyBorder="1" applyAlignment="1" applyProtection="1">
      <alignment horizontal="right" vertical="top" wrapText="1" readingOrder="1"/>
      <protection locked="0"/>
    </xf>
    <xf numFmtId="0" fontId="33" fillId="0" borderId="80" xfId="0" applyNumberFormat="1" applyFont="1" applyFill="1" applyBorder="1" applyAlignment="1" applyProtection="1">
      <alignment horizontal="left" vertical="top" wrapText="1" readingOrder="1"/>
      <protection locked="0"/>
    </xf>
    <xf numFmtId="167" fontId="33" fillId="0" borderId="79" xfId="0" applyNumberFormat="1" applyFont="1" applyFill="1" applyBorder="1" applyAlignment="1" applyProtection="1">
      <alignment horizontal="right" vertical="top" wrapText="1" readingOrder="1"/>
      <protection locked="0"/>
    </xf>
    <xf numFmtId="0" fontId="33" fillId="0" borderId="87" xfId="0" applyNumberFormat="1" applyFont="1" applyFill="1" applyBorder="1" applyAlignment="1" applyProtection="1">
      <alignment vertical="top" wrapText="1" readingOrder="1"/>
      <protection locked="0"/>
    </xf>
    <xf numFmtId="0" fontId="33" fillId="0" borderId="88" xfId="0" applyNumberFormat="1" applyFont="1" applyFill="1" applyBorder="1" applyAlignment="1" applyProtection="1">
      <alignment vertical="top" wrapText="1" readingOrder="1"/>
      <protection locked="0"/>
    </xf>
    <xf numFmtId="0" fontId="33" fillId="0" borderId="88" xfId="0" applyNumberFormat="1" applyFont="1" applyFill="1" applyBorder="1" applyAlignment="1" applyProtection="1">
      <alignment horizontal="left" vertical="top" wrapText="1" readingOrder="1"/>
      <protection locked="0"/>
    </xf>
    <xf numFmtId="167" fontId="33" fillId="0" borderId="88" xfId="0" applyNumberFormat="1" applyFont="1" applyFill="1" applyBorder="1" applyAlignment="1" applyProtection="1">
      <alignment horizontal="right" vertical="top" wrapText="1" readingOrder="1"/>
      <protection locked="0"/>
    </xf>
    <xf numFmtId="0" fontId="33" fillId="0" borderId="88" xfId="0" applyNumberFormat="1" applyFont="1" applyFill="1" applyBorder="1" applyAlignment="1" applyProtection="1">
      <alignment horizontal="center" vertical="top" wrapText="1" readingOrder="1"/>
      <protection locked="0"/>
    </xf>
    <xf numFmtId="0" fontId="33" fillId="0" borderId="88" xfId="0" applyNumberFormat="1" applyFont="1" applyFill="1" applyBorder="1" applyAlignment="1" applyProtection="1">
      <alignment horizontal="right" vertical="top" wrapText="1" readingOrder="1"/>
      <protection locked="0"/>
    </xf>
    <xf numFmtId="0" fontId="33" fillId="0" borderId="89" xfId="0" applyNumberFormat="1" applyFont="1" applyFill="1" applyBorder="1" applyAlignment="1" applyProtection="1">
      <alignment horizontal="left" vertical="top" wrapText="1" readingOrder="1"/>
      <protection locked="0"/>
    </xf>
    <xf numFmtId="0" fontId="33" fillId="0" borderId="0" xfId="0" applyNumberFormat="1" applyFont="1" applyFill="1" applyAlignment="1" applyProtection="1">
      <alignment vertical="top" wrapText="1" readingOrder="1"/>
      <protection locked="0"/>
    </xf>
    <xf numFmtId="0" fontId="33" fillId="0" borderId="0" xfId="0" applyNumberFormat="1" applyFont="1" applyFill="1" applyAlignment="1" applyProtection="1">
      <alignment horizontal="left" vertical="top" wrapText="1" readingOrder="1"/>
      <protection locked="0"/>
    </xf>
    <xf numFmtId="167" fontId="33" fillId="0" borderId="0" xfId="0" applyNumberFormat="1" applyFont="1" applyFill="1" applyAlignment="1" applyProtection="1">
      <alignment horizontal="right" vertical="top" wrapText="1" readingOrder="1"/>
      <protection locked="0"/>
    </xf>
    <xf numFmtId="0" fontId="33" fillId="0" borderId="0" xfId="0" applyNumberFormat="1" applyFont="1" applyFill="1" applyAlignment="1" applyProtection="1">
      <alignment horizontal="center" vertical="top" wrapText="1" readingOrder="1"/>
      <protection locked="0"/>
    </xf>
    <xf numFmtId="0" fontId="33" fillId="0" borderId="0" xfId="0" applyNumberFormat="1" applyFont="1" applyFill="1" applyAlignment="1" applyProtection="1">
      <alignment horizontal="right" vertical="top" wrapText="1" readingOrder="1"/>
      <protection locked="0"/>
    </xf>
    <xf numFmtId="0" fontId="32" fillId="0" borderId="82" xfId="0" applyNumberFormat="1" applyFont="1" applyFill="1" applyBorder="1" applyAlignment="1" applyProtection="1">
      <alignment horizontal="center" wrapText="1" readingOrder="1"/>
    </xf>
    <xf numFmtId="0" fontId="32" fillId="17" borderId="82" xfId="0" applyNumberFormat="1" applyFont="1" applyFill="1" applyBorder="1" applyAlignment="1" applyProtection="1">
      <alignment vertical="top" wrapText="1" readingOrder="1"/>
      <protection locked="0"/>
    </xf>
    <xf numFmtId="0" fontId="32" fillId="17" borderId="82" xfId="0" applyNumberFormat="1" applyFont="1" applyFill="1" applyBorder="1" applyAlignment="1" applyProtection="1">
      <alignment horizontal="right" vertical="top" wrapText="1" readingOrder="1"/>
      <protection locked="0"/>
    </xf>
    <xf numFmtId="167" fontId="32" fillId="17" borderId="82" xfId="0" applyNumberFormat="1" applyFont="1" applyFill="1" applyBorder="1" applyAlignment="1" applyProtection="1">
      <alignment horizontal="right" vertical="top" wrapText="1" readingOrder="1"/>
    </xf>
    <xf numFmtId="3" fontId="1" fillId="6" borderId="31" xfId="0" applyNumberFormat="1" applyFont="1" applyFill="1" applyBorder="1" applyAlignment="1">
      <alignment horizontal="center" vertical="top" wrapText="1"/>
    </xf>
    <xf numFmtId="0" fontId="1" fillId="8" borderId="56" xfId="0" applyNumberFormat="1" applyFont="1" applyFill="1" applyBorder="1" applyAlignment="1">
      <alignment horizontal="left" vertical="top" wrapText="1"/>
    </xf>
    <xf numFmtId="164" fontId="1" fillId="8" borderId="29" xfId="0" applyNumberFormat="1" applyFont="1" applyFill="1" applyBorder="1" applyAlignment="1">
      <alignment horizontal="center" vertical="top" wrapText="1"/>
    </xf>
    <xf numFmtId="164" fontId="1" fillId="13" borderId="52" xfId="3" applyNumberFormat="1" applyFont="1" applyFill="1" applyBorder="1" applyAlignment="1">
      <alignment horizontal="center" vertical="top"/>
    </xf>
    <xf numFmtId="164" fontId="1" fillId="13" borderId="17" xfId="3" applyNumberFormat="1" applyFont="1" applyFill="1" applyBorder="1" applyAlignment="1">
      <alignment horizontal="center" vertical="top"/>
    </xf>
    <xf numFmtId="164" fontId="1" fillId="13" borderId="62" xfId="3" applyNumberFormat="1" applyFont="1" applyFill="1" applyBorder="1" applyAlignment="1">
      <alignment horizontal="center" vertical="top"/>
    </xf>
    <xf numFmtId="164" fontId="3" fillId="7" borderId="62" xfId="0" applyNumberFormat="1" applyFont="1" applyFill="1" applyBorder="1" applyAlignment="1">
      <alignment horizontal="center" vertical="top"/>
    </xf>
    <xf numFmtId="164" fontId="1" fillId="0" borderId="17" xfId="0" applyNumberFormat="1" applyFont="1" applyFill="1" applyBorder="1" applyAlignment="1">
      <alignment horizontal="center" vertical="top" wrapText="1"/>
    </xf>
    <xf numFmtId="164" fontId="1" fillId="13" borderId="11" xfId="3" applyNumberFormat="1" applyFont="1" applyFill="1" applyBorder="1" applyAlignment="1">
      <alignment horizontal="center" vertical="top"/>
    </xf>
    <xf numFmtId="164" fontId="1" fillId="13" borderId="56" xfId="3" applyNumberFormat="1" applyFont="1" applyFill="1" applyBorder="1" applyAlignment="1">
      <alignment horizontal="center" vertical="top"/>
    </xf>
    <xf numFmtId="164" fontId="3" fillId="7" borderId="56" xfId="0" applyNumberFormat="1" applyFont="1" applyFill="1" applyBorder="1" applyAlignment="1">
      <alignment horizontal="center" vertical="top"/>
    </xf>
    <xf numFmtId="3" fontId="1" fillId="8" borderId="33" xfId="0" applyNumberFormat="1" applyFont="1" applyFill="1" applyBorder="1" applyAlignment="1">
      <alignment horizontal="center" vertical="top"/>
    </xf>
    <xf numFmtId="3" fontId="3" fillId="0" borderId="42" xfId="0" applyNumberFormat="1" applyFont="1" applyFill="1" applyBorder="1" applyAlignment="1">
      <alignment horizontal="center" vertical="top" wrapText="1"/>
    </xf>
    <xf numFmtId="3" fontId="1" fillId="8" borderId="61" xfId="0" applyNumberFormat="1" applyFont="1" applyFill="1" applyBorder="1" applyAlignment="1">
      <alignment horizontal="center" vertical="top"/>
    </xf>
    <xf numFmtId="49" fontId="1" fillId="10" borderId="43" xfId="0" applyNumberFormat="1" applyFont="1" applyFill="1" applyBorder="1" applyAlignment="1">
      <alignment horizontal="center" vertical="top" wrapText="1"/>
    </xf>
    <xf numFmtId="3" fontId="1" fillId="10" borderId="33" xfId="0" applyNumberFormat="1" applyFont="1" applyFill="1" applyBorder="1" applyAlignment="1">
      <alignment vertical="top" wrapText="1"/>
    </xf>
    <xf numFmtId="3" fontId="1" fillId="10" borderId="32" xfId="0" applyNumberFormat="1" applyFont="1" applyFill="1" applyBorder="1" applyAlignment="1">
      <alignment horizontal="center" vertical="top" wrapText="1"/>
    </xf>
    <xf numFmtId="3" fontId="1" fillId="10" borderId="38" xfId="0" applyNumberFormat="1" applyFont="1" applyFill="1" applyBorder="1" applyAlignment="1">
      <alignment vertical="top" wrapText="1"/>
    </xf>
    <xf numFmtId="3" fontId="1" fillId="10" borderId="44" xfId="0" applyNumberFormat="1" applyFont="1" applyFill="1" applyBorder="1" applyAlignment="1">
      <alignment horizontal="center" vertical="top" wrapText="1"/>
    </xf>
    <xf numFmtId="3" fontId="1" fillId="10" borderId="45" xfId="0" applyNumberFormat="1" applyFont="1" applyFill="1" applyBorder="1" applyAlignment="1">
      <alignment horizontal="center" vertical="top" wrapText="1"/>
    </xf>
    <xf numFmtId="0" fontId="1" fillId="8" borderId="64" xfId="0" applyNumberFormat="1" applyFont="1" applyFill="1" applyBorder="1" applyAlignment="1">
      <alignment horizontal="center" vertical="top" wrapText="1"/>
    </xf>
    <xf numFmtId="3" fontId="3" fillId="7" borderId="38" xfId="0" applyNumberFormat="1" applyFont="1" applyFill="1" applyBorder="1" applyAlignment="1">
      <alignment horizontal="right" vertical="top"/>
    </xf>
    <xf numFmtId="3" fontId="3" fillId="7" borderId="41" xfId="0" applyNumberFormat="1" applyFont="1" applyFill="1" applyBorder="1" applyAlignment="1">
      <alignment horizontal="center" vertical="top"/>
    </xf>
    <xf numFmtId="3" fontId="1" fillId="6" borderId="14" xfId="0" applyNumberFormat="1" applyFont="1" applyFill="1" applyBorder="1" applyAlignment="1">
      <alignment horizontal="left" vertical="top" wrapText="1"/>
    </xf>
    <xf numFmtId="49" fontId="3" fillId="5" borderId="12" xfId="0" applyNumberFormat="1" applyFont="1" applyFill="1" applyBorder="1" applyAlignment="1">
      <alignment horizontal="center" vertical="top"/>
    </xf>
    <xf numFmtId="3" fontId="3" fillId="7" borderId="41" xfId="0" applyNumberFormat="1" applyFont="1" applyFill="1" applyBorder="1" applyAlignment="1">
      <alignment horizontal="right" vertical="top"/>
    </xf>
    <xf numFmtId="3" fontId="1" fillId="8" borderId="13" xfId="0" applyNumberFormat="1" applyFont="1" applyFill="1" applyBorder="1" applyAlignment="1">
      <alignment horizontal="center" vertical="top"/>
    </xf>
    <xf numFmtId="3" fontId="1" fillId="8" borderId="65" xfId="0" applyNumberFormat="1" applyFont="1" applyFill="1" applyBorder="1" applyAlignment="1">
      <alignment horizontal="center" vertical="top"/>
    </xf>
    <xf numFmtId="4" fontId="1" fillId="10" borderId="65" xfId="0" applyNumberFormat="1" applyFont="1" applyFill="1" applyBorder="1" applyAlignment="1">
      <alignment horizontal="center" vertical="top" wrapText="1"/>
    </xf>
    <xf numFmtId="3" fontId="1" fillId="0" borderId="44" xfId="0" applyNumberFormat="1" applyFont="1" applyBorder="1" applyAlignment="1">
      <alignment horizontal="center" vertical="center" textRotation="90" wrapText="1"/>
    </xf>
    <xf numFmtId="3" fontId="1" fillId="10" borderId="3" xfId="0" applyNumberFormat="1" applyFont="1" applyFill="1" applyBorder="1" applyAlignment="1">
      <alignment horizontal="center" vertical="top" wrapText="1"/>
    </xf>
    <xf numFmtId="3" fontId="1" fillId="10" borderId="11" xfId="0" applyNumberFormat="1" applyFont="1" applyFill="1" applyBorder="1" applyAlignment="1">
      <alignment horizontal="center" vertical="top" wrapText="1"/>
    </xf>
    <xf numFmtId="164" fontId="1" fillId="10" borderId="11" xfId="0" applyNumberFormat="1" applyFont="1" applyFill="1" applyBorder="1" applyAlignment="1">
      <alignment horizontal="center" vertical="top" wrapText="1"/>
    </xf>
    <xf numFmtId="3" fontId="1" fillId="10" borderId="19" xfId="0" applyNumberFormat="1" applyFont="1" applyFill="1" applyBorder="1" applyAlignment="1">
      <alignment horizontal="center" vertical="top" wrapText="1"/>
    </xf>
    <xf numFmtId="49" fontId="3" fillId="6" borderId="4" xfId="0" applyNumberFormat="1" applyFont="1" applyFill="1" applyBorder="1" applyAlignment="1">
      <alignment horizontal="center" vertical="top" wrapText="1"/>
    </xf>
    <xf numFmtId="3" fontId="1" fillId="8" borderId="14" xfId="0" applyNumberFormat="1" applyFont="1" applyFill="1" applyBorder="1" applyAlignment="1">
      <alignment horizontal="left" vertical="top" wrapText="1"/>
    </xf>
    <xf numFmtId="3" fontId="1" fillId="8" borderId="32" xfId="0" applyNumberFormat="1" applyFont="1" applyFill="1" applyBorder="1" applyAlignment="1">
      <alignment horizontal="center" vertical="top" wrapText="1"/>
    </xf>
    <xf numFmtId="3" fontId="1" fillId="8" borderId="37" xfId="0" applyNumberFormat="1" applyFont="1" applyFill="1" applyBorder="1" applyAlignment="1">
      <alignment horizontal="center" vertical="top" wrapText="1"/>
    </xf>
    <xf numFmtId="0" fontId="1" fillId="10" borderId="37" xfId="0" applyNumberFormat="1" applyFont="1" applyFill="1" applyBorder="1" applyAlignment="1">
      <alignment horizontal="center" vertical="top" wrapText="1"/>
    </xf>
    <xf numFmtId="3" fontId="13" fillId="0" borderId="0" xfId="0" applyNumberFormat="1" applyFont="1" applyBorder="1" applyAlignment="1">
      <alignment horizontal="left" vertical="top"/>
    </xf>
    <xf numFmtId="49" fontId="1" fillId="8" borderId="31" xfId="0" applyNumberFormat="1" applyFont="1" applyFill="1" applyBorder="1" applyAlignment="1">
      <alignment vertical="top" wrapText="1"/>
    </xf>
    <xf numFmtId="0" fontId="1" fillId="0" borderId="0" xfId="0" applyFont="1" applyAlignment="1">
      <alignment horizontal="center"/>
    </xf>
    <xf numFmtId="0" fontId="1" fillId="0" borderId="0" xfId="0" applyFont="1" applyAlignment="1"/>
    <xf numFmtId="0" fontId="34" fillId="0" borderId="0" xfId="0" applyFont="1" applyAlignment="1">
      <alignment horizontal="left" vertical="top" wrapText="1"/>
    </xf>
    <xf numFmtId="0" fontId="28" fillId="0" borderId="0" xfId="2" applyFont="1" applyAlignment="1">
      <alignment horizontal="left" vertical="center" wrapText="1"/>
    </xf>
    <xf numFmtId="0" fontId="24" fillId="0" borderId="0" xfId="0" applyFont="1" applyBorder="1" applyAlignment="1">
      <alignment horizontal="center" vertical="top" wrapText="1"/>
    </xf>
    <xf numFmtId="0" fontId="24" fillId="6" borderId="0" xfId="0" applyFont="1" applyFill="1" applyBorder="1" applyAlignment="1">
      <alignment horizontal="left" vertical="top" wrapText="1"/>
    </xf>
    <xf numFmtId="0" fontId="24" fillId="0" borderId="0" xfId="0" applyFont="1" applyFill="1" applyAlignment="1">
      <alignment horizontal="center" vertical="top"/>
    </xf>
    <xf numFmtId="0" fontId="24" fillId="0" borderId="0" xfId="0" applyFont="1" applyFill="1" applyBorder="1" applyAlignment="1">
      <alignment horizontal="left" vertical="top" wrapText="1"/>
    </xf>
    <xf numFmtId="0" fontId="28" fillId="0" borderId="0" xfId="2" applyFont="1" applyBorder="1" applyAlignment="1">
      <alignment horizontal="left" vertical="top" wrapText="1"/>
    </xf>
    <xf numFmtId="0" fontId="24" fillId="0" borderId="0" xfId="0" applyFont="1" applyFill="1" applyAlignment="1">
      <alignment vertical="top" wrapText="1"/>
    </xf>
    <xf numFmtId="0" fontId="23" fillId="0" borderId="0" xfId="0" applyFont="1" applyFill="1" applyBorder="1" applyAlignment="1">
      <alignment horizontal="center" vertical="top" wrapText="1"/>
    </xf>
    <xf numFmtId="0" fontId="23" fillId="0" borderId="0" xfId="0" applyFont="1" applyFill="1" applyAlignment="1">
      <alignment vertical="top" wrapText="1"/>
    </xf>
    <xf numFmtId="0" fontId="23" fillId="0" borderId="0" xfId="0" applyFont="1" applyFill="1" applyAlignment="1">
      <alignment horizontal="left" vertical="top" wrapText="1"/>
    </xf>
    <xf numFmtId="3" fontId="1" fillId="10" borderId="61" xfId="0" applyNumberFormat="1" applyFont="1" applyFill="1" applyBorder="1" applyAlignment="1">
      <alignment horizontal="left" vertical="top" wrapText="1"/>
    </xf>
    <xf numFmtId="3" fontId="1" fillId="10" borderId="17" xfId="0" applyNumberFormat="1" applyFont="1" applyFill="1" applyBorder="1" applyAlignment="1">
      <alignment horizontal="left" vertical="top" wrapText="1"/>
    </xf>
    <xf numFmtId="3" fontId="28" fillId="0" borderId="0" xfId="0" applyNumberFormat="1" applyFont="1" applyAlignment="1">
      <alignment horizontal="center" vertical="top" wrapText="1"/>
    </xf>
    <xf numFmtId="3" fontId="29" fillId="0" borderId="0" xfId="0" applyNumberFormat="1" applyFont="1" applyAlignment="1">
      <alignment horizontal="center" vertical="top" wrapText="1"/>
    </xf>
    <xf numFmtId="3" fontId="1" fillId="0" borderId="1" xfId="0" applyNumberFormat="1" applyFont="1" applyBorder="1" applyAlignment="1">
      <alignment horizontal="right"/>
    </xf>
    <xf numFmtId="3" fontId="3" fillId="5" borderId="44" xfId="0" applyNumberFormat="1" applyFont="1" applyFill="1" applyBorder="1" applyAlignment="1">
      <alignment horizontal="left" vertical="top" wrapText="1"/>
    </xf>
    <xf numFmtId="3" fontId="3" fillId="5" borderId="1" xfId="0" applyNumberFormat="1" applyFont="1" applyFill="1" applyBorder="1" applyAlignment="1">
      <alignment horizontal="left" vertical="top" wrapText="1"/>
    </xf>
    <xf numFmtId="3" fontId="3" fillId="5" borderId="47" xfId="0" applyNumberFormat="1" applyFont="1" applyFill="1" applyBorder="1" applyAlignment="1">
      <alignment horizontal="left" vertical="top" wrapText="1"/>
    </xf>
    <xf numFmtId="3" fontId="3" fillId="0" borderId="35" xfId="0" applyNumberFormat="1" applyFont="1" applyFill="1" applyBorder="1" applyAlignment="1">
      <alignment horizontal="center" vertical="center" textRotation="90" wrapText="1"/>
    </xf>
    <xf numFmtId="3" fontId="3" fillId="0" borderId="51" xfId="0" applyNumberFormat="1" applyFont="1" applyFill="1" applyBorder="1" applyAlignment="1">
      <alignment horizontal="center" vertical="center" textRotation="90" wrapText="1"/>
    </xf>
    <xf numFmtId="3" fontId="3" fillId="0" borderId="23" xfId="0" applyNumberFormat="1" applyFont="1" applyFill="1" applyBorder="1" applyAlignment="1">
      <alignment horizontal="center" vertical="center" textRotation="90" wrapText="1"/>
    </xf>
    <xf numFmtId="3" fontId="30" fillId="0" borderId="4" xfId="0" applyNumberFormat="1" applyFont="1" applyFill="1" applyBorder="1" applyAlignment="1">
      <alignment horizontal="center" vertical="center" textRotation="90" wrapText="1"/>
    </xf>
    <xf numFmtId="3" fontId="30" fillId="0" borderId="12" xfId="0" applyNumberFormat="1" applyFont="1" applyFill="1" applyBorder="1" applyAlignment="1">
      <alignment horizontal="center" vertical="center" textRotation="90" wrapText="1"/>
    </xf>
    <xf numFmtId="3" fontId="30" fillId="0" borderId="20" xfId="0" applyNumberFormat="1" applyFont="1" applyFill="1" applyBorder="1" applyAlignment="1">
      <alignment horizontal="center" vertical="center" textRotation="90" wrapText="1"/>
    </xf>
    <xf numFmtId="3" fontId="3" fillId="0" borderId="9" xfId="0" applyNumberFormat="1" applyFont="1" applyFill="1" applyBorder="1" applyAlignment="1">
      <alignment horizontal="center" vertical="top"/>
    </xf>
    <xf numFmtId="3" fontId="3" fillId="0" borderId="52" xfId="0" applyNumberFormat="1" applyFont="1" applyFill="1" applyBorder="1" applyAlignment="1">
      <alignment horizontal="center" vertical="top"/>
    </xf>
    <xf numFmtId="3" fontId="3" fillId="0" borderId="39" xfId="0" applyNumberFormat="1" applyFont="1" applyFill="1" applyBorder="1" applyAlignment="1">
      <alignment horizontal="center" vertical="top"/>
    </xf>
    <xf numFmtId="3" fontId="1" fillId="8" borderId="15" xfId="0" applyNumberFormat="1" applyFont="1" applyFill="1" applyBorder="1" applyAlignment="1">
      <alignment horizontal="left" vertical="top" wrapText="1"/>
    </xf>
    <xf numFmtId="3" fontId="1" fillId="8" borderId="23" xfId="0" applyNumberFormat="1" applyFont="1" applyFill="1" applyBorder="1" applyAlignment="1">
      <alignment horizontal="left" vertical="top" wrapText="1"/>
    </xf>
    <xf numFmtId="3" fontId="1" fillId="8" borderId="40" xfId="0" applyNumberFormat="1" applyFont="1" applyFill="1" applyBorder="1" applyAlignment="1">
      <alignment horizontal="left" vertical="top" wrapText="1"/>
    </xf>
    <xf numFmtId="3" fontId="1" fillId="8" borderId="62" xfId="0" applyNumberFormat="1" applyFont="1" applyFill="1" applyBorder="1" applyAlignment="1">
      <alignment horizontal="left" vertical="top" wrapText="1"/>
    </xf>
    <xf numFmtId="3" fontId="1" fillId="8" borderId="38" xfId="0" applyNumberFormat="1" applyFont="1" applyFill="1" applyBorder="1" applyAlignment="1">
      <alignment horizontal="left" vertical="top" wrapText="1"/>
    </xf>
    <xf numFmtId="3" fontId="1" fillId="8" borderId="47" xfId="0" applyNumberFormat="1" applyFont="1" applyFill="1" applyBorder="1" applyAlignment="1">
      <alignment horizontal="left" vertical="top" wrapText="1"/>
    </xf>
    <xf numFmtId="3" fontId="1" fillId="0" borderId="6" xfId="0" applyNumberFormat="1" applyFont="1" applyFill="1" applyBorder="1" applyAlignment="1">
      <alignment horizontal="left" vertical="top" wrapText="1"/>
    </xf>
    <xf numFmtId="3" fontId="1" fillId="0" borderId="14" xfId="0" applyNumberFormat="1" applyFont="1" applyFill="1" applyBorder="1" applyAlignment="1">
      <alignment horizontal="left" vertical="top" wrapText="1"/>
    </xf>
    <xf numFmtId="3" fontId="1" fillId="0" borderId="22" xfId="0" applyNumberFormat="1" applyFont="1" applyFill="1" applyBorder="1" applyAlignment="1">
      <alignment horizontal="left" vertical="top" wrapText="1"/>
    </xf>
    <xf numFmtId="3" fontId="1" fillId="8" borderId="7" xfId="0" applyNumberFormat="1" applyFont="1" applyFill="1" applyBorder="1" applyAlignment="1">
      <alignment horizontal="left" vertical="top" wrapText="1"/>
    </xf>
    <xf numFmtId="3" fontId="1" fillId="8" borderId="9" xfId="0" applyNumberFormat="1" applyFont="1" applyFill="1" applyBorder="1" applyAlignment="1">
      <alignment horizontal="left" vertical="top" wrapText="1"/>
    </xf>
    <xf numFmtId="3" fontId="1" fillId="0" borderId="40" xfId="0" applyNumberFormat="1" applyFont="1" applyBorder="1" applyAlignment="1">
      <alignment horizontal="center" vertical="center" wrapText="1"/>
    </xf>
    <xf numFmtId="3" fontId="1" fillId="0" borderId="31" xfId="0" applyNumberFormat="1" applyFont="1" applyBorder="1" applyAlignment="1">
      <alignment horizontal="center" vertical="center" wrapText="1"/>
    </xf>
    <xf numFmtId="3" fontId="3" fillId="11" borderId="33" xfId="0" applyNumberFormat="1" applyFont="1" applyFill="1" applyBorder="1" applyAlignment="1">
      <alignment horizontal="left" vertical="top" wrapText="1"/>
    </xf>
    <xf numFmtId="3" fontId="3" fillId="11" borderId="34" xfId="0" applyNumberFormat="1" applyFont="1" applyFill="1" applyBorder="1" applyAlignment="1">
      <alignment horizontal="left" vertical="top" wrapText="1"/>
    </xf>
    <xf numFmtId="3" fontId="3" fillId="11" borderId="0" xfId="0" applyNumberFormat="1" applyFont="1" applyFill="1" applyBorder="1" applyAlignment="1">
      <alignment horizontal="left" vertical="top" wrapText="1"/>
    </xf>
    <xf numFmtId="3" fontId="3" fillId="11" borderId="46" xfId="0" applyNumberFormat="1" applyFont="1" applyFill="1" applyBorder="1" applyAlignment="1">
      <alignment horizontal="left" vertical="top" wrapText="1"/>
    </xf>
    <xf numFmtId="3" fontId="16" fillId="12" borderId="40" xfId="0" applyNumberFormat="1" applyFont="1" applyFill="1" applyBorder="1" applyAlignment="1">
      <alignment horizontal="left" vertical="top" wrapText="1"/>
    </xf>
    <xf numFmtId="3" fontId="16" fillId="12" borderId="60" xfId="0" applyNumberFormat="1" applyFont="1" applyFill="1" applyBorder="1" applyAlignment="1">
      <alignment horizontal="left" vertical="top" wrapText="1"/>
    </xf>
    <xf numFmtId="3" fontId="16" fillId="12" borderId="62" xfId="0" applyNumberFormat="1" applyFont="1" applyFill="1" applyBorder="1" applyAlignment="1">
      <alignment horizontal="left" vertical="top" wrapText="1"/>
    </xf>
    <xf numFmtId="3" fontId="4" fillId="0" borderId="37" xfId="0" applyNumberFormat="1" applyFont="1" applyBorder="1" applyAlignment="1">
      <alignment horizontal="center" vertical="center" wrapText="1"/>
    </xf>
    <xf numFmtId="3" fontId="4" fillId="0" borderId="43" xfId="0" applyNumberFormat="1" applyFont="1" applyBorder="1" applyAlignment="1">
      <alignment horizontal="center" vertical="center" wrapText="1"/>
    </xf>
    <xf numFmtId="3" fontId="4" fillId="0" borderId="45" xfId="0" applyNumberFormat="1" applyFont="1" applyBorder="1" applyAlignment="1">
      <alignment horizontal="center" vertical="center" wrapText="1"/>
    </xf>
    <xf numFmtId="164" fontId="1" fillId="0" borderId="52" xfId="0" applyNumberFormat="1" applyFont="1" applyBorder="1" applyAlignment="1">
      <alignment horizontal="center" vertical="center" textRotation="90" wrapText="1"/>
    </xf>
    <xf numFmtId="164" fontId="1" fillId="0" borderId="47" xfId="0" applyNumberFormat="1" applyFont="1" applyBorder="1" applyAlignment="1">
      <alignment horizontal="center" vertical="center" textRotation="90" wrapText="1"/>
    </xf>
    <xf numFmtId="3" fontId="3" fillId="10" borderId="32" xfId="0" applyNumberFormat="1" applyFont="1" applyFill="1" applyBorder="1" applyAlignment="1">
      <alignment horizontal="left" vertical="top" wrapText="1"/>
    </xf>
    <xf numFmtId="3" fontId="3" fillId="10" borderId="34" xfId="0" applyNumberFormat="1" applyFont="1" applyFill="1" applyBorder="1" applyAlignment="1">
      <alignment horizontal="left" vertical="top" wrapText="1"/>
    </xf>
    <xf numFmtId="3" fontId="3" fillId="10" borderId="42" xfId="0" applyNumberFormat="1" applyFont="1" applyFill="1" applyBorder="1" applyAlignment="1">
      <alignment horizontal="left" vertical="top" wrapText="1"/>
    </xf>
    <xf numFmtId="3" fontId="3" fillId="10" borderId="0" xfId="0" applyNumberFormat="1" applyFont="1" applyFill="1" applyBorder="1" applyAlignment="1">
      <alignment horizontal="left" vertical="top" wrapText="1"/>
    </xf>
    <xf numFmtId="3" fontId="3" fillId="10" borderId="44" xfId="0" applyNumberFormat="1" applyFont="1" applyFill="1" applyBorder="1" applyAlignment="1">
      <alignment horizontal="left" vertical="top" wrapText="1"/>
    </xf>
    <xf numFmtId="3" fontId="3" fillId="10" borderId="1" xfId="0" applyNumberFormat="1" applyFont="1" applyFill="1" applyBorder="1" applyAlignment="1">
      <alignment horizontal="left" vertical="top" wrapText="1"/>
    </xf>
    <xf numFmtId="3" fontId="1" fillId="0" borderId="4" xfId="0" applyNumberFormat="1" applyFont="1" applyBorder="1" applyAlignment="1">
      <alignment horizontal="center" vertical="center" textRotation="90" wrapText="1"/>
    </xf>
    <xf numFmtId="3" fontId="1" fillId="0" borderId="12" xfId="0" applyNumberFormat="1" applyFont="1" applyBorder="1" applyAlignment="1">
      <alignment horizontal="center" vertical="center" textRotation="90" wrapText="1"/>
    </xf>
    <xf numFmtId="3" fontId="1" fillId="0" borderId="20" xfId="0" applyNumberFormat="1" applyFont="1" applyBorder="1" applyAlignment="1">
      <alignment horizontal="center" vertical="center" textRotation="90" wrapText="1"/>
    </xf>
    <xf numFmtId="3" fontId="1" fillId="0" borderId="37" xfId="0" applyNumberFormat="1" applyFont="1" applyBorder="1" applyAlignment="1">
      <alignment horizontal="center" vertical="center" textRotation="90" wrapText="1"/>
    </xf>
    <xf numFmtId="3" fontId="1" fillId="0" borderId="43" xfId="0" applyNumberFormat="1" applyFont="1" applyBorder="1" applyAlignment="1">
      <alignment horizontal="center" vertical="center" textRotation="90" wrapText="1"/>
    </xf>
    <xf numFmtId="3" fontId="1" fillId="0" borderId="6" xfId="0" applyNumberFormat="1" applyFont="1" applyBorder="1" applyAlignment="1">
      <alignment horizontal="center" vertical="center" textRotation="90" wrapText="1"/>
    </xf>
    <xf numFmtId="3" fontId="1" fillId="0" borderId="14" xfId="0" applyNumberFormat="1" applyFont="1" applyBorder="1" applyAlignment="1">
      <alignment horizontal="center" vertical="center" textRotation="90" wrapText="1"/>
    </xf>
    <xf numFmtId="3" fontId="1" fillId="0" borderId="22" xfId="0" applyNumberFormat="1" applyFont="1" applyBorder="1" applyAlignment="1">
      <alignment horizontal="center" vertical="center" textRotation="90" wrapText="1"/>
    </xf>
    <xf numFmtId="49" fontId="1" fillId="0" borderId="2" xfId="0" applyNumberFormat="1" applyFont="1" applyBorder="1" applyAlignment="1">
      <alignment horizontal="center" vertical="center" textRotation="90" wrapText="1"/>
    </xf>
    <xf numFmtId="49" fontId="1" fillId="0" borderId="10" xfId="0" applyNumberFormat="1" applyFont="1" applyBorder="1" applyAlignment="1">
      <alignment horizontal="center" vertical="center" textRotation="90" wrapText="1"/>
    </xf>
    <xf numFmtId="49" fontId="1" fillId="0" borderId="15" xfId="0" applyNumberFormat="1" applyFont="1" applyBorder="1" applyAlignment="1">
      <alignment horizontal="center" vertical="center" textRotation="90" wrapText="1"/>
    </xf>
    <xf numFmtId="49" fontId="1" fillId="0" borderId="3" xfId="0" applyNumberFormat="1" applyFont="1" applyBorder="1" applyAlignment="1">
      <alignment horizontal="center" vertical="center" textRotation="90" wrapText="1"/>
    </xf>
    <xf numFmtId="49" fontId="1" fillId="0" borderId="11" xfId="0" applyNumberFormat="1" applyFont="1" applyBorder="1" applyAlignment="1">
      <alignment horizontal="center" vertical="center" textRotation="90" wrapText="1"/>
    </xf>
    <xf numFmtId="49" fontId="1" fillId="0" borderId="56" xfId="0" applyNumberFormat="1" applyFont="1" applyBorder="1" applyAlignment="1">
      <alignment horizontal="center" vertical="center" textRotation="90" wrapText="1"/>
    </xf>
    <xf numFmtId="49" fontId="1" fillId="0" borderId="4" xfId="0" applyNumberFormat="1" applyFont="1" applyBorder="1" applyAlignment="1">
      <alignment horizontal="center" vertical="center" textRotation="90" wrapText="1"/>
    </xf>
    <xf numFmtId="49" fontId="1" fillId="0" borderId="12" xfId="0" applyNumberFormat="1" applyFont="1" applyBorder="1" applyAlignment="1">
      <alignment horizontal="center" vertical="center" textRotation="90" wrapText="1"/>
    </xf>
    <xf numFmtId="49" fontId="1" fillId="0" borderId="20" xfId="0" applyNumberFormat="1" applyFont="1" applyBorder="1" applyAlignment="1">
      <alignment horizontal="center" vertical="center" textRotation="90" wrapText="1"/>
    </xf>
    <xf numFmtId="3" fontId="1" fillId="0" borderId="32" xfId="0" applyNumberFormat="1" applyFont="1" applyBorder="1" applyAlignment="1">
      <alignment horizontal="center" vertical="center" wrapText="1"/>
    </xf>
    <xf numFmtId="3" fontId="1" fillId="0" borderId="42" xfId="0" applyNumberFormat="1" applyFont="1" applyBorder="1" applyAlignment="1">
      <alignment horizontal="center" vertical="center" wrapText="1"/>
    </xf>
    <xf numFmtId="3" fontId="1" fillId="0" borderId="33" xfId="0" applyNumberFormat="1" applyFont="1" applyBorder="1" applyAlignment="1">
      <alignment horizontal="center" vertical="center" textRotation="90" wrapText="1"/>
    </xf>
    <xf numFmtId="3" fontId="1" fillId="0" borderId="31" xfId="0" applyNumberFormat="1" applyFont="1" applyBorder="1" applyAlignment="1">
      <alignment horizontal="center" vertical="center" textRotation="90" wrapText="1"/>
    </xf>
    <xf numFmtId="3" fontId="1" fillId="0" borderId="40" xfId="0" applyNumberFormat="1" applyFont="1" applyFill="1" applyBorder="1" applyAlignment="1">
      <alignment horizontal="left" vertical="top" wrapText="1"/>
    </xf>
    <xf numFmtId="3" fontId="1" fillId="0" borderId="38" xfId="0" applyNumberFormat="1" applyFont="1" applyFill="1" applyBorder="1" applyAlignment="1">
      <alignment horizontal="left" vertical="top" wrapText="1"/>
    </xf>
    <xf numFmtId="49" fontId="3" fillId="10" borderId="33" xfId="0" applyNumberFormat="1" applyFont="1" applyFill="1" applyBorder="1" applyAlignment="1">
      <alignment horizontal="center" vertical="top"/>
    </xf>
    <xf numFmtId="49" fontId="3" fillId="10" borderId="31" xfId="0" applyNumberFormat="1" applyFont="1" applyFill="1" applyBorder="1" applyAlignment="1">
      <alignment horizontal="center" vertical="top"/>
    </xf>
    <xf numFmtId="49" fontId="3" fillId="10" borderId="38" xfId="0" applyNumberFormat="1" applyFont="1" applyFill="1" applyBorder="1" applyAlignment="1">
      <alignment horizontal="center" vertical="top"/>
    </xf>
    <xf numFmtId="49" fontId="3" fillId="5" borderId="4" xfId="0" applyNumberFormat="1" applyFont="1" applyFill="1" applyBorder="1" applyAlignment="1">
      <alignment horizontal="center" vertical="top"/>
    </xf>
    <xf numFmtId="49" fontId="3" fillId="5" borderId="12" xfId="0" applyNumberFormat="1" applyFont="1" applyFill="1" applyBorder="1" applyAlignment="1">
      <alignment horizontal="center" vertical="top"/>
    </xf>
    <xf numFmtId="49" fontId="3" fillId="5" borderId="20" xfId="0" applyNumberFormat="1" applyFont="1" applyFill="1" applyBorder="1" applyAlignment="1">
      <alignment horizontal="center" vertical="top"/>
    </xf>
    <xf numFmtId="49" fontId="3" fillId="6" borderId="34" xfId="0" applyNumberFormat="1" applyFont="1" applyFill="1" applyBorder="1" applyAlignment="1">
      <alignment horizontal="center" vertical="top"/>
    </xf>
    <xf numFmtId="49" fontId="3" fillId="6" borderId="0" xfId="0" applyNumberFormat="1" applyFont="1" applyFill="1" applyBorder="1" applyAlignment="1">
      <alignment horizontal="center" vertical="top"/>
    </xf>
    <xf numFmtId="3" fontId="3" fillId="0" borderId="62" xfId="0" applyNumberFormat="1" applyFont="1" applyFill="1" applyBorder="1" applyAlignment="1">
      <alignment horizontal="center" vertical="top"/>
    </xf>
    <xf numFmtId="3" fontId="1" fillId="0" borderId="15" xfId="0" applyNumberFormat="1" applyFont="1" applyFill="1" applyBorder="1" applyAlignment="1">
      <alignment horizontal="left" vertical="top" wrapText="1"/>
    </xf>
    <xf numFmtId="3" fontId="1" fillId="0" borderId="23" xfId="0" applyNumberFormat="1" applyFont="1" applyFill="1" applyBorder="1" applyAlignment="1">
      <alignment horizontal="left" vertical="top" wrapText="1"/>
    </xf>
    <xf numFmtId="3" fontId="3" fillId="0" borderId="37" xfId="0" applyNumberFormat="1" applyFont="1" applyFill="1" applyBorder="1" applyAlignment="1">
      <alignment horizontal="center" vertical="top"/>
    </xf>
    <xf numFmtId="3" fontId="3" fillId="0" borderId="45" xfId="0" applyNumberFormat="1" applyFont="1" applyFill="1" applyBorder="1" applyAlignment="1">
      <alignment horizontal="center" vertical="top"/>
    </xf>
    <xf numFmtId="3" fontId="1" fillId="0" borderId="33" xfId="0" applyNumberFormat="1" applyFont="1" applyFill="1" applyBorder="1" applyAlignment="1">
      <alignment horizontal="left" vertical="top" wrapText="1"/>
    </xf>
    <xf numFmtId="3" fontId="3" fillId="5" borderId="24" xfId="0" applyNumberFormat="1" applyFont="1" applyFill="1" applyBorder="1" applyAlignment="1">
      <alignment horizontal="right" vertical="top"/>
    </xf>
    <xf numFmtId="3" fontId="3" fillId="5" borderId="25" xfId="0" applyNumberFormat="1" applyFont="1" applyFill="1" applyBorder="1" applyAlignment="1">
      <alignment horizontal="right" vertical="top"/>
    </xf>
    <xf numFmtId="3" fontId="3" fillId="5" borderId="1" xfId="0" applyNumberFormat="1" applyFont="1" applyFill="1" applyBorder="1" applyAlignment="1">
      <alignment horizontal="center" vertical="top"/>
    </xf>
    <xf numFmtId="3" fontId="3" fillId="5" borderId="47" xfId="0" applyNumberFormat="1" applyFont="1" applyFill="1" applyBorder="1" applyAlignment="1">
      <alignment horizontal="center" vertical="top"/>
    </xf>
    <xf numFmtId="3" fontId="1" fillId="0" borderId="4" xfId="0" applyNumberFormat="1" applyFont="1" applyFill="1" applyBorder="1" applyAlignment="1">
      <alignment horizontal="center" vertical="center" textRotation="90" wrapText="1"/>
    </xf>
    <xf numFmtId="3" fontId="1" fillId="0" borderId="20" xfId="0" applyNumberFormat="1" applyFont="1" applyFill="1" applyBorder="1" applyAlignment="1">
      <alignment horizontal="center" vertical="center" textRotation="90" wrapText="1"/>
    </xf>
    <xf numFmtId="3" fontId="1" fillId="0" borderId="7" xfId="0" applyNumberFormat="1" applyFont="1" applyFill="1" applyBorder="1" applyAlignment="1">
      <alignment horizontal="left" vertical="top" wrapText="1"/>
    </xf>
    <xf numFmtId="3" fontId="1" fillId="0" borderId="9" xfId="0" applyNumberFormat="1" applyFont="1" applyFill="1" applyBorder="1" applyAlignment="1">
      <alignment horizontal="left" vertical="top" wrapText="1"/>
    </xf>
    <xf numFmtId="3" fontId="1" fillId="8" borderId="33" xfId="0" applyNumberFormat="1" applyFont="1" applyFill="1" applyBorder="1" applyAlignment="1">
      <alignment horizontal="left" vertical="top" wrapText="1"/>
    </xf>
    <xf numFmtId="3" fontId="1" fillId="8" borderId="46" xfId="0" applyNumberFormat="1" applyFont="1" applyFill="1" applyBorder="1" applyAlignment="1">
      <alignment horizontal="left" vertical="top" wrapText="1"/>
    </xf>
    <xf numFmtId="3" fontId="1" fillId="8" borderId="53" xfId="0" applyNumberFormat="1" applyFont="1" applyFill="1" applyBorder="1" applyAlignment="1">
      <alignment horizontal="left" vertical="top" wrapText="1"/>
    </xf>
    <xf numFmtId="3" fontId="1" fillId="8" borderId="14" xfId="0" applyNumberFormat="1" applyFont="1" applyFill="1" applyBorder="1" applyAlignment="1">
      <alignment horizontal="left" vertical="top" wrapText="1"/>
    </xf>
    <xf numFmtId="3" fontId="1" fillId="0" borderId="31" xfId="0" applyNumberFormat="1" applyFont="1" applyFill="1" applyBorder="1" applyAlignment="1">
      <alignment horizontal="left" vertical="top" wrapText="1"/>
    </xf>
    <xf numFmtId="3" fontId="1" fillId="8" borderId="6" xfId="0" applyNumberFormat="1" applyFont="1" applyFill="1" applyBorder="1" applyAlignment="1">
      <alignment horizontal="left" vertical="top" wrapText="1"/>
    </xf>
    <xf numFmtId="3" fontId="1" fillId="8" borderId="22" xfId="0" applyNumberFormat="1" applyFont="1" applyFill="1" applyBorder="1" applyAlignment="1">
      <alignment horizontal="left" vertical="top" wrapText="1"/>
    </xf>
    <xf numFmtId="3" fontId="30" fillId="0" borderId="4" xfId="0" applyNumberFormat="1" applyFont="1" applyFill="1" applyBorder="1" applyAlignment="1">
      <alignment horizontal="center" vertical="center" textRotation="90"/>
    </xf>
    <xf numFmtId="3" fontId="30" fillId="0" borderId="20" xfId="0" applyNumberFormat="1" applyFont="1" applyFill="1" applyBorder="1" applyAlignment="1">
      <alignment horizontal="center" vertical="center" textRotation="90"/>
    </xf>
    <xf numFmtId="3" fontId="3" fillId="5" borderId="24" xfId="0" applyNumberFormat="1" applyFont="1" applyFill="1" applyBorder="1" applyAlignment="1">
      <alignment horizontal="left" vertical="top" wrapText="1"/>
    </xf>
    <xf numFmtId="3" fontId="3" fillId="5" borderId="25" xfId="0" applyNumberFormat="1" applyFont="1" applyFill="1" applyBorder="1" applyAlignment="1">
      <alignment horizontal="left" vertical="top" wrapText="1"/>
    </xf>
    <xf numFmtId="3" fontId="3" fillId="5" borderId="26" xfId="0" applyNumberFormat="1" applyFont="1" applyFill="1" applyBorder="1" applyAlignment="1">
      <alignment horizontal="left" vertical="top" wrapText="1"/>
    </xf>
    <xf numFmtId="3" fontId="1" fillId="6" borderId="53" xfId="0" applyNumberFormat="1" applyFont="1" applyFill="1" applyBorder="1" applyAlignment="1">
      <alignment horizontal="left" vertical="top" wrapText="1"/>
    </xf>
    <xf numFmtId="3" fontId="1" fillId="6" borderId="14" xfId="0" applyNumberFormat="1" applyFont="1" applyFill="1" applyBorder="1" applyAlignment="1">
      <alignment horizontal="left" vertical="top" wrapText="1"/>
    </xf>
    <xf numFmtId="3" fontId="1" fillId="0" borderId="53" xfId="0" applyNumberFormat="1" applyFont="1" applyFill="1" applyBorder="1" applyAlignment="1">
      <alignment horizontal="left" vertical="top" wrapText="1"/>
    </xf>
    <xf numFmtId="3" fontId="30" fillId="0" borderId="12" xfId="0" applyNumberFormat="1" applyFont="1" applyFill="1" applyBorder="1" applyAlignment="1">
      <alignment horizontal="center" vertical="top" textRotation="90" wrapText="1"/>
    </xf>
    <xf numFmtId="3" fontId="30" fillId="0" borderId="20" xfId="0" applyNumberFormat="1" applyFont="1" applyFill="1" applyBorder="1" applyAlignment="1">
      <alignment horizontal="center" vertical="top" textRotation="90" wrapText="1"/>
    </xf>
    <xf numFmtId="0" fontId="1" fillId="8" borderId="61" xfId="0" applyNumberFormat="1" applyFont="1" applyFill="1" applyBorder="1" applyAlignment="1">
      <alignment horizontal="left" vertical="top" wrapText="1"/>
    </xf>
    <xf numFmtId="0" fontId="1" fillId="8" borderId="17" xfId="0" applyNumberFormat="1" applyFont="1" applyFill="1" applyBorder="1" applyAlignment="1">
      <alignment horizontal="left" vertical="top" wrapText="1"/>
    </xf>
    <xf numFmtId="3" fontId="1" fillId="8" borderId="61" xfId="0" applyNumberFormat="1" applyFont="1" applyFill="1" applyBorder="1" applyAlignment="1">
      <alignment horizontal="left" vertical="top" wrapText="1"/>
    </xf>
    <xf numFmtId="3" fontId="1" fillId="8" borderId="17" xfId="0" applyNumberFormat="1" applyFont="1" applyFill="1" applyBorder="1" applyAlignment="1">
      <alignment horizontal="left" vertical="top" wrapText="1"/>
    </xf>
    <xf numFmtId="3" fontId="1" fillId="0" borderId="61" xfId="0" applyNumberFormat="1" applyFont="1" applyFill="1" applyBorder="1" applyAlignment="1">
      <alignment horizontal="left" vertical="top" wrapText="1"/>
    </xf>
    <xf numFmtId="3" fontId="1" fillId="0" borderId="17" xfId="0" applyNumberFormat="1" applyFont="1" applyFill="1" applyBorder="1" applyAlignment="1">
      <alignment horizontal="left" vertical="top" wrapText="1"/>
    </xf>
    <xf numFmtId="3" fontId="1" fillId="0" borderId="62" xfId="0" applyNumberFormat="1" applyFont="1" applyFill="1" applyBorder="1" applyAlignment="1">
      <alignment horizontal="left" vertical="top" wrapText="1"/>
    </xf>
    <xf numFmtId="3" fontId="1" fillId="0" borderId="52" xfId="0" applyNumberFormat="1" applyFont="1" applyFill="1" applyBorder="1" applyAlignment="1">
      <alignment horizontal="left" vertical="top" wrapText="1"/>
    </xf>
    <xf numFmtId="3" fontId="1" fillId="0" borderId="47" xfId="0" applyNumberFormat="1" applyFont="1" applyFill="1" applyBorder="1" applyAlignment="1">
      <alignment horizontal="left" vertical="top" wrapText="1"/>
    </xf>
    <xf numFmtId="0" fontId="1" fillId="8" borderId="33" xfId="0" applyNumberFormat="1" applyFont="1" applyFill="1" applyBorder="1" applyAlignment="1">
      <alignment horizontal="left" vertical="top" wrapText="1"/>
    </xf>
    <xf numFmtId="0" fontId="1" fillId="8" borderId="46" xfId="0" applyNumberFormat="1" applyFont="1" applyFill="1" applyBorder="1" applyAlignment="1">
      <alignment horizontal="left" vertical="top" wrapText="1"/>
    </xf>
    <xf numFmtId="0" fontId="1" fillId="8" borderId="38" xfId="0" applyNumberFormat="1" applyFont="1" applyFill="1" applyBorder="1" applyAlignment="1">
      <alignment horizontal="left" vertical="top" wrapText="1"/>
    </xf>
    <xf numFmtId="0" fontId="1" fillId="8" borderId="47" xfId="0" applyNumberFormat="1" applyFont="1" applyFill="1" applyBorder="1" applyAlignment="1">
      <alignment horizontal="left" vertical="top" wrapText="1"/>
    </xf>
    <xf numFmtId="3" fontId="1" fillId="0" borderId="4" xfId="0" applyNumberFormat="1" applyFont="1" applyFill="1" applyBorder="1" applyAlignment="1">
      <alignment horizontal="center" vertical="center" textRotation="90"/>
    </xf>
    <xf numFmtId="3" fontId="1" fillId="0" borderId="20" xfId="0" applyNumberFormat="1" applyFont="1" applyFill="1" applyBorder="1" applyAlignment="1">
      <alignment horizontal="center" vertical="center" textRotation="90"/>
    </xf>
    <xf numFmtId="3" fontId="30" fillId="0" borderId="56" xfId="0" applyNumberFormat="1" applyFont="1" applyFill="1" applyBorder="1" applyAlignment="1">
      <alignment horizontal="center" vertical="top" textRotation="90"/>
    </xf>
    <xf numFmtId="3" fontId="30" fillId="0" borderId="20" xfId="0" applyNumberFormat="1" applyFont="1" applyFill="1" applyBorder="1" applyAlignment="1">
      <alignment horizontal="center" vertical="top" textRotation="90"/>
    </xf>
    <xf numFmtId="3" fontId="1" fillId="0" borderId="4" xfId="0" applyNumberFormat="1" applyFont="1" applyFill="1" applyBorder="1" applyAlignment="1">
      <alignment horizontal="center" vertical="top" textRotation="90"/>
    </xf>
    <xf numFmtId="3" fontId="1" fillId="0" borderId="20" xfId="0" applyNumberFormat="1" applyFont="1" applyFill="1" applyBorder="1" applyAlignment="1">
      <alignment horizontal="center" vertical="top" textRotation="90"/>
    </xf>
    <xf numFmtId="49" fontId="1" fillId="6" borderId="57" xfId="0" applyNumberFormat="1" applyFont="1" applyFill="1" applyBorder="1" applyAlignment="1">
      <alignment horizontal="center" vertical="top" wrapText="1"/>
    </xf>
    <xf numFmtId="49" fontId="1" fillId="6" borderId="43" xfId="0" applyNumberFormat="1" applyFont="1" applyFill="1" applyBorder="1" applyAlignment="1">
      <alignment horizontal="center" vertical="top" wrapText="1"/>
    </xf>
    <xf numFmtId="3" fontId="3" fillId="8" borderId="53" xfId="0" applyNumberFormat="1" applyFont="1" applyFill="1" applyBorder="1" applyAlignment="1">
      <alignment horizontal="left" vertical="top" wrapText="1"/>
    </xf>
    <xf numFmtId="3" fontId="3" fillId="8" borderId="14" xfId="0" applyNumberFormat="1" applyFont="1" applyFill="1" applyBorder="1" applyAlignment="1">
      <alignment horizontal="left" vertical="top" wrapText="1"/>
    </xf>
    <xf numFmtId="3" fontId="3" fillId="8" borderId="15" xfId="0" applyNumberFormat="1" applyFont="1" applyFill="1" applyBorder="1" applyAlignment="1">
      <alignment horizontal="center" vertical="top" wrapText="1"/>
    </xf>
    <xf numFmtId="3" fontId="3" fillId="8" borderId="51" xfId="0" applyNumberFormat="1" applyFont="1" applyFill="1" applyBorder="1" applyAlignment="1">
      <alignment horizontal="center" vertical="top" wrapText="1"/>
    </xf>
    <xf numFmtId="3" fontId="3" fillId="5" borderId="1" xfId="0" applyNumberFormat="1" applyFont="1" applyFill="1" applyBorder="1" applyAlignment="1">
      <alignment horizontal="right" vertical="top"/>
    </xf>
    <xf numFmtId="3" fontId="3" fillId="5" borderId="38" xfId="0" applyNumberFormat="1" applyFont="1" applyFill="1" applyBorder="1" applyAlignment="1">
      <alignment horizontal="center" vertical="center"/>
    </xf>
    <xf numFmtId="3" fontId="3" fillId="5" borderId="1" xfId="0" applyNumberFormat="1" applyFont="1" applyFill="1" applyBorder="1" applyAlignment="1">
      <alignment horizontal="center" vertical="center"/>
    </xf>
    <xf numFmtId="3" fontId="3" fillId="5" borderId="47" xfId="0" applyNumberFormat="1" applyFont="1" applyFill="1" applyBorder="1" applyAlignment="1">
      <alignment horizontal="center" vertical="center"/>
    </xf>
    <xf numFmtId="3" fontId="3" fillId="5" borderId="34" xfId="0" applyNumberFormat="1" applyFont="1" applyFill="1" applyBorder="1" applyAlignment="1">
      <alignment horizontal="left" vertical="top" wrapText="1"/>
    </xf>
    <xf numFmtId="49" fontId="3" fillId="0" borderId="32" xfId="0" applyNumberFormat="1" applyFont="1" applyBorder="1" applyAlignment="1">
      <alignment horizontal="center" vertical="top"/>
    </xf>
    <xf numFmtId="49" fontId="3" fillId="0" borderId="44" xfId="0" applyNumberFormat="1" applyFont="1" applyBorder="1" applyAlignment="1">
      <alignment horizontal="center" vertical="top"/>
    </xf>
    <xf numFmtId="3" fontId="1" fillId="10" borderId="6" xfId="0" applyNumberFormat="1" applyFont="1" applyFill="1" applyBorder="1" applyAlignment="1">
      <alignment horizontal="left" vertical="top" wrapText="1"/>
    </xf>
    <xf numFmtId="3" fontId="1" fillId="10" borderId="22" xfId="0" applyNumberFormat="1" applyFont="1" applyFill="1" applyBorder="1" applyAlignment="1">
      <alignment horizontal="left" vertical="top" wrapText="1"/>
    </xf>
    <xf numFmtId="3" fontId="1" fillId="8" borderId="31" xfId="0" applyNumberFormat="1" applyFont="1" applyFill="1" applyBorder="1" applyAlignment="1">
      <alignment horizontal="left" vertical="top" wrapText="1"/>
    </xf>
    <xf numFmtId="3" fontId="1" fillId="8" borderId="52" xfId="0" applyNumberFormat="1" applyFont="1" applyFill="1" applyBorder="1" applyAlignment="1">
      <alignment horizontal="left" vertical="top" wrapText="1"/>
    </xf>
    <xf numFmtId="3" fontId="1" fillId="8" borderId="27" xfId="0" applyNumberFormat="1" applyFont="1" applyFill="1" applyBorder="1" applyAlignment="1">
      <alignment horizontal="left" vertical="top" wrapText="1"/>
    </xf>
    <xf numFmtId="3" fontId="1" fillId="8" borderId="29" xfId="0" applyNumberFormat="1" applyFont="1" applyFill="1" applyBorder="1" applyAlignment="1">
      <alignment horizontal="left" vertical="top" wrapText="1"/>
    </xf>
    <xf numFmtId="49" fontId="1" fillId="8" borderId="53" xfId="0" applyNumberFormat="1" applyFont="1" applyFill="1" applyBorder="1" applyAlignment="1">
      <alignment horizontal="left" vertical="top" wrapText="1"/>
    </xf>
    <xf numFmtId="49" fontId="1" fillId="8" borderId="14" xfId="0" applyNumberFormat="1" applyFont="1" applyFill="1" applyBorder="1" applyAlignment="1">
      <alignment horizontal="left" vertical="top" wrapText="1"/>
    </xf>
    <xf numFmtId="49" fontId="30" fillId="0" borderId="56" xfId="0" applyNumberFormat="1" applyFont="1" applyBorder="1" applyAlignment="1">
      <alignment horizontal="center" vertical="top" textRotation="90"/>
    </xf>
    <xf numFmtId="49" fontId="30" fillId="0" borderId="12" xfId="0" applyNumberFormat="1" applyFont="1" applyBorder="1" applyAlignment="1">
      <alignment horizontal="center" vertical="top" textRotation="90"/>
    </xf>
    <xf numFmtId="0" fontId="1" fillId="8" borderId="40" xfId="0" applyFont="1" applyFill="1" applyBorder="1" applyAlignment="1">
      <alignment horizontal="left" vertical="top" wrapText="1"/>
    </xf>
    <xf numFmtId="0" fontId="1" fillId="8" borderId="27" xfId="0" applyFont="1" applyFill="1" applyBorder="1" applyAlignment="1">
      <alignment horizontal="left" vertical="top" wrapText="1"/>
    </xf>
    <xf numFmtId="3" fontId="3" fillId="8" borderId="57" xfId="0" applyNumberFormat="1" applyFont="1" applyFill="1" applyBorder="1" applyAlignment="1">
      <alignment horizontal="center" vertical="top" wrapText="1"/>
    </xf>
    <xf numFmtId="3" fontId="3" fillId="8" borderId="43" xfId="0" applyNumberFormat="1" applyFont="1" applyFill="1" applyBorder="1" applyAlignment="1">
      <alignment horizontal="center" vertical="top" wrapText="1"/>
    </xf>
    <xf numFmtId="3" fontId="1" fillId="8" borderId="51" xfId="0" applyNumberFormat="1" applyFont="1" applyFill="1" applyBorder="1" applyAlignment="1">
      <alignment horizontal="left" vertical="top" wrapText="1"/>
    </xf>
    <xf numFmtId="3" fontId="3" fillId="8" borderId="6" xfId="0" applyNumberFormat="1" applyFont="1" applyFill="1" applyBorder="1" applyAlignment="1">
      <alignment horizontal="left" vertical="top" wrapText="1"/>
    </xf>
    <xf numFmtId="3" fontId="30" fillId="0" borderId="12" xfId="0" applyNumberFormat="1" applyFont="1" applyFill="1" applyBorder="1" applyAlignment="1">
      <alignment horizontal="center" vertical="top" textRotation="90"/>
    </xf>
    <xf numFmtId="3" fontId="3" fillId="0" borderId="15" xfId="0" applyNumberFormat="1" applyFont="1" applyBorder="1" applyAlignment="1">
      <alignment horizontal="center" vertical="center" textRotation="90"/>
    </xf>
    <xf numFmtId="3" fontId="3" fillId="0" borderId="51" xfId="0" applyNumberFormat="1" applyFont="1" applyBorder="1" applyAlignment="1">
      <alignment horizontal="center" vertical="center" textRotation="90"/>
    </xf>
    <xf numFmtId="164" fontId="1" fillId="8" borderId="57" xfId="0" applyNumberFormat="1" applyFont="1" applyFill="1" applyBorder="1" applyAlignment="1">
      <alignment horizontal="center" vertical="top"/>
    </xf>
    <xf numFmtId="164" fontId="1" fillId="8" borderId="64" xfId="0" applyNumberFormat="1" applyFont="1" applyFill="1" applyBorder="1" applyAlignment="1">
      <alignment horizontal="center" vertical="top"/>
    </xf>
    <xf numFmtId="3" fontId="1" fillId="0" borderId="51" xfId="0" applyNumberFormat="1" applyFont="1" applyFill="1" applyBorder="1" applyAlignment="1">
      <alignment horizontal="left" vertical="top" wrapText="1"/>
    </xf>
    <xf numFmtId="3" fontId="1" fillId="8" borderId="0" xfId="0" applyNumberFormat="1" applyFont="1" applyFill="1" applyBorder="1" applyAlignment="1">
      <alignment horizontal="center" vertical="top"/>
    </xf>
    <xf numFmtId="49" fontId="3" fillId="5" borderId="49" xfId="0" applyNumberFormat="1" applyFont="1" applyFill="1" applyBorder="1" applyAlignment="1">
      <alignment horizontal="left" vertical="top" wrapText="1"/>
    </xf>
    <xf numFmtId="49" fontId="3" fillId="5" borderId="25" xfId="0" applyNumberFormat="1" applyFont="1" applyFill="1" applyBorder="1" applyAlignment="1">
      <alignment horizontal="left" vertical="top" wrapText="1"/>
    </xf>
    <xf numFmtId="49" fontId="1" fillId="8" borderId="58" xfId="0" applyNumberFormat="1" applyFont="1" applyFill="1" applyBorder="1" applyAlignment="1">
      <alignment horizontal="left" vertical="top" wrapText="1"/>
    </xf>
    <xf numFmtId="3" fontId="30" fillId="0" borderId="56" xfId="0" applyNumberFormat="1" applyFont="1" applyFill="1" applyBorder="1" applyAlignment="1">
      <alignment horizontal="center" vertical="top" textRotation="90" wrapText="1"/>
    </xf>
    <xf numFmtId="3" fontId="30" fillId="0" borderId="63" xfId="0" applyNumberFormat="1" applyFont="1" applyFill="1" applyBorder="1" applyAlignment="1">
      <alignment horizontal="center" vertical="top" textRotation="90" wrapText="1"/>
    </xf>
    <xf numFmtId="3" fontId="1" fillId="8" borderId="6" xfId="0" applyNumberFormat="1" applyFont="1" applyFill="1" applyBorder="1" applyAlignment="1">
      <alignment vertical="top" wrapText="1"/>
    </xf>
    <xf numFmtId="3" fontId="1" fillId="8" borderId="22" xfId="0" applyNumberFormat="1" applyFont="1" applyFill="1" applyBorder="1" applyAlignment="1">
      <alignment vertical="top" wrapText="1"/>
    </xf>
    <xf numFmtId="3" fontId="1" fillId="0" borderId="34" xfId="0" applyNumberFormat="1" applyFont="1" applyFill="1" applyBorder="1" applyAlignment="1">
      <alignment horizontal="center" vertical="center" textRotation="90" wrapText="1"/>
    </xf>
    <xf numFmtId="3" fontId="1" fillId="0" borderId="1" xfId="0" applyNumberFormat="1" applyFont="1" applyFill="1" applyBorder="1" applyAlignment="1">
      <alignment horizontal="center" vertical="center" textRotation="90" wrapText="1"/>
    </xf>
    <xf numFmtId="3" fontId="1" fillId="0" borderId="7" xfId="0" applyNumberFormat="1" applyFont="1" applyBorder="1" applyAlignment="1">
      <alignment horizontal="center" vertical="center" wrapText="1"/>
    </xf>
    <xf numFmtId="3" fontId="1" fillId="0" borderId="8" xfId="0" applyNumberFormat="1" applyFont="1" applyBorder="1" applyAlignment="1">
      <alignment horizontal="center" vertical="center" wrapText="1"/>
    </xf>
    <xf numFmtId="3" fontId="4" fillId="0" borderId="35" xfId="0" applyNumberFormat="1" applyFont="1" applyBorder="1" applyAlignment="1">
      <alignment horizontal="center" vertical="center" wrapText="1"/>
    </xf>
    <xf numFmtId="3" fontId="4" fillId="0" borderId="51" xfId="0" applyNumberFormat="1" applyFont="1" applyBorder="1" applyAlignment="1">
      <alignment horizontal="center" vertical="center" wrapText="1"/>
    </xf>
    <xf numFmtId="3" fontId="4" fillId="0" borderId="23" xfId="0" applyNumberFormat="1" applyFont="1" applyBorder="1" applyAlignment="1">
      <alignment horizontal="center" vertical="center" wrapText="1"/>
    </xf>
    <xf numFmtId="3" fontId="1" fillId="0" borderId="13" xfId="0" applyNumberFormat="1" applyFont="1" applyBorder="1" applyAlignment="1">
      <alignment horizontal="center" vertical="center"/>
    </xf>
    <xf numFmtId="3" fontId="1" fillId="0" borderId="17" xfId="0" applyNumberFormat="1" applyFont="1" applyBorder="1" applyAlignment="1">
      <alignment horizontal="center" vertical="center"/>
    </xf>
    <xf numFmtId="3" fontId="4" fillId="0" borderId="7" xfId="0" applyNumberFormat="1" applyFont="1" applyBorder="1" applyAlignment="1">
      <alignment horizontal="center" vertical="center" wrapText="1"/>
    </xf>
    <xf numFmtId="3" fontId="4" fillId="0" borderId="8"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3" fontId="4" fillId="0" borderId="31" xfId="0" applyNumberFormat="1" applyFont="1" applyBorder="1" applyAlignment="1">
      <alignment horizontal="center" vertical="center" textRotation="90" wrapText="1"/>
    </xf>
    <xf numFmtId="3" fontId="4" fillId="0" borderId="38" xfId="0" applyNumberFormat="1" applyFont="1" applyBorder="1" applyAlignment="1">
      <alignment horizontal="center" vertical="center" textRotation="90" wrapText="1"/>
    </xf>
    <xf numFmtId="164" fontId="1" fillId="0" borderId="12" xfId="0" applyNumberFormat="1" applyFont="1" applyBorder="1" applyAlignment="1">
      <alignment horizontal="center" vertical="center" textRotation="90" wrapText="1"/>
    </xf>
    <xf numFmtId="164" fontId="1" fillId="0" borderId="20" xfId="0" applyNumberFormat="1" applyFont="1" applyBorder="1" applyAlignment="1">
      <alignment horizontal="center" vertical="center" textRotation="90" wrapText="1"/>
    </xf>
    <xf numFmtId="3" fontId="1" fillId="0" borderId="61" xfId="0" applyNumberFormat="1" applyFont="1" applyBorder="1" applyAlignment="1">
      <alignment horizontal="left" vertical="top" wrapText="1"/>
    </xf>
    <xf numFmtId="3" fontId="1" fillId="0" borderId="16" xfId="0" applyNumberFormat="1" applyFont="1" applyBorder="1" applyAlignment="1">
      <alignment horizontal="left" vertical="top" wrapText="1"/>
    </xf>
    <xf numFmtId="3" fontId="3" fillId="0" borderId="1" xfId="0" applyNumberFormat="1" applyFont="1" applyFill="1" applyBorder="1" applyAlignment="1">
      <alignment horizontal="center" wrapText="1"/>
    </xf>
    <xf numFmtId="3" fontId="3" fillId="12" borderId="61" xfId="0" applyNumberFormat="1" applyFont="1" applyFill="1" applyBorder="1" applyAlignment="1">
      <alignment horizontal="right" vertical="top"/>
    </xf>
    <xf numFmtId="3" fontId="3" fillId="12" borderId="16" xfId="0" applyNumberFormat="1" applyFont="1" applyFill="1" applyBorder="1" applyAlignment="1">
      <alignment horizontal="right" vertical="top"/>
    </xf>
    <xf numFmtId="3" fontId="3" fillId="7" borderId="61" xfId="0" applyNumberFormat="1" applyFont="1" applyFill="1" applyBorder="1" applyAlignment="1">
      <alignment horizontal="right" vertical="top"/>
    </xf>
    <xf numFmtId="3" fontId="3" fillId="7" borderId="16" xfId="0" applyNumberFormat="1" applyFont="1" applyFill="1" applyBorder="1" applyAlignment="1">
      <alignment horizontal="right" vertical="top"/>
    </xf>
    <xf numFmtId="3" fontId="3" fillId="7" borderId="17" xfId="0" applyNumberFormat="1" applyFont="1" applyFill="1" applyBorder="1" applyAlignment="1">
      <alignment horizontal="right" vertical="top"/>
    </xf>
    <xf numFmtId="3" fontId="1" fillId="0" borderId="31" xfId="0" applyNumberFormat="1" applyFont="1" applyBorder="1" applyAlignment="1">
      <alignment horizontal="left" vertical="top"/>
    </xf>
    <xf numFmtId="3" fontId="1" fillId="0" borderId="0" xfId="0" applyNumberFormat="1" applyFont="1" applyBorder="1" applyAlignment="1">
      <alignment horizontal="left" vertical="top"/>
    </xf>
    <xf numFmtId="3" fontId="1" fillId="0" borderId="10" xfId="0" applyNumberFormat="1" applyFont="1" applyBorder="1" applyAlignment="1">
      <alignment horizontal="left" vertical="top"/>
    </xf>
    <xf numFmtId="3" fontId="1" fillId="0" borderId="11" xfId="0" applyNumberFormat="1" applyFont="1" applyBorder="1" applyAlignment="1">
      <alignment horizontal="left" vertical="top"/>
    </xf>
    <xf numFmtId="3" fontId="1" fillId="0" borderId="13" xfId="0" applyNumberFormat="1" applyFont="1" applyBorder="1" applyAlignment="1">
      <alignment horizontal="left" vertical="top"/>
    </xf>
    <xf numFmtId="3" fontId="1" fillId="0" borderId="33" xfId="0" applyNumberFormat="1" applyFont="1" applyBorder="1" applyAlignment="1">
      <alignment horizontal="center" vertical="center"/>
    </xf>
    <xf numFmtId="3" fontId="1" fillId="0" borderId="34" xfId="0" applyNumberFormat="1" applyFont="1" applyBorder="1" applyAlignment="1">
      <alignment horizontal="center" vertical="center"/>
    </xf>
    <xf numFmtId="3" fontId="1" fillId="0" borderId="46" xfId="0" applyNumberFormat="1" applyFont="1" applyBorder="1" applyAlignment="1">
      <alignment horizontal="center" vertical="center"/>
    </xf>
    <xf numFmtId="3" fontId="1" fillId="0" borderId="27" xfId="0" applyNumberFormat="1" applyFont="1" applyBorder="1" applyAlignment="1">
      <alignment horizontal="center" vertical="center"/>
    </xf>
    <xf numFmtId="3" fontId="1" fillId="0" borderId="28" xfId="0" applyNumberFormat="1" applyFont="1" applyBorder="1" applyAlignment="1">
      <alignment horizontal="center" vertical="center"/>
    </xf>
    <xf numFmtId="3" fontId="1" fillId="0" borderId="29" xfId="0" applyNumberFormat="1" applyFont="1" applyBorder="1" applyAlignment="1">
      <alignment horizontal="center" vertical="center"/>
    </xf>
    <xf numFmtId="3" fontId="1" fillId="9" borderId="24" xfId="0" applyNumberFormat="1" applyFont="1" applyFill="1" applyBorder="1" applyAlignment="1">
      <alignment horizontal="center" vertical="top" wrapText="1"/>
    </xf>
    <xf numFmtId="3" fontId="1" fillId="9" borderId="25" xfId="0" applyNumberFormat="1" applyFont="1" applyFill="1" applyBorder="1" applyAlignment="1">
      <alignment horizontal="center" vertical="top" wrapText="1"/>
    </xf>
    <xf numFmtId="3" fontId="1" fillId="9" borderId="26" xfId="0" applyNumberFormat="1" applyFont="1" applyFill="1" applyBorder="1" applyAlignment="1">
      <alignment horizontal="center" vertical="top" wrapText="1"/>
    </xf>
    <xf numFmtId="3" fontId="3" fillId="10" borderId="49" xfId="0" applyNumberFormat="1" applyFont="1" applyFill="1" applyBorder="1" applyAlignment="1">
      <alignment horizontal="right" vertical="top"/>
    </xf>
    <xf numFmtId="3" fontId="3" fillId="10" borderId="25" xfId="0" applyNumberFormat="1" applyFont="1" applyFill="1" applyBorder="1" applyAlignment="1">
      <alignment horizontal="right" vertical="top"/>
    </xf>
    <xf numFmtId="3" fontId="3" fillId="12" borderId="49" xfId="0" applyNumberFormat="1" applyFont="1" applyFill="1" applyBorder="1" applyAlignment="1">
      <alignment horizontal="right" vertical="top"/>
    </xf>
    <xf numFmtId="3" fontId="3" fillId="12" borderId="25" xfId="0" applyNumberFormat="1" applyFont="1" applyFill="1" applyBorder="1" applyAlignment="1">
      <alignment horizontal="right" vertical="top"/>
    </xf>
    <xf numFmtId="3" fontId="1" fillId="6" borderId="34" xfId="2" applyNumberFormat="1" applyFont="1" applyFill="1" applyBorder="1" applyAlignment="1">
      <alignment horizontal="left" vertical="top" wrapText="1"/>
    </xf>
    <xf numFmtId="0" fontId="2" fillId="0" borderId="34" xfId="2" applyFont="1" applyBorder="1" applyAlignment="1">
      <alignment horizontal="left" vertical="top" wrapText="1"/>
    </xf>
    <xf numFmtId="0" fontId="2" fillId="0" borderId="0" xfId="2" applyFont="1" applyBorder="1" applyAlignment="1">
      <alignment horizontal="left" vertical="top" wrapText="1"/>
    </xf>
    <xf numFmtId="3" fontId="1" fillId="6" borderId="0" xfId="2" applyNumberFormat="1" applyFont="1" applyFill="1" applyBorder="1" applyAlignment="1">
      <alignment horizontal="left" vertical="top" wrapText="1"/>
    </xf>
    <xf numFmtId="3" fontId="3" fillId="7" borderId="38" xfId="0" applyNumberFormat="1" applyFont="1" applyFill="1" applyBorder="1" applyAlignment="1">
      <alignment horizontal="right" vertical="top"/>
    </xf>
    <xf numFmtId="3" fontId="3" fillId="7" borderId="1" xfId="0" applyNumberFormat="1" applyFont="1" applyFill="1" applyBorder="1" applyAlignment="1">
      <alignment horizontal="right" vertical="top"/>
    </xf>
    <xf numFmtId="3" fontId="1" fillId="8" borderId="32" xfId="0" applyNumberFormat="1" applyFont="1" applyFill="1" applyBorder="1" applyAlignment="1">
      <alignment horizontal="center" vertical="top"/>
    </xf>
    <xf numFmtId="3" fontId="1" fillId="8" borderId="44" xfId="0" applyNumberFormat="1" applyFont="1" applyFill="1" applyBorder="1" applyAlignment="1">
      <alignment horizontal="center" vertical="top"/>
    </xf>
    <xf numFmtId="3" fontId="1" fillId="7" borderId="61" xfId="0" applyNumberFormat="1" applyFont="1" applyFill="1" applyBorder="1" applyAlignment="1">
      <alignment horizontal="left" vertical="top"/>
    </xf>
    <xf numFmtId="3" fontId="1" fillId="7" borderId="16" xfId="0" applyNumberFormat="1" applyFont="1" applyFill="1" applyBorder="1" applyAlignment="1">
      <alignment horizontal="left" vertical="top"/>
    </xf>
    <xf numFmtId="3" fontId="1" fillId="7" borderId="17" xfId="0" applyNumberFormat="1" applyFont="1" applyFill="1" applyBorder="1" applyAlignment="1">
      <alignment horizontal="left" vertical="top"/>
    </xf>
    <xf numFmtId="3" fontId="3" fillId="12" borderId="31" xfId="0" applyNumberFormat="1" applyFont="1" applyFill="1" applyBorder="1" applyAlignment="1">
      <alignment horizontal="right" vertical="top"/>
    </xf>
    <xf numFmtId="3" fontId="3" fillId="12" borderId="0" xfId="0" applyNumberFormat="1" applyFont="1" applyFill="1" applyBorder="1" applyAlignment="1">
      <alignment horizontal="right" vertical="top"/>
    </xf>
    <xf numFmtId="3" fontId="1" fillId="0" borderId="69" xfId="0" applyNumberFormat="1" applyFont="1" applyFill="1" applyBorder="1" applyAlignment="1">
      <alignment horizontal="center" vertical="center" textRotation="90" wrapText="1"/>
    </xf>
    <xf numFmtId="3" fontId="1" fillId="0" borderId="68" xfId="0" applyNumberFormat="1" applyFont="1" applyFill="1" applyBorder="1" applyAlignment="1">
      <alignment horizontal="center" vertical="center" textRotation="90" wrapText="1"/>
    </xf>
    <xf numFmtId="3" fontId="3" fillId="0" borderId="46" xfId="0" applyNumberFormat="1" applyFont="1" applyBorder="1" applyAlignment="1">
      <alignment horizontal="center" vertical="top"/>
    </xf>
    <xf numFmtId="3" fontId="3" fillId="0" borderId="47" xfId="0" applyNumberFormat="1" applyFont="1" applyBorder="1" applyAlignment="1">
      <alignment horizontal="center" vertical="top"/>
    </xf>
    <xf numFmtId="3" fontId="3" fillId="0" borderId="37" xfId="0" applyNumberFormat="1" applyFont="1" applyBorder="1" applyAlignment="1">
      <alignment horizontal="center" vertical="top"/>
    </xf>
    <xf numFmtId="3" fontId="3" fillId="0" borderId="45" xfId="0" applyNumberFormat="1" applyFont="1" applyBorder="1" applyAlignment="1">
      <alignment horizontal="center" vertical="top"/>
    </xf>
    <xf numFmtId="3" fontId="1" fillId="9" borderId="41" xfId="0" applyNumberFormat="1" applyFont="1" applyFill="1" applyBorder="1" applyAlignment="1">
      <alignment horizontal="center" vertical="top" wrapText="1"/>
    </xf>
    <xf numFmtId="3" fontId="1" fillId="9" borderId="66" xfId="0" applyNumberFormat="1" applyFont="1" applyFill="1" applyBorder="1" applyAlignment="1">
      <alignment horizontal="center" vertical="top" wrapText="1"/>
    </xf>
    <xf numFmtId="3" fontId="1" fillId="9" borderId="39" xfId="0" applyNumberFormat="1" applyFont="1" applyFill="1" applyBorder="1" applyAlignment="1">
      <alignment horizontal="center" vertical="top" wrapText="1"/>
    </xf>
    <xf numFmtId="49" fontId="1" fillId="0" borderId="14" xfId="0" applyNumberFormat="1" applyFont="1" applyBorder="1" applyAlignment="1">
      <alignment horizontal="left" vertical="top" wrapText="1"/>
    </xf>
    <xf numFmtId="3" fontId="3" fillId="7" borderId="41" xfId="0" applyNumberFormat="1" applyFont="1" applyFill="1" applyBorder="1" applyAlignment="1">
      <alignment horizontal="center" vertical="top"/>
    </xf>
    <xf numFmtId="3" fontId="3" fillId="7" borderId="66" xfId="0" applyNumberFormat="1" applyFont="1" applyFill="1" applyBorder="1" applyAlignment="1">
      <alignment horizontal="center" vertical="top"/>
    </xf>
    <xf numFmtId="3" fontId="3" fillId="7" borderId="39" xfId="0" applyNumberFormat="1" applyFont="1" applyFill="1" applyBorder="1" applyAlignment="1">
      <alignment horizontal="center" vertical="top"/>
    </xf>
    <xf numFmtId="3" fontId="1" fillId="10" borderId="33" xfId="0" applyNumberFormat="1" applyFont="1" applyFill="1" applyBorder="1" applyAlignment="1">
      <alignment horizontal="left" vertical="top" wrapText="1"/>
    </xf>
    <xf numFmtId="3" fontId="1" fillId="10" borderId="46" xfId="0" applyNumberFormat="1" applyFont="1" applyFill="1" applyBorder="1" applyAlignment="1">
      <alignment horizontal="left" vertical="top" wrapText="1"/>
    </xf>
    <xf numFmtId="3" fontId="1" fillId="10" borderId="38" xfId="0" applyNumberFormat="1" applyFont="1" applyFill="1" applyBorder="1" applyAlignment="1">
      <alignment horizontal="left" vertical="top" wrapText="1"/>
    </xf>
    <xf numFmtId="3" fontId="1" fillId="10" borderId="47" xfId="0" applyNumberFormat="1" applyFont="1" applyFill="1" applyBorder="1" applyAlignment="1">
      <alignment horizontal="left" vertical="top" wrapText="1"/>
    </xf>
    <xf numFmtId="0" fontId="32" fillId="0" borderId="79" xfId="0" applyNumberFormat="1" applyFont="1" applyFill="1" applyBorder="1" applyAlignment="1" applyProtection="1">
      <alignment horizontal="center" wrapText="1" readingOrder="1"/>
    </xf>
    <xf numFmtId="0" fontId="32" fillId="0" borderId="82" xfId="0" applyNumberFormat="1" applyFont="1" applyFill="1" applyBorder="1" applyAlignment="1" applyProtection="1">
      <alignment horizontal="center" wrapText="1" readingOrder="1"/>
    </xf>
    <xf numFmtId="0" fontId="32" fillId="0" borderId="85" xfId="0" applyNumberFormat="1" applyFont="1" applyFill="1" applyBorder="1" applyAlignment="1" applyProtection="1">
      <alignment horizontal="center" wrapText="1" readingOrder="1"/>
    </xf>
    <xf numFmtId="0" fontId="32" fillId="0" borderId="78" xfId="0" applyNumberFormat="1" applyFont="1" applyFill="1" applyBorder="1" applyAlignment="1" applyProtection="1">
      <alignment horizontal="center" wrapText="1" readingOrder="1"/>
    </xf>
    <xf numFmtId="0" fontId="32" fillId="0" borderId="81" xfId="0" applyNumberFormat="1" applyFont="1" applyFill="1" applyBorder="1" applyAlignment="1" applyProtection="1">
      <alignment horizontal="center" wrapText="1" readingOrder="1"/>
    </xf>
    <xf numFmtId="0" fontId="32" fillId="0" borderId="84" xfId="0" applyNumberFormat="1" applyFont="1" applyFill="1" applyBorder="1" applyAlignment="1" applyProtection="1">
      <alignment horizontal="center" wrapText="1" readingOrder="1"/>
    </xf>
    <xf numFmtId="0" fontId="32" fillId="0" borderId="80" xfId="0" applyNumberFormat="1" applyFont="1" applyFill="1" applyBorder="1" applyAlignment="1" applyProtection="1">
      <alignment horizontal="center" wrapText="1" readingOrder="1"/>
    </xf>
    <xf numFmtId="0" fontId="32" fillId="0" borderId="83" xfId="0" applyNumberFormat="1" applyFont="1" applyFill="1" applyBorder="1" applyAlignment="1" applyProtection="1">
      <alignment horizontal="center" wrapText="1" readingOrder="1"/>
    </xf>
    <xf numFmtId="0" fontId="32" fillId="0" borderId="86" xfId="0" applyNumberFormat="1" applyFont="1" applyFill="1" applyBorder="1" applyAlignment="1" applyProtection="1">
      <alignment horizontal="center" wrapText="1" readingOrder="1"/>
    </xf>
    <xf numFmtId="3" fontId="1" fillId="8" borderId="57" xfId="0" applyNumberFormat="1" applyFont="1" applyFill="1" applyBorder="1" applyAlignment="1">
      <alignment horizontal="left" vertical="top" wrapText="1"/>
    </xf>
    <xf numFmtId="3" fontId="1" fillId="8" borderId="43" xfId="0" applyNumberFormat="1" applyFont="1" applyFill="1" applyBorder="1" applyAlignment="1">
      <alignment horizontal="left" vertical="top" wrapText="1"/>
    </xf>
    <xf numFmtId="3" fontId="1" fillId="8" borderId="64" xfId="0" applyNumberFormat="1" applyFont="1" applyFill="1" applyBorder="1" applyAlignment="1">
      <alignment horizontal="left" vertical="top" wrapText="1"/>
    </xf>
    <xf numFmtId="3" fontId="1" fillId="0" borderId="57" xfId="0" applyNumberFormat="1" applyFont="1" applyFill="1" applyBorder="1" applyAlignment="1">
      <alignment horizontal="left" vertical="top" wrapText="1"/>
    </xf>
    <xf numFmtId="3" fontId="1" fillId="0" borderId="64" xfId="0" applyNumberFormat="1" applyFont="1" applyFill="1" applyBorder="1" applyAlignment="1">
      <alignment horizontal="left" vertical="top" wrapText="1"/>
    </xf>
    <xf numFmtId="3" fontId="1" fillId="8" borderId="58" xfId="0" applyNumberFormat="1" applyFont="1" applyFill="1" applyBorder="1" applyAlignment="1">
      <alignment horizontal="left" vertical="top" wrapText="1"/>
    </xf>
    <xf numFmtId="3" fontId="3" fillId="0" borderId="25" xfId="0" applyNumberFormat="1" applyFont="1" applyFill="1" applyBorder="1" applyAlignment="1">
      <alignment horizontal="center" vertical="center" wrapText="1"/>
    </xf>
    <xf numFmtId="3" fontId="1" fillId="0" borderId="0" xfId="0" applyNumberFormat="1" applyFont="1" applyBorder="1" applyAlignment="1">
      <alignment horizontal="left" vertical="top" wrapText="1"/>
    </xf>
    <xf numFmtId="3" fontId="1" fillId="0" borderId="35" xfId="0" applyNumberFormat="1" applyFont="1" applyFill="1" applyBorder="1" applyAlignment="1">
      <alignment horizontal="left" vertical="top" wrapText="1"/>
    </xf>
    <xf numFmtId="3" fontId="16" fillId="3" borderId="24" xfId="0" applyNumberFormat="1" applyFont="1" applyFill="1" applyBorder="1" applyAlignment="1">
      <alignment horizontal="left" vertical="top" wrapText="1"/>
    </xf>
    <xf numFmtId="3" fontId="16" fillId="3" borderId="25" xfId="0" applyNumberFormat="1" applyFont="1" applyFill="1" applyBorder="1" applyAlignment="1">
      <alignment horizontal="left" vertical="top" wrapText="1"/>
    </xf>
    <xf numFmtId="3" fontId="16" fillId="3" borderId="26" xfId="0" applyNumberFormat="1" applyFont="1" applyFill="1" applyBorder="1" applyAlignment="1">
      <alignment horizontal="left" vertical="top" wrapText="1"/>
    </xf>
    <xf numFmtId="3" fontId="3" fillId="4" borderId="24" xfId="0" applyNumberFormat="1" applyFont="1" applyFill="1" applyBorder="1" applyAlignment="1">
      <alignment horizontal="left" vertical="top" wrapText="1"/>
    </xf>
    <xf numFmtId="3" fontId="3" fillId="4" borderId="25" xfId="0" applyNumberFormat="1" applyFont="1" applyFill="1" applyBorder="1" applyAlignment="1">
      <alignment horizontal="left" vertical="top" wrapText="1"/>
    </xf>
    <xf numFmtId="3" fontId="3" fillId="4" borderId="26" xfId="0" applyNumberFormat="1" applyFont="1" applyFill="1" applyBorder="1" applyAlignment="1">
      <alignment horizontal="left" vertical="top" wrapText="1"/>
    </xf>
    <xf numFmtId="3" fontId="3" fillId="5" borderId="38" xfId="0" applyNumberFormat="1" applyFont="1" applyFill="1" applyBorder="1" applyAlignment="1">
      <alignment horizontal="left" vertical="top" wrapText="1"/>
    </xf>
    <xf numFmtId="3" fontId="1" fillId="0" borderId="37" xfId="0" applyNumberFormat="1" applyFont="1" applyFill="1" applyBorder="1" applyAlignment="1">
      <alignment horizontal="center" vertical="top" wrapText="1"/>
    </xf>
    <xf numFmtId="3" fontId="1" fillId="0" borderId="45" xfId="0" applyNumberFormat="1" applyFont="1" applyFill="1" applyBorder="1" applyAlignment="1">
      <alignment horizontal="center" vertical="top" wrapText="1"/>
    </xf>
    <xf numFmtId="3" fontId="3" fillId="5" borderId="33" xfId="0" applyNumberFormat="1" applyFont="1" applyFill="1" applyBorder="1" applyAlignment="1">
      <alignment horizontal="right" vertical="top"/>
    </xf>
    <xf numFmtId="3" fontId="3" fillId="5" borderId="34" xfId="0" applyNumberFormat="1" applyFont="1" applyFill="1" applyBorder="1" applyAlignment="1">
      <alignment horizontal="right" vertical="top"/>
    </xf>
    <xf numFmtId="3" fontId="3" fillId="5" borderId="0" xfId="0" applyNumberFormat="1" applyFont="1" applyFill="1" applyBorder="1" applyAlignment="1">
      <alignment horizontal="right" vertical="top"/>
    </xf>
    <xf numFmtId="49" fontId="3" fillId="4" borderId="33" xfId="0" applyNumberFormat="1" applyFont="1" applyFill="1" applyBorder="1" applyAlignment="1">
      <alignment horizontal="center" vertical="top"/>
    </xf>
    <xf numFmtId="49" fontId="3" fillId="4" borderId="38" xfId="0" applyNumberFormat="1" applyFont="1" applyFill="1" applyBorder="1" applyAlignment="1">
      <alignment horizontal="center" vertical="top"/>
    </xf>
    <xf numFmtId="49" fontId="3" fillId="6" borderId="1" xfId="0" applyNumberFormat="1" applyFont="1" applyFill="1" applyBorder="1" applyAlignment="1">
      <alignment horizontal="center" vertical="top"/>
    </xf>
    <xf numFmtId="3" fontId="1" fillId="0" borderId="35" xfId="0" applyNumberFormat="1" applyFont="1" applyBorder="1" applyAlignment="1">
      <alignment horizontal="center"/>
    </xf>
    <xf numFmtId="3" fontId="1" fillId="0" borderId="23" xfId="0" applyNumberFormat="1" applyFont="1" applyBorder="1" applyAlignment="1">
      <alignment horizontal="center"/>
    </xf>
    <xf numFmtId="3" fontId="3" fillId="0" borderId="46" xfId="0" applyNumberFormat="1" applyFont="1" applyFill="1" applyBorder="1" applyAlignment="1">
      <alignment horizontal="center" vertical="top"/>
    </xf>
    <xf numFmtId="3" fontId="3" fillId="0" borderId="47" xfId="0" applyNumberFormat="1" applyFont="1" applyFill="1" applyBorder="1" applyAlignment="1">
      <alignment horizontal="center" vertical="top"/>
    </xf>
    <xf numFmtId="3" fontId="1" fillId="0" borderId="32" xfId="0" applyNumberFormat="1" applyFont="1" applyFill="1" applyBorder="1" applyAlignment="1">
      <alignment horizontal="center" vertical="top" wrapText="1"/>
    </xf>
    <xf numFmtId="3" fontId="1" fillId="0" borderId="44" xfId="0" applyNumberFormat="1" applyFont="1" applyFill="1" applyBorder="1" applyAlignment="1">
      <alignment horizontal="center" vertical="top" wrapText="1"/>
    </xf>
    <xf numFmtId="3" fontId="3" fillId="0" borderId="35" xfId="0" applyNumberFormat="1" applyFont="1" applyFill="1" applyBorder="1" applyAlignment="1">
      <alignment horizontal="center" textRotation="90"/>
    </xf>
    <xf numFmtId="3" fontId="3" fillId="0" borderId="51" xfId="0" applyNumberFormat="1" applyFont="1" applyFill="1" applyBorder="1" applyAlignment="1">
      <alignment horizontal="center" textRotation="90"/>
    </xf>
    <xf numFmtId="3" fontId="3" fillId="8" borderId="52" xfId="0" applyNumberFormat="1" applyFont="1" applyFill="1" applyBorder="1" applyAlignment="1">
      <alignment horizontal="center" vertical="top" wrapText="1"/>
    </xf>
    <xf numFmtId="3" fontId="3" fillId="0" borderId="73" xfId="0" applyNumberFormat="1" applyFont="1" applyBorder="1" applyAlignment="1">
      <alignment horizontal="center" vertical="center" textRotation="90"/>
    </xf>
    <xf numFmtId="3" fontId="3" fillId="0" borderId="74" xfId="0" applyNumberFormat="1" applyFont="1" applyBorder="1" applyAlignment="1">
      <alignment horizontal="center" vertical="center" textRotation="90"/>
    </xf>
    <xf numFmtId="49" fontId="3" fillId="6" borderId="43" xfId="0" applyNumberFormat="1" applyFont="1" applyFill="1" applyBorder="1" applyAlignment="1">
      <alignment horizontal="center" vertical="top" wrapText="1"/>
    </xf>
    <xf numFmtId="164" fontId="1" fillId="0" borderId="6" xfId="0" applyNumberFormat="1" applyFont="1" applyBorder="1" applyAlignment="1">
      <alignment horizontal="center" vertical="center" textRotation="90" wrapText="1"/>
    </xf>
    <xf numFmtId="164" fontId="1" fillId="0" borderId="14" xfId="0" applyNumberFormat="1" applyFont="1" applyBorder="1" applyAlignment="1">
      <alignment horizontal="center" vertical="center" textRotation="90" wrapText="1"/>
    </xf>
    <xf numFmtId="164" fontId="1" fillId="0" borderId="22" xfId="0" applyNumberFormat="1" applyFont="1" applyBorder="1" applyAlignment="1">
      <alignment horizontal="center" vertical="center" textRotation="90" wrapText="1"/>
    </xf>
    <xf numFmtId="3" fontId="3" fillId="0" borderId="53" xfId="0" applyNumberFormat="1" applyFont="1" applyFill="1" applyBorder="1" applyAlignment="1">
      <alignment horizontal="left" vertical="top" wrapText="1"/>
    </xf>
    <xf numFmtId="3" fontId="1" fillId="0" borderId="58" xfId="0" applyNumberFormat="1" applyFont="1" applyFill="1" applyBorder="1" applyAlignment="1">
      <alignment horizontal="left" vertical="top" wrapText="1"/>
    </xf>
    <xf numFmtId="49" fontId="3" fillId="5" borderId="24" xfId="0" applyNumberFormat="1" applyFont="1" applyFill="1" applyBorder="1" applyAlignment="1">
      <alignment horizontal="left" vertical="top" wrapText="1"/>
    </xf>
    <xf numFmtId="49" fontId="3" fillId="5" borderId="26" xfId="0" applyNumberFormat="1" applyFont="1" applyFill="1" applyBorder="1" applyAlignment="1">
      <alignment horizontal="left" vertical="top" wrapText="1"/>
    </xf>
    <xf numFmtId="3" fontId="3" fillId="0" borderId="0" xfId="0" applyNumberFormat="1" applyFont="1" applyFill="1" applyBorder="1" applyAlignment="1">
      <alignment horizontal="center" vertical="center" textRotation="90" wrapText="1"/>
    </xf>
    <xf numFmtId="3" fontId="3" fillId="0" borderId="28" xfId="0" applyNumberFormat="1" applyFont="1" applyFill="1" applyBorder="1" applyAlignment="1">
      <alignment horizontal="center" vertical="center" textRotation="90" wrapText="1"/>
    </xf>
    <xf numFmtId="3" fontId="9" fillId="0" borderId="37" xfId="0" applyNumberFormat="1" applyFont="1" applyBorder="1" applyAlignment="1">
      <alignment horizontal="center" vertical="center" wrapText="1"/>
    </xf>
    <xf numFmtId="3" fontId="9" fillId="0" borderId="43" xfId="0" applyNumberFormat="1" applyFont="1" applyBorder="1" applyAlignment="1">
      <alignment horizontal="center" vertical="center" wrapText="1"/>
    </xf>
    <xf numFmtId="3" fontId="9" fillId="0" borderId="45" xfId="0" applyNumberFormat="1" applyFont="1" applyBorder="1" applyAlignment="1">
      <alignment horizontal="center" vertical="center" wrapText="1"/>
    </xf>
    <xf numFmtId="49" fontId="3" fillId="0" borderId="4" xfId="0" applyNumberFormat="1" applyFont="1" applyBorder="1" applyAlignment="1">
      <alignment horizontal="center" vertical="top"/>
    </xf>
    <xf numFmtId="49" fontId="3" fillId="0" borderId="20" xfId="0" applyNumberFormat="1" applyFont="1" applyBorder="1" applyAlignment="1">
      <alignment horizontal="center" vertical="top"/>
    </xf>
    <xf numFmtId="49" fontId="1" fillId="0" borderId="19" xfId="0" applyNumberFormat="1" applyFont="1" applyBorder="1" applyAlignment="1">
      <alignment horizontal="center" vertical="center" textRotation="90" wrapText="1"/>
    </xf>
    <xf numFmtId="3" fontId="1" fillId="0" borderId="37" xfId="0" applyNumberFormat="1" applyFont="1" applyFill="1" applyBorder="1" applyAlignment="1">
      <alignment horizontal="left" vertical="top" wrapText="1"/>
    </xf>
    <xf numFmtId="3" fontId="1" fillId="0" borderId="43" xfId="0" applyNumberFormat="1" applyFont="1" applyFill="1" applyBorder="1" applyAlignment="1">
      <alignment horizontal="left" vertical="top" wrapText="1"/>
    </xf>
    <xf numFmtId="3" fontId="3" fillId="0" borderId="74" xfId="0" applyNumberFormat="1" applyFont="1" applyFill="1" applyBorder="1" applyAlignment="1">
      <alignment horizontal="center" vertical="center" textRotation="90" wrapText="1"/>
    </xf>
    <xf numFmtId="3" fontId="3" fillId="0" borderId="72" xfId="0" applyNumberFormat="1" applyFont="1" applyFill="1" applyBorder="1" applyAlignment="1">
      <alignment horizontal="center" vertical="center" textRotation="90" wrapText="1"/>
    </xf>
    <xf numFmtId="3" fontId="1" fillId="8" borderId="55" xfId="0" applyNumberFormat="1" applyFont="1" applyFill="1" applyBorder="1" applyAlignment="1">
      <alignment horizontal="left" vertical="top" wrapText="1"/>
    </xf>
    <xf numFmtId="3" fontId="1" fillId="0" borderId="51" xfId="0" applyNumberFormat="1" applyFont="1" applyBorder="1" applyAlignment="1">
      <alignment horizontal="left" vertical="top" wrapText="1"/>
    </xf>
    <xf numFmtId="3" fontId="1" fillId="0" borderId="61" xfId="0" applyNumberFormat="1" applyFont="1" applyBorder="1" applyAlignment="1">
      <alignment horizontal="left" vertical="top"/>
    </xf>
    <xf numFmtId="3" fontId="1" fillId="0" borderId="16" xfId="0" applyNumberFormat="1" applyFont="1" applyBorder="1" applyAlignment="1">
      <alignment horizontal="left" vertical="top"/>
    </xf>
    <xf numFmtId="3" fontId="1" fillId="0" borderId="17" xfId="0" applyNumberFormat="1" applyFont="1" applyBorder="1" applyAlignment="1">
      <alignment horizontal="left" vertical="top"/>
    </xf>
    <xf numFmtId="3" fontId="1" fillId="0" borderId="52" xfId="0" applyNumberFormat="1" applyFont="1" applyBorder="1" applyAlignment="1">
      <alignment horizontal="left" vertical="top"/>
    </xf>
    <xf numFmtId="3" fontId="3" fillId="7" borderId="47" xfId="0" applyNumberFormat="1" applyFont="1" applyFill="1" applyBorder="1" applyAlignment="1">
      <alignment horizontal="right" vertical="top"/>
    </xf>
    <xf numFmtId="3" fontId="1" fillId="0" borderId="17" xfId="0" applyNumberFormat="1" applyFont="1" applyBorder="1" applyAlignment="1">
      <alignment horizontal="left" vertical="top" wrapText="1"/>
    </xf>
    <xf numFmtId="3" fontId="1" fillId="0" borderId="31" xfId="0" applyNumberFormat="1" applyFont="1" applyBorder="1" applyAlignment="1">
      <alignment horizontal="left" vertical="top" wrapText="1"/>
    </xf>
    <xf numFmtId="3" fontId="1" fillId="0" borderId="52" xfId="0" applyNumberFormat="1" applyFont="1" applyBorder="1" applyAlignment="1">
      <alignment horizontal="left" vertical="top" wrapText="1"/>
    </xf>
    <xf numFmtId="3" fontId="3" fillId="3" borderId="31" xfId="0" applyNumberFormat="1" applyFont="1" applyFill="1" applyBorder="1" applyAlignment="1">
      <alignment horizontal="right" vertical="top"/>
    </xf>
    <xf numFmtId="3" fontId="3" fillId="3" borderId="0" xfId="0" applyNumberFormat="1" applyFont="1" applyFill="1" applyBorder="1" applyAlignment="1">
      <alignment horizontal="right" vertical="top"/>
    </xf>
    <xf numFmtId="3" fontId="3" fillId="3" borderId="52" xfId="0" applyNumberFormat="1" applyFont="1" applyFill="1" applyBorder="1" applyAlignment="1">
      <alignment horizontal="right" vertical="top"/>
    </xf>
    <xf numFmtId="3" fontId="3" fillId="3" borderId="61" xfId="0" applyNumberFormat="1" applyFont="1" applyFill="1" applyBorder="1" applyAlignment="1">
      <alignment horizontal="right" vertical="top"/>
    </xf>
    <xf numFmtId="3" fontId="3" fillId="3" borderId="16" xfId="0" applyNumberFormat="1" applyFont="1" applyFill="1" applyBorder="1" applyAlignment="1">
      <alignment horizontal="right" vertical="top"/>
    </xf>
    <xf numFmtId="3" fontId="3" fillId="3" borderId="17" xfId="0" applyNumberFormat="1" applyFont="1" applyFill="1" applyBorder="1" applyAlignment="1">
      <alignment horizontal="right" vertical="top"/>
    </xf>
    <xf numFmtId="3" fontId="3" fillId="4" borderId="24" xfId="0" applyNumberFormat="1" applyFont="1" applyFill="1" applyBorder="1" applyAlignment="1">
      <alignment horizontal="center" vertical="top"/>
    </xf>
    <xf numFmtId="3" fontId="3" fillId="4" borderId="25" xfId="0" applyNumberFormat="1" applyFont="1" applyFill="1" applyBorder="1" applyAlignment="1">
      <alignment horizontal="center" vertical="top"/>
    </xf>
    <xf numFmtId="3" fontId="3" fillId="4" borderId="26" xfId="0" applyNumberFormat="1" applyFont="1" applyFill="1" applyBorder="1" applyAlignment="1">
      <alignment horizontal="center" vertical="top"/>
    </xf>
    <xf numFmtId="3" fontId="3" fillId="3" borderId="24" xfId="0" applyNumberFormat="1" applyFont="1" applyFill="1" applyBorder="1" applyAlignment="1">
      <alignment horizontal="center" vertical="top"/>
    </xf>
    <xf numFmtId="3" fontId="3" fillId="3" borderId="25" xfId="0" applyNumberFormat="1" applyFont="1" applyFill="1" applyBorder="1" applyAlignment="1">
      <alignment horizontal="center" vertical="top"/>
    </xf>
    <xf numFmtId="3" fontId="3" fillId="3" borderId="26" xfId="0" applyNumberFormat="1" applyFont="1" applyFill="1" applyBorder="1" applyAlignment="1">
      <alignment horizontal="center" vertical="top"/>
    </xf>
    <xf numFmtId="3" fontId="1" fillId="8" borderId="32" xfId="0" applyNumberFormat="1" applyFont="1" applyFill="1" applyBorder="1" applyAlignment="1">
      <alignment horizontal="center" vertical="top" wrapText="1"/>
    </xf>
    <xf numFmtId="3" fontId="1" fillId="0" borderId="44" xfId="0" applyNumberFormat="1" applyFont="1" applyBorder="1" applyAlignment="1">
      <alignment horizontal="center" vertical="top" wrapText="1"/>
    </xf>
    <xf numFmtId="3" fontId="3" fillId="3" borderId="49" xfId="0" applyNumberFormat="1" applyFont="1" applyFill="1" applyBorder="1" applyAlignment="1">
      <alignment horizontal="right" vertical="top"/>
    </xf>
    <xf numFmtId="3" fontId="3" fillId="3" borderId="25" xfId="0" applyNumberFormat="1" applyFont="1" applyFill="1" applyBorder="1" applyAlignment="1">
      <alignment horizontal="right" vertical="top"/>
    </xf>
    <xf numFmtId="3" fontId="1" fillId="8" borderId="37" xfId="0" applyNumberFormat="1" applyFont="1" applyFill="1" applyBorder="1" applyAlignment="1">
      <alignment horizontal="center" vertical="top" wrapText="1"/>
    </xf>
    <xf numFmtId="3" fontId="1" fillId="0" borderId="45" xfId="0" applyNumberFormat="1" applyFont="1" applyBorder="1" applyAlignment="1">
      <alignment horizontal="center" vertical="top" wrapText="1"/>
    </xf>
    <xf numFmtId="3" fontId="3" fillId="4" borderId="49" xfId="0" applyNumberFormat="1" applyFont="1" applyFill="1" applyBorder="1" applyAlignment="1">
      <alignment horizontal="right" vertical="top"/>
    </xf>
    <xf numFmtId="3" fontId="3" fillId="4" borderId="25" xfId="0" applyNumberFormat="1" applyFont="1" applyFill="1" applyBorder="1" applyAlignment="1">
      <alignment horizontal="right" vertical="top"/>
    </xf>
    <xf numFmtId="3" fontId="1" fillId="0" borderId="45" xfId="0" applyNumberFormat="1" applyFont="1" applyFill="1" applyBorder="1" applyAlignment="1">
      <alignment horizontal="left" vertical="top" wrapText="1"/>
    </xf>
    <xf numFmtId="3" fontId="1" fillId="8" borderId="35" xfId="0" applyNumberFormat="1" applyFont="1" applyFill="1" applyBorder="1" applyAlignment="1">
      <alignment horizontal="left" vertical="top" wrapText="1"/>
    </xf>
    <xf numFmtId="0" fontId="12" fillId="0" borderId="0" xfId="0" applyFont="1" applyAlignment="1">
      <alignment horizontal="right"/>
    </xf>
    <xf numFmtId="3" fontId="3" fillId="5" borderId="24" xfId="0" applyNumberFormat="1" applyFont="1" applyFill="1" applyBorder="1" applyAlignment="1">
      <alignment horizontal="center" vertical="top"/>
    </xf>
    <xf numFmtId="3" fontId="3" fillId="5" borderId="25" xfId="0" applyNumberFormat="1" applyFont="1" applyFill="1" applyBorder="1" applyAlignment="1">
      <alignment horizontal="center" vertical="top"/>
    </xf>
    <xf numFmtId="3" fontId="3" fillId="5" borderId="26" xfId="0" applyNumberFormat="1" applyFont="1" applyFill="1" applyBorder="1" applyAlignment="1">
      <alignment horizontal="center" vertical="top"/>
    </xf>
    <xf numFmtId="3" fontId="3" fillId="5" borderId="24" xfId="0" applyNumberFormat="1" applyFont="1" applyFill="1" applyBorder="1" applyAlignment="1">
      <alignment horizontal="center" vertical="center"/>
    </xf>
    <xf numFmtId="3" fontId="3" fillId="5" borderId="25" xfId="0" applyNumberFormat="1" applyFont="1" applyFill="1" applyBorder="1" applyAlignment="1">
      <alignment horizontal="center" vertical="center"/>
    </xf>
    <xf numFmtId="3" fontId="3" fillId="5" borderId="26" xfId="0" applyNumberFormat="1" applyFont="1" applyFill="1" applyBorder="1" applyAlignment="1">
      <alignment horizontal="center" vertical="center"/>
    </xf>
    <xf numFmtId="3" fontId="3" fillId="6" borderId="6" xfId="0" applyNumberFormat="1" applyFont="1" applyFill="1" applyBorder="1" applyAlignment="1">
      <alignment horizontal="left" vertical="top" wrapText="1"/>
    </xf>
    <xf numFmtId="3" fontId="3" fillId="6" borderId="14" xfId="0" applyNumberFormat="1" applyFont="1" applyFill="1" applyBorder="1" applyAlignment="1">
      <alignment horizontal="left" vertical="top" wrapText="1"/>
    </xf>
    <xf numFmtId="3" fontId="13" fillId="0" borderId="14" xfId="0" applyNumberFormat="1" applyFont="1" applyFill="1" applyBorder="1" applyAlignment="1">
      <alignment horizontal="left" vertical="top" wrapText="1"/>
    </xf>
    <xf numFmtId="3" fontId="13" fillId="0" borderId="22" xfId="0" applyNumberFormat="1" applyFont="1" applyFill="1" applyBorder="1" applyAlignment="1">
      <alignment horizontal="left" vertical="top" wrapText="1"/>
    </xf>
    <xf numFmtId="3" fontId="1" fillId="0" borderId="16" xfId="0" applyNumberFormat="1" applyFont="1" applyBorder="1" applyAlignment="1">
      <alignment horizontal="center" vertical="center"/>
    </xf>
    <xf numFmtId="3" fontId="1" fillId="0" borderId="15" xfId="0" applyNumberFormat="1" applyFont="1" applyBorder="1" applyAlignment="1">
      <alignment horizontal="center" vertical="center" wrapText="1"/>
    </xf>
    <xf numFmtId="3" fontId="1" fillId="0" borderId="23" xfId="0" applyNumberFormat="1" applyFont="1" applyBorder="1" applyAlignment="1">
      <alignment horizontal="center" vertical="center" wrapText="1"/>
    </xf>
    <xf numFmtId="3" fontId="1" fillId="0" borderId="15" xfId="0" applyNumberFormat="1" applyFont="1" applyBorder="1" applyAlignment="1">
      <alignment horizontal="left" vertical="top" wrapText="1"/>
    </xf>
    <xf numFmtId="3" fontId="1" fillId="0" borderId="55" xfId="0" applyNumberFormat="1" applyFont="1" applyBorder="1" applyAlignment="1">
      <alignment horizontal="left" vertical="top" wrapText="1"/>
    </xf>
    <xf numFmtId="3" fontId="13" fillId="0" borderId="12" xfId="0" applyNumberFormat="1" applyFont="1" applyBorder="1" applyAlignment="1">
      <alignment horizontal="center" vertical="top" wrapText="1"/>
    </xf>
    <xf numFmtId="3" fontId="13" fillId="0" borderId="63" xfId="0" applyNumberFormat="1" applyFont="1" applyBorder="1" applyAlignment="1">
      <alignment horizontal="center" vertical="top" wrapText="1"/>
    </xf>
    <xf numFmtId="3" fontId="1" fillId="0" borderId="27" xfId="0" applyNumberFormat="1" applyFont="1" applyFill="1" applyBorder="1" applyAlignment="1">
      <alignment horizontal="left" vertical="top" wrapText="1"/>
    </xf>
    <xf numFmtId="3" fontId="1" fillId="8" borderId="37" xfId="0" applyNumberFormat="1" applyFont="1" applyFill="1" applyBorder="1" applyAlignment="1">
      <alignment horizontal="left" vertical="top" wrapText="1"/>
    </xf>
    <xf numFmtId="3" fontId="1" fillId="8" borderId="45" xfId="0" applyNumberFormat="1" applyFont="1" applyFill="1" applyBorder="1" applyAlignment="1">
      <alignment horizontal="left" vertical="top" wrapText="1"/>
    </xf>
    <xf numFmtId="3" fontId="1" fillId="0" borderId="1" xfId="0" applyNumberFormat="1" applyFont="1" applyBorder="1" applyAlignment="1">
      <alignment horizontal="right" vertical="top"/>
    </xf>
    <xf numFmtId="3" fontId="9" fillId="0" borderId="0" xfId="0" applyNumberFormat="1" applyFont="1" applyAlignment="1">
      <alignment horizontal="center" vertical="top" wrapText="1"/>
    </xf>
    <xf numFmtId="3" fontId="11" fillId="0" borderId="0" xfId="0" applyNumberFormat="1" applyFont="1" applyAlignment="1">
      <alignment horizontal="center" vertical="top" wrapText="1"/>
    </xf>
    <xf numFmtId="3" fontId="9" fillId="0" borderId="0" xfId="0" applyNumberFormat="1" applyFont="1" applyAlignment="1">
      <alignment horizontal="center" vertical="top"/>
    </xf>
    <xf numFmtId="3" fontId="3" fillId="7" borderId="66" xfId="0" applyNumberFormat="1" applyFont="1" applyFill="1" applyBorder="1" applyAlignment="1">
      <alignment horizontal="right" vertical="top"/>
    </xf>
    <xf numFmtId="3" fontId="3" fillId="0" borderId="73" xfId="0" applyNumberFormat="1" applyFont="1" applyFill="1" applyBorder="1" applyAlignment="1">
      <alignment horizontal="center" vertical="center" textRotation="90" wrapText="1"/>
    </xf>
    <xf numFmtId="3" fontId="3" fillId="2" borderId="33" xfId="0" applyNumberFormat="1" applyFont="1" applyFill="1" applyBorder="1" applyAlignment="1">
      <alignment horizontal="left" vertical="top" wrapText="1"/>
    </xf>
    <xf numFmtId="3" fontId="3" fillId="2" borderId="34" xfId="0" applyNumberFormat="1" applyFont="1" applyFill="1" applyBorder="1" applyAlignment="1">
      <alignment horizontal="left" vertical="top" wrapText="1"/>
    </xf>
    <xf numFmtId="3" fontId="3" fillId="2" borderId="46" xfId="0" applyNumberFormat="1" applyFont="1" applyFill="1" applyBorder="1" applyAlignment="1">
      <alignment horizontal="left" vertical="top" wrapText="1"/>
    </xf>
    <xf numFmtId="49" fontId="1" fillId="0" borderId="18" xfId="0" applyNumberFormat="1" applyFont="1" applyBorder="1" applyAlignment="1">
      <alignment horizontal="center" vertical="center" textRotation="90" wrapText="1"/>
    </xf>
    <xf numFmtId="3" fontId="1" fillId="0" borderId="4" xfId="0" applyNumberFormat="1" applyFont="1" applyBorder="1" applyAlignment="1">
      <alignment horizontal="center" vertical="center" wrapText="1"/>
    </xf>
    <xf numFmtId="3" fontId="1" fillId="0" borderId="12" xfId="0" applyNumberFormat="1" applyFont="1" applyBorder="1" applyAlignment="1">
      <alignment horizontal="center" vertical="center" wrapText="1"/>
    </xf>
    <xf numFmtId="3" fontId="1" fillId="0" borderId="20" xfId="0" applyNumberFormat="1" applyFont="1" applyBorder="1" applyAlignment="1">
      <alignment horizontal="center" vertical="center" wrapText="1"/>
    </xf>
    <xf numFmtId="49" fontId="1" fillId="0" borderId="43" xfId="0" applyNumberFormat="1" applyFont="1" applyFill="1" applyBorder="1" applyAlignment="1">
      <alignment horizontal="left" vertical="top" wrapText="1"/>
    </xf>
    <xf numFmtId="49" fontId="1" fillId="0" borderId="45" xfId="0" applyNumberFormat="1" applyFont="1" applyFill="1" applyBorder="1" applyAlignment="1">
      <alignment horizontal="left" vertical="top" wrapText="1"/>
    </xf>
  </cellXfs>
  <cellStyles count="4">
    <cellStyle name="Excel Built-in Normal" xfId="3"/>
    <cellStyle name="Įprastas" xfId="0" builtinId="0"/>
    <cellStyle name="Įprastas 2" xfId="2"/>
    <cellStyle name="Normal" xfId="1"/>
  </cellStyles>
  <dxfs count="0"/>
  <tableStyles count="0" defaultTableStyle="TableStyleMedium2" defaultPivotStyle="PivotStyleLight16"/>
  <colors>
    <mruColors>
      <color rgb="FFCC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r>
              <a:rPr lang="lt-LT" b="1"/>
              <a:t>2019 m. SVP programos Nr. 11 įvykdymas</a:t>
            </a:r>
          </a:p>
        </c:rich>
      </c:tx>
      <c:layout>
        <c:manualLayout>
          <c:xMode val="edge"/>
          <c:yMode val="edge"/>
          <c:x val="0.13995720414466264"/>
          <c:y val="1.8388309569411933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231738533680489E-2"/>
          <c:y val="0.30842758623205457"/>
          <c:w val="0.85890813648293962"/>
          <c:h val="0.63816473670716778"/>
        </c:manualLayout>
      </c:layout>
      <c:pie3DChart>
        <c:varyColors val="1"/>
        <c:ser>
          <c:idx val="0"/>
          <c:order val="0"/>
          <c:spPr>
            <a:solidFill>
              <a:schemeClr val="bg1"/>
            </a:solidFill>
            <a:ln>
              <a:solidFill>
                <a:sysClr val="windowText" lastClr="000000"/>
              </a:solidFill>
            </a:ln>
          </c:spPr>
          <c:dPt>
            <c:idx val="0"/>
            <c:bubble3D val="0"/>
            <c:spPr>
              <a:solidFill>
                <a:schemeClr val="bg1"/>
              </a:solidFill>
              <a:ln w="25400">
                <a:solidFill>
                  <a:sysClr val="windowText" lastClr="000000"/>
                </a:solidFill>
              </a:ln>
              <a:effectLst/>
              <a:sp3d contourW="25400">
                <a:contourClr>
                  <a:sysClr val="windowText" lastClr="000000"/>
                </a:contourClr>
              </a:sp3d>
            </c:spPr>
            <c:extLst>
              <c:ext xmlns:c16="http://schemas.microsoft.com/office/drawing/2014/chart" uri="{C3380CC4-5D6E-409C-BE32-E72D297353CC}">
                <c16:uniqueId val="{00000002-9144-4F04-BA7C-A85529D0CF6F}"/>
              </c:ext>
            </c:extLst>
          </c:dPt>
          <c:dPt>
            <c:idx val="1"/>
            <c:bubble3D val="0"/>
            <c:spPr>
              <a:solidFill>
                <a:schemeClr val="accent5">
                  <a:lumMod val="20000"/>
                  <a:lumOff val="80000"/>
                </a:schemeClr>
              </a:solidFill>
              <a:ln w="25400">
                <a:solidFill>
                  <a:sysClr val="windowText" lastClr="000000"/>
                </a:solidFill>
              </a:ln>
              <a:effectLst/>
              <a:sp3d contourW="25400">
                <a:contourClr>
                  <a:sysClr val="windowText" lastClr="000000"/>
                </a:contourClr>
              </a:sp3d>
            </c:spPr>
            <c:extLst>
              <c:ext xmlns:c16="http://schemas.microsoft.com/office/drawing/2014/chart" uri="{C3380CC4-5D6E-409C-BE32-E72D297353CC}">
                <c16:uniqueId val="{00000003-9144-4F04-BA7C-A85529D0CF6F}"/>
              </c:ext>
            </c:extLst>
          </c:dPt>
          <c:dPt>
            <c:idx val="2"/>
            <c:bubble3D val="0"/>
            <c:spPr>
              <a:solidFill>
                <a:schemeClr val="bg1"/>
              </a:solidFill>
              <a:ln w="25400">
                <a:solidFill>
                  <a:sysClr val="windowText" lastClr="000000"/>
                </a:solidFill>
              </a:ln>
              <a:effectLst/>
              <a:sp3d contourW="25400">
                <a:contourClr>
                  <a:sysClr val="windowText" lastClr="000000"/>
                </a:contourClr>
              </a:sp3d>
            </c:spPr>
            <c:extLst>
              <c:ext xmlns:c16="http://schemas.microsoft.com/office/drawing/2014/chart" uri="{C3380CC4-5D6E-409C-BE32-E72D297353CC}">
                <c16:uniqueId val="{00000004-9144-4F04-BA7C-A85529D0CF6F}"/>
              </c:ext>
            </c:extLst>
          </c:dPt>
          <c:dLbls>
            <c:dLbl>
              <c:idx val="0"/>
              <c:layout>
                <c:manualLayout>
                  <c:x val="0.37180975871991906"/>
                  <c:y val="-7.7293041072568638E-2"/>
                </c:manualLayout>
              </c:layout>
              <c:numFmt formatCode="0\ %" sourceLinked="0"/>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2">
                      <a:avLst>
                        <a:gd name="adj1" fmla="val 18750"/>
                        <a:gd name="adj2" fmla="val -8333"/>
                        <a:gd name="adj3" fmla="val 4444"/>
                        <a:gd name="adj4" fmla="val 30923"/>
                        <a:gd name="adj5" fmla="val 59541"/>
                        <a:gd name="adj6" fmla="val -114946"/>
                      </a:avLst>
                    </a:prstGeom>
                    <a:noFill/>
                    <a:ln>
                      <a:noFill/>
                    </a:ln>
                  </c15:spPr>
                  <c15:layout/>
                </c:ext>
                <c:ext xmlns:c16="http://schemas.microsoft.com/office/drawing/2014/chart" uri="{C3380CC4-5D6E-409C-BE32-E72D297353CC}">
                  <c16:uniqueId val="{00000002-9144-4F04-BA7C-A85529D0CF6F}"/>
                </c:ext>
              </c:extLst>
            </c:dLbl>
            <c:dLbl>
              <c:idx val="1"/>
              <c:layout>
                <c:manualLayout>
                  <c:x val="-0.29344654207380705"/>
                  <c:y val="0.11147690998084694"/>
                </c:manualLayout>
              </c:layout>
              <c:numFmt formatCode="0\ %"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2">
                      <a:avLst/>
                    </a:prstGeom>
                    <a:noFill/>
                    <a:ln>
                      <a:noFill/>
                    </a:ln>
                  </c15:spPr>
                  <c15:layout/>
                </c:ext>
                <c:ext xmlns:c16="http://schemas.microsoft.com/office/drawing/2014/chart" uri="{C3380CC4-5D6E-409C-BE32-E72D297353CC}">
                  <c16:uniqueId val="{00000003-9144-4F04-BA7C-A85529D0CF6F}"/>
                </c:ext>
              </c:extLst>
            </c:dLbl>
            <c:dLbl>
              <c:idx val="2"/>
              <c:layout>
                <c:manualLayout>
                  <c:x val="5.6312388662260543E-2"/>
                  <c:y val="-3.591437894587498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144-4F04-BA7C-A85529D0CF6F}"/>
                </c:ext>
              </c:extLst>
            </c:dLbl>
            <c:numFmt formatCode="0\ %" sourceLinked="0"/>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borderCallout2">
                    <a:avLst/>
                  </a:prstGeom>
                  <a:noFill/>
                  <a:ln>
                    <a:noFill/>
                  </a:ln>
                </c15:spPr>
              </c:ext>
            </c:extLst>
          </c:dLbls>
          <c:cat>
            <c:strRef>
              <c:f>Ataskaita!$A$9:$A$11</c:f>
              <c:strCache>
                <c:ptCount val="2"/>
                <c:pt idx="0">
                  <c:v>faktiškai įvykdyta –</c:v>
                </c:pt>
                <c:pt idx="1">
                  <c:v>iš dalies įvykdyta –</c:v>
                </c:pt>
              </c:strCache>
            </c:strRef>
          </c:cat>
          <c:val>
            <c:numRef>
              <c:f>Ataskaita!$C$9:$C$11</c:f>
              <c:numCache>
                <c:formatCode>General</c:formatCode>
                <c:ptCount val="3"/>
                <c:pt idx="0">
                  <c:v>34</c:v>
                </c:pt>
                <c:pt idx="1">
                  <c:v>1</c:v>
                </c:pt>
              </c:numCache>
            </c:numRef>
          </c:val>
          <c:extLst>
            <c:ext xmlns:c16="http://schemas.microsoft.com/office/drawing/2014/chart" uri="{C3380CC4-5D6E-409C-BE32-E72D297353CC}">
              <c16:uniqueId val="{00000000-9144-4F04-BA7C-A85529D0CF6F}"/>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lt-LT"/>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0</xdr:rowOff>
    </xdr:from>
    <xdr:to>
      <xdr:col>7</xdr:col>
      <xdr:colOff>561975</xdr:colOff>
      <xdr:row>25</xdr:row>
      <xdr:rowOff>104775</xdr:rowOff>
    </xdr:to>
    <xdr:graphicFrame macro="">
      <xdr:nvGraphicFramePr>
        <xdr:cNvPr id="4" name="Diagrama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tabSelected="1" zoomScaleNormal="100" workbookViewId="0">
      <selection activeCell="I6" sqref="I6"/>
    </sheetView>
  </sheetViews>
  <sheetFormatPr defaultRowHeight="14.4" x14ac:dyDescent="0.3"/>
  <cols>
    <col min="2" max="2" width="9.88671875" customWidth="1"/>
    <col min="3" max="3" width="7.109375" customWidth="1"/>
    <col min="4" max="4" width="7.44140625" customWidth="1"/>
    <col min="8" max="8" width="15.88671875" customWidth="1"/>
    <col min="9" max="9" width="15.6640625" customWidth="1"/>
    <col min="258" max="258" width="9.88671875" customWidth="1"/>
    <col min="264" max="264" width="11" customWidth="1"/>
    <col min="265" max="265" width="15.6640625" customWidth="1"/>
    <col min="514" max="514" width="9.88671875" customWidth="1"/>
    <col min="520" max="520" width="11" customWidth="1"/>
    <col min="521" max="521" width="15.6640625" customWidth="1"/>
    <col min="770" max="770" width="9.88671875" customWidth="1"/>
    <col min="776" max="776" width="11" customWidth="1"/>
    <col min="777" max="777" width="15.6640625" customWidth="1"/>
    <col min="1026" max="1026" width="9.88671875" customWidth="1"/>
    <col min="1032" max="1032" width="11" customWidth="1"/>
    <col min="1033" max="1033" width="15.6640625" customWidth="1"/>
    <col min="1282" max="1282" width="9.88671875" customWidth="1"/>
    <col min="1288" max="1288" width="11" customWidth="1"/>
    <col min="1289" max="1289" width="15.6640625" customWidth="1"/>
    <col min="1538" max="1538" width="9.88671875" customWidth="1"/>
    <col min="1544" max="1544" width="11" customWidth="1"/>
    <col min="1545" max="1545" width="15.6640625" customWidth="1"/>
    <col min="1794" max="1794" width="9.88671875" customWidth="1"/>
    <col min="1800" max="1800" width="11" customWidth="1"/>
    <col min="1801" max="1801" width="15.6640625" customWidth="1"/>
    <col min="2050" max="2050" width="9.88671875" customWidth="1"/>
    <col min="2056" max="2056" width="11" customWidth="1"/>
    <col min="2057" max="2057" width="15.6640625" customWidth="1"/>
    <col min="2306" max="2306" width="9.88671875" customWidth="1"/>
    <col min="2312" max="2312" width="11" customWidth="1"/>
    <col min="2313" max="2313" width="15.6640625" customWidth="1"/>
    <col min="2562" max="2562" width="9.88671875" customWidth="1"/>
    <col min="2568" max="2568" width="11" customWidth="1"/>
    <col min="2569" max="2569" width="15.6640625" customWidth="1"/>
    <col min="2818" max="2818" width="9.88671875" customWidth="1"/>
    <col min="2824" max="2824" width="11" customWidth="1"/>
    <col min="2825" max="2825" width="15.6640625" customWidth="1"/>
    <col min="3074" max="3074" width="9.88671875" customWidth="1"/>
    <col min="3080" max="3080" width="11" customWidth="1"/>
    <col min="3081" max="3081" width="15.6640625" customWidth="1"/>
    <col min="3330" max="3330" width="9.88671875" customWidth="1"/>
    <col min="3336" max="3336" width="11" customWidth="1"/>
    <col min="3337" max="3337" width="15.6640625" customWidth="1"/>
    <col min="3586" max="3586" width="9.88671875" customWidth="1"/>
    <col min="3592" max="3592" width="11" customWidth="1"/>
    <col min="3593" max="3593" width="15.6640625" customWidth="1"/>
    <col min="3842" max="3842" width="9.88671875" customWidth="1"/>
    <col min="3848" max="3848" width="11" customWidth="1"/>
    <col min="3849" max="3849" width="15.6640625" customWidth="1"/>
    <col min="4098" max="4098" width="9.88671875" customWidth="1"/>
    <col min="4104" max="4104" width="11" customWidth="1"/>
    <col min="4105" max="4105" width="15.6640625" customWidth="1"/>
    <col min="4354" max="4354" width="9.88671875" customWidth="1"/>
    <col min="4360" max="4360" width="11" customWidth="1"/>
    <col min="4361" max="4361" width="15.6640625" customWidth="1"/>
    <col min="4610" max="4610" width="9.88671875" customWidth="1"/>
    <col min="4616" max="4616" width="11" customWidth="1"/>
    <col min="4617" max="4617" width="15.6640625" customWidth="1"/>
    <col min="4866" max="4866" width="9.88671875" customWidth="1"/>
    <col min="4872" max="4872" width="11" customWidth="1"/>
    <col min="4873" max="4873" width="15.6640625" customWidth="1"/>
    <col min="5122" max="5122" width="9.88671875" customWidth="1"/>
    <col min="5128" max="5128" width="11" customWidth="1"/>
    <col min="5129" max="5129" width="15.6640625" customWidth="1"/>
    <col min="5378" max="5378" width="9.88671875" customWidth="1"/>
    <col min="5384" max="5384" width="11" customWidth="1"/>
    <col min="5385" max="5385" width="15.6640625" customWidth="1"/>
    <col min="5634" max="5634" width="9.88671875" customWidth="1"/>
    <col min="5640" max="5640" width="11" customWidth="1"/>
    <col min="5641" max="5641" width="15.6640625" customWidth="1"/>
    <col min="5890" max="5890" width="9.88671875" customWidth="1"/>
    <col min="5896" max="5896" width="11" customWidth="1"/>
    <col min="5897" max="5897" width="15.6640625" customWidth="1"/>
    <col min="6146" max="6146" width="9.88671875" customWidth="1"/>
    <col min="6152" max="6152" width="11" customWidth="1"/>
    <col min="6153" max="6153" width="15.6640625" customWidth="1"/>
    <col min="6402" max="6402" width="9.88671875" customWidth="1"/>
    <col min="6408" max="6408" width="11" customWidth="1"/>
    <col min="6409" max="6409" width="15.6640625" customWidth="1"/>
    <col min="6658" max="6658" width="9.88671875" customWidth="1"/>
    <col min="6664" max="6664" width="11" customWidth="1"/>
    <col min="6665" max="6665" width="15.6640625" customWidth="1"/>
    <col min="6914" max="6914" width="9.88671875" customWidth="1"/>
    <col min="6920" max="6920" width="11" customWidth="1"/>
    <col min="6921" max="6921" width="15.6640625" customWidth="1"/>
    <col min="7170" max="7170" width="9.88671875" customWidth="1"/>
    <col min="7176" max="7176" width="11" customWidth="1"/>
    <col min="7177" max="7177" width="15.6640625" customWidth="1"/>
    <col min="7426" max="7426" width="9.88671875" customWidth="1"/>
    <col min="7432" max="7432" width="11" customWidth="1"/>
    <col min="7433" max="7433" width="15.6640625" customWidth="1"/>
    <col min="7682" max="7682" width="9.88671875" customWidth="1"/>
    <col min="7688" max="7688" width="11" customWidth="1"/>
    <col min="7689" max="7689" width="15.6640625" customWidth="1"/>
    <col min="7938" max="7938" width="9.88671875" customWidth="1"/>
    <col min="7944" max="7944" width="11" customWidth="1"/>
    <col min="7945" max="7945" width="15.6640625" customWidth="1"/>
    <col min="8194" max="8194" width="9.88671875" customWidth="1"/>
    <col min="8200" max="8200" width="11" customWidth="1"/>
    <col min="8201" max="8201" width="15.6640625" customWidth="1"/>
    <col min="8450" max="8450" width="9.88671875" customWidth="1"/>
    <col min="8456" max="8456" width="11" customWidth="1"/>
    <col min="8457" max="8457" width="15.6640625" customWidth="1"/>
    <col min="8706" max="8706" width="9.88671875" customWidth="1"/>
    <col min="8712" max="8712" width="11" customWidth="1"/>
    <col min="8713" max="8713" width="15.6640625" customWidth="1"/>
    <col min="8962" max="8962" width="9.88671875" customWidth="1"/>
    <col min="8968" max="8968" width="11" customWidth="1"/>
    <col min="8969" max="8969" width="15.6640625" customWidth="1"/>
    <col min="9218" max="9218" width="9.88671875" customWidth="1"/>
    <col min="9224" max="9224" width="11" customWidth="1"/>
    <col min="9225" max="9225" width="15.6640625" customWidth="1"/>
    <col min="9474" max="9474" width="9.88671875" customWidth="1"/>
    <col min="9480" max="9480" width="11" customWidth="1"/>
    <col min="9481" max="9481" width="15.6640625" customWidth="1"/>
    <col min="9730" max="9730" width="9.88671875" customWidth="1"/>
    <col min="9736" max="9736" width="11" customWidth="1"/>
    <col min="9737" max="9737" width="15.6640625" customWidth="1"/>
    <col min="9986" max="9986" width="9.88671875" customWidth="1"/>
    <col min="9992" max="9992" width="11" customWidth="1"/>
    <col min="9993" max="9993" width="15.6640625" customWidth="1"/>
    <col min="10242" max="10242" width="9.88671875" customWidth="1"/>
    <col min="10248" max="10248" width="11" customWidth="1"/>
    <col min="10249" max="10249" width="15.6640625" customWidth="1"/>
    <col min="10498" max="10498" width="9.88671875" customWidth="1"/>
    <col min="10504" max="10504" width="11" customWidth="1"/>
    <col min="10505" max="10505" width="15.6640625" customWidth="1"/>
    <col min="10754" max="10754" width="9.88671875" customWidth="1"/>
    <col min="10760" max="10760" width="11" customWidth="1"/>
    <col min="10761" max="10761" width="15.6640625" customWidth="1"/>
    <col min="11010" max="11010" width="9.88671875" customWidth="1"/>
    <col min="11016" max="11016" width="11" customWidth="1"/>
    <col min="11017" max="11017" width="15.6640625" customWidth="1"/>
    <col min="11266" max="11266" width="9.88671875" customWidth="1"/>
    <col min="11272" max="11272" width="11" customWidth="1"/>
    <col min="11273" max="11273" width="15.6640625" customWidth="1"/>
    <col min="11522" max="11522" width="9.88671875" customWidth="1"/>
    <col min="11528" max="11528" width="11" customWidth="1"/>
    <col min="11529" max="11529" width="15.6640625" customWidth="1"/>
    <col min="11778" max="11778" width="9.88671875" customWidth="1"/>
    <col min="11784" max="11784" width="11" customWidth="1"/>
    <col min="11785" max="11785" width="15.6640625" customWidth="1"/>
    <col min="12034" max="12034" width="9.88671875" customWidth="1"/>
    <col min="12040" max="12040" width="11" customWidth="1"/>
    <col min="12041" max="12041" width="15.6640625" customWidth="1"/>
    <col min="12290" max="12290" width="9.88671875" customWidth="1"/>
    <col min="12296" max="12296" width="11" customWidth="1"/>
    <col min="12297" max="12297" width="15.6640625" customWidth="1"/>
    <col min="12546" max="12546" width="9.88671875" customWidth="1"/>
    <col min="12552" max="12552" width="11" customWidth="1"/>
    <col min="12553" max="12553" width="15.6640625" customWidth="1"/>
    <col min="12802" max="12802" width="9.88671875" customWidth="1"/>
    <col min="12808" max="12808" width="11" customWidth="1"/>
    <col min="12809" max="12809" width="15.6640625" customWidth="1"/>
    <col min="13058" max="13058" width="9.88671875" customWidth="1"/>
    <col min="13064" max="13064" width="11" customWidth="1"/>
    <col min="13065" max="13065" width="15.6640625" customWidth="1"/>
    <col min="13314" max="13314" width="9.88671875" customWidth="1"/>
    <col min="13320" max="13320" width="11" customWidth="1"/>
    <col min="13321" max="13321" width="15.6640625" customWidth="1"/>
    <col min="13570" max="13570" width="9.88671875" customWidth="1"/>
    <col min="13576" max="13576" width="11" customWidth="1"/>
    <col min="13577" max="13577" width="15.6640625" customWidth="1"/>
    <col min="13826" max="13826" width="9.88671875" customWidth="1"/>
    <col min="13832" max="13832" width="11" customWidth="1"/>
    <col min="13833" max="13833" width="15.6640625" customWidth="1"/>
    <col min="14082" max="14082" width="9.88671875" customWidth="1"/>
    <col min="14088" max="14088" width="11" customWidth="1"/>
    <col min="14089" max="14089" width="15.6640625" customWidth="1"/>
    <col min="14338" max="14338" width="9.88671875" customWidth="1"/>
    <col min="14344" max="14344" width="11" customWidth="1"/>
    <col min="14345" max="14345" width="15.6640625" customWidth="1"/>
    <col min="14594" max="14594" width="9.88671875" customWidth="1"/>
    <col min="14600" max="14600" width="11" customWidth="1"/>
    <col min="14601" max="14601" width="15.6640625" customWidth="1"/>
    <col min="14850" max="14850" width="9.88671875" customWidth="1"/>
    <col min="14856" max="14856" width="11" customWidth="1"/>
    <col min="14857" max="14857" width="15.6640625" customWidth="1"/>
    <col min="15106" max="15106" width="9.88671875" customWidth="1"/>
    <col min="15112" max="15112" width="11" customWidth="1"/>
    <col min="15113" max="15113" width="15.6640625" customWidth="1"/>
    <col min="15362" max="15362" width="9.88671875" customWidth="1"/>
    <col min="15368" max="15368" width="11" customWidth="1"/>
    <col min="15369" max="15369" width="15.6640625" customWidth="1"/>
    <col min="15618" max="15618" width="9.88671875" customWidth="1"/>
    <col min="15624" max="15624" width="11" customWidth="1"/>
    <col min="15625" max="15625" width="15.6640625" customWidth="1"/>
    <col min="15874" max="15874" width="9.88671875" customWidth="1"/>
    <col min="15880" max="15880" width="11" customWidth="1"/>
    <col min="15881" max="15881" width="15.6640625" customWidth="1"/>
    <col min="16130" max="16130" width="9.88671875" customWidth="1"/>
    <col min="16136" max="16136" width="11" customWidth="1"/>
    <col min="16137" max="16137" width="15.6640625" customWidth="1"/>
  </cols>
  <sheetData>
    <row r="1" spans="1:14" ht="69.75" customHeight="1" x14ac:dyDescent="0.3">
      <c r="E1" s="996" t="s">
        <v>590</v>
      </c>
      <c r="F1" s="996"/>
      <c r="G1" s="996"/>
      <c r="H1" s="996"/>
    </row>
    <row r="2" spans="1:14" s="493" customFormat="1" ht="15.6" x14ac:dyDescent="0.25">
      <c r="A2" s="1004" t="s">
        <v>541</v>
      </c>
      <c r="B2" s="1004"/>
      <c r="C2" s="1004"/>
      <c r="D2" s="1004"/>
      <c r="E2" s="1004"/>
      <c r="F2" s="1004"/>
      <c r="G2" s="1004"/>
      <c r="H2" s="1004"/>
      <c r="I2" s="492"/>
      <c r="J2" s="492"/>
    </row>
    <row r="3" spans="1:14" s="493" customFormat="1" ht="15.6" x14ac:dyDescent="0.25">
      <c r="A3" s="1004" t="s">
        <v>149</v>
      </c>
      <c r="B3" s="1004"/>
      <c r="C3" s="1004"/>
      <c r="D3" s="1004"/>
      <c r="E3" s="1004"/>
      <c r="F3" s="1004"/>
      <c r="G3" s="1004"/>
      <c r="H3" s="1004"/>
      <c r="I3" s="492"/>
      <c r="J3" s="494"/>
    </row>
    <row r="4" spans="1:14" s="493" customFormat="1" ht="15.6" x14ac:dyDescent="0.25">
      <c r="A4" s="1004" t="s">
        <v>150</v>
      </c>
      <c r="B4" s="1004"/>
      <c r="C4" s="1004"/>
      <c r="D4" s="1004"/>
      <c r="E4" s="1004"/>
      <c r="F4" s="1004"/>
      <c r="G4" s="1004"/>
      <c r="H4" s="1004"/>
      <c r="I4" s="492"/>
      <c r="J4" s="494"/>
    </row>
    <row r="5" spans="1:14" s="493" customFormat="1" ht="18.600000000000001" customHeight="1" x14ac:dyDescent="0.25">
      <c r="A5" s="495"/>
      <c r="B5" s="495"/>
      <c r="C5" s="495"/>
      <c r="D5" s="495"/>
      <c r="E5" s="495"/>
      <c r="F5" s="495"/>
      <c r="G5" s="495"/>
      <c r="H5" s="495"/>
      <c r="I5" s="495"/>
      <c r="J5" s="494"/>
    </row>
    <row r="6" spans="1:14" ht="56.25" customHeight="1" x14ac:dyDescent="0.3">
      <c r="A6" s="1005" t="s">
        <v>170</v>
      </c>
      <c r="B6" s="1005"/>
      <c r="C6" s="1005"/>
      <c r="D6" s="1005"/>
      <c r="E6" s="1005"/>
      <c r="F6" s="1005"/>
      <c r="G6" s="1005"/>
      <c r="H6" s="1005"/>
      <c r="I6" s="496"/>
      <c r="J6" s="497"/>
    </row>
    <row r="7" spans="1:14" ht="72" customHeight="1" x14ac:dyDescent="0.3">
      <c r="A7" s="1006" t="s">
        <v>171</v>
      </c>
      <c r="B7" s="1006"/>
      <c r="C7" s="1006"/>
      <c r="D7" s="1006"/>
      <c r="E7" s="1006"/>
      <c r="F7" s="1006"/>
      <c r="G7" s="1006"/>
      <c r="H7" s="1006"/>
      <c r="I7" s="496"/>
      <c r="J7" s="497"/>
    </row>
    <row r="8" spans="1:14" ht="37.5" customHeight="1" x14ac:dyDescent="0.3">
      <c r="A8" s="1003" t="s">
        <v>542</v>
      </c>
      <c r="B8" s="1003"/>
      <c r="C8" s="1003"/>
      <c r="D8" s="1003"/>
      <c r="E8" s="1003"/>
      <c r="F8" s="1003"/>
      <c r="G8" s="1003"/>
      <c r="H8" s="1003"/>
      <c r="I8" s="498"/>
      <c r="J8" s="497"/>
      <c r="K8" s="491"/>
      <c r="L8" s="499"/>
      <c r="M8" s="499"/>
      <c r="N8" s="499"/>
    </row>
    <row r="9" spans="1:14" s="491" customFormat="1" ht="21" customHeight="1" x14ac:dyDescent="0.25">
      <c r="A9" s="998" t="s">
        <v>151</v>
      </c>
      <c r="B9" s="998"/>
      <c r="C9" s="500">
        <v>34</v>
      </c>
      <c r="D9" s="999" t="s">
        <v>152</v>
      </c>
      <c r="E9" s="999"/>
      <c r="F9" s="999"/>
      <c r="G9" s="999"/>
      <c r="H9" s="999"/>
    </row>
    <row r="10" spans="1:14" s="491" customFormat="1" ht="19.5" customHeight="1" x14ac:dyDescent="0.25">
      <c r="A10" s="1000" t="s">
        <v>153</v>
      </c>
      <c r="B10" s="1000"/>
      <c r="C10" s="501">
        <v>1</v>
      </c>
      <c r="D10" s="1001" t="s">
        <v>589</v>
      </c>
      <c r="E10" s="1001"/>
      <c r="F10" s="1001"/>
      <c r="G10" s="1001"/>
      <c r="H10" s="502"/>
    </row>
    <row r="11" spans="1:14" s="491" customFormat="1" ht="20.25" customHeight="1" x14ac:dyDescent="0.25">
      <c r="A11" s="998"/>
      <c r="B11" s="998"/>
      <c r="C11" s="500"/>
      <c r="D11" s="503"/>
      <c r="E11" s="503"/>
      <c r="F11" s="503"/>
      <c r="G11" s="503"/>
      <c r="H11" s="504"/>
      <c r="J11" s="505"/>
      <c r="K11" s="505"/>
      <c r="L11" s="505"/>
    </row>
    <row r="12" spans="1:14" ht="15.6" x14ac:dyDescent="0.3">
      <c r="A12" s="506"/>
      <c r="B12" s="506"/>
      <c r="C12" s="506"/>
      <c r="D12" s="506"/>
      <c r="E12" s="506"/>
      <c r="F12" s="506"/>
      <c r="G12" s="506"/>
      <c r="H12" s="506"/>
      <c r="I12" s="506"/>
      <c r="J12" s="497"/>
      <c r="K12" s="507"/>
      <c r="L12" s="508"/>
      <c r="M12" s="509"/>
      <c r="N12" s="510"/>
    </row>
    <row r="13" spans="1:14" ht="15.6" x14ac:dyDescent="0.3">
      <c r="A13" s="506"/>
      <c r="B13" s="506"/>
      <c r="C13" s="506"/>
      <c r="D13" s="506"/>
      <c r="E13" s="506"/>
      <c r="F13" s="506"/>
      <c r="G13" s="506"/>
      <c r="H13" s="506"/>
      <c r="I13" s="506"/>
      <c r="J13" s="497"/>
      <c r="K13" s="507"/>
      <c r="L13" s="508"/>
      <c r="M13" s="509"/>
      <c r="N13" s="510"/>
    </row>
    <row r="14" spans="1:14" ht="15.6" x14ac:dyDescent="0.3">
      <c r="A14" s="506"/>
      <c r="B14" s="506"/>
      <c r="C14" s="506"/>
      <c r="D14" s="506"/>
      <c r="E14" s="506"/>
      <c r="F14" s="506"/>
      <c r="G14" s="506"/>
      <c r="H14" s="506"/>
      <c r="I14" s="506"/>
      <c r="J14" s="497"/>
      <c r="K14" s="507"/>
      <c r="L14" s="509"/>
      <c r="M14" s="509"/>
      <c r="N14" s="510"/>
    </row>
    <row r="15" spans="1:14" ht="15.6" x14ac:dyDescent="0.3">
      <c r="A15" s="506"/>
      <c r="B15" s="506"/>
      <c r="C15" s="506"/>
      <c r="D15" s="506"/>
      <c r="E15" s="506"/>
      <c r="F15" s="506"/>
      <c r="G15" s="506"/>
      <c r="H15" s="506"/>
      <c r="I15" s="506"/>
      <c r="J15" s="497"/>
      <c r="K15" s="507"/>
      <c r="L15" s="510"/>
      <c r="M15" s="510"/>
      <c r="N15" s="510"/>
    </row>
    <row r="16" spans="1:14" ht="15.6" x14ac:dyDescent="0.3">
      <c r="A16" s="506"/>
      <c r="B16" s="506"/>
      <c r="C16" s="506"/>
      <c r="D16" s="506"/>
      <c r="E16" s="506"/>
      <c r="F16" s="506"/>
      <c r="G16" s="506"/>
      <c r="H16" s="506"/>
      <c r="I16" s="506"/>
      <c r="J16" s="497"/>
      <c r="K16" s="507"/>
      <c r="L16" s="507"/>
      <c r="M16" s="507"/>
      <c r="N16" s="507"/>
    </row>
    <row r="17" spans="1:14" x14ac:dyDescent="0.3">
      <c r="K17" s="491"/>
      <c r="L17" s="491"/>
      <c r="M17" s="491"/>
      <c r="N17" s="491"/>
    </row>
    <row r="18" spans="1:14" x14ac:dyDescent="0.3">
      <c r="K18" s="491"/>
      <c r="L18" s="491"/>
      <c r="M18" s="491"/>
      <c r="N18" s="491"/>
    </row>
    <row r="27" spans="1:14" ht="27" customHeight="1" x14ac:dyDescent="0.3"/>
    <row r="28" spans="1:14" ht="33.75" customHeight="1" x14ac:dyDescent="0.3">
      <c r="A28" s="1002" t="s">
        <v>154</v>
      </c>
      <c r="B28" s="1002"/>
      <c r="C28" s="1002"/>
      <c r="D28" s="1002"/>
      <c r="E28" s="1002"/>
      <c r="F28" s="1002"/>
      <c r="G28" s="1002"/>
      <c r="H28" s="1002"/>
      <c r="I28" s="511"/>
      <c r="J28" s="511"/>
      <c r="K28" s="511"/>
      <c r="L28" s="511"/>
      <c r="M28" s="511"/>
    </row>
    <row r="29" spans="1:14" ht="33.75" customHeight="1" x14ac:dyDescent="0.3">
      <c r="A29" s="997" t="s">
        <v>155</v>
      </c>
      <c r="B29" s="997"/>
      <c r="C29" s="997"/>
      <c r="D29" s="997"/>
      <c r="E29" s="997"/>
      <c r="F29" s="997"/>
      <c r="G29" s="997"/>
      <c r="H29" s="997"/>
      <c r="I29" s="512"/>
      <c r="J29" s="512"/>
      <c r="K29" s="512"/>
      <c r="L29" s="512"/>
      <c r="M29" s="512"/>
    </row>
    <row r="30" spans="1:14" ht="33.75" customHeight="1" x14ac:dyDescent="0.3">
      <c r="A30" s="997" t="s">
        <v>156</v>
      </c>
      <c r="B30" s="997"/>
      <c r="C30" s="997"/>
      <c r="D30" s="997"/>
      <c r="E30" s="997"/>
      <c r="F30" s="997"/>
      <c r="G30" s="997"/>
      <c r="H30" s="997"/>
      <c r="I30" s="512"/>
      <c r="J30" s="512"/>
      <c r="K30" s="512"/>
      <c r="L30" s="512"/>
      <c r="M30" s="512"/>
    </row>
    <row r="31" spans="1:14" ht="33.75" customHeight="1" x14ac:dyDescent="0.3">
      <c r="A31" s="997" t="s">
        <v>157</v>
      </c>
      <c r="B31" s="997"/>
      <c r="C31" s="997"/>
      <c r="D31" s="997"/>
      <c r="E31" s="997"/>
      <c r="F31" s="997"/>
      <c r="G31" s="997"/>
      <c r="H31" s="997"/>
      <c r="I31" s="512"/>
      <c r="J31" s="512"/>
      <c r="K31" s="512"/>
      <c r="L31" s="512"/>
      <c r="M31" s="512"/>
    </row>
  </sheetData>
  <mergeCells count="16">
    <mergeCell ref="E1:H1"/>
    <mergeCell ref="A29:H29"/>
    <mergeCell ref="A30:H30"/>
    <mergeCell ref="A31:H31"/>
    <mergeCell ref="A9:B9"/>
    <mergeCell ref="D9:H9"/>
    <mergeCell ref="A10:B10"/>
    <mergeCell ref="D10:G10"/>
    <mergeCell ref="A11:B11"/>
    <mergeCell ref="A28:H28"/>
    <mergeCell ref="A8:H8"/>
    <mergeCell ref="A2:H2"/>
    <mergeCell ref="A3:H3"/>
    <mergeCell ref="A4:H4"/>
    <mergeCell ref="A6:H6"/>
    <mergeCell ref="A7:H7"/>
  </mergeCells>
  <printOptions horizontalCentered="1"/>
  <pageMargins left="0.70866141732283472" right="0.11811023622047245"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68"/>
  <sheetViews>
    <sheetView zoomScaleNormal="100" workbookViewId="0">
      <selection activeCell="M3" sqref="M3:Q3"/>
    </sheetView>
  </sheetViews>
  <sheetFormatPr defaultColWidth="9.109375" defaultRowHeight="13.2" x14ac:dyDescent="0.25"/>
  <cols>
    <col min="1" max="1" width="3.109375" style="505" customWidth="1"/>
    <col min="2" max="4" width="3.109375" style="788" customWidth="1"/>
    <col min="5" max="5" width="28.33203125" style="505" customWidth="1"/>
    <col min="6" max="6" width="3" style="505" customWidth="1"/>
    <col min="7" max="7" width="3" style="789" hidden="1" customWidth="1"/>
    <col min="8" max="8" width="3" style="788" customWidth="1"/>
    <col min="9" max="9" width="7.5546875" style="505" customWidth="1"/>
    <col min="10" max="12" width="8.109375" style="505" customWidth="1"/>
    <col min="13" max="13" width="31" style="505" customWidth="1"/>
    <col min="14" max="15" width="5.6640625" style="788" customWidth="1"/>
    <col min="16" max="17" width="31" style="788" customWidth="1"/>
    <col min="18" max="19" width="10.33203125" style="505" bestFit="1" customWidth="1"/>
    <col min="20" max="16384" width="9.109375" style="505"/>
  </cols>
  <sheetData>
    <row r="1" spans="1:22" s="618" customFormat="1" ht="14.25" customHeight="1" x14ac:dyDescent="0.25">
      <c r="A1" s="1009" t="s">
        <v>580</v>
      </c>
      <c r="B1" s="1009"/>
      <c r="C1" s="1009"/>
      <c r="D1" s="1009"/>
      <c r="E1" s="1009"/>
      <c r="F1" s="1009"/>
      <c r="G1" s="1009"/>
      <c r="H1" s="1009"/>
      <c r="I1" s="1009"/>
      <c r="J1" s="1009"/>
      <c r="K1" s="1009"/>
      <c r="L1" s="1009"/>
      <c r="M1" s="1009"/>
      <c r="N1" s="1009"/>
      <c r="O1" s="1009"/>
      <c r="P1" s="1009"/>
      <c r="Q1" s="1009"/>
      <c r="R1" s="595"/>
      <c r="S1" s="618" t="s">
        <v>161</v>
      </c>
    </row>
    <row r="2" spans="1:22" s="618" customFormat="1" ht="14.25" customHeight="1" x14ac:dyDescent="0.25">
      <c r="A2" s="1010" t="s">
        <v>581</v>
      </c>
      <c r="B2" s="1010"/>
      <c r="C2" s="1010"/>
      <c r="D2" s="1010"/>
      <c r="E2" s="1010"/>
      <c r="F2" s="1010"/>
      <c r="G2" s="1010"/>
      <c r="H2" s="1010"/>
      <c r="I2" s="1010"/>
      <c r="J2" s="1010"/>
      <c r="K2" s="1010"/>
      <c r="L2" s="1010"/>
      <c r="M2" s="1010"/>
      <c r="N2" s="1010"/>
      <c r="O2" s="1010"/>
      <c r="P2" s="1010"/>
      <c r="Q2" s="1010"/>
      <c r="R2" s="595"/>
    </row>
    <row r="3" spans="1:22" s="618" customFormat="1" ht="18" customHeight="1" thickBot="1" x14ac:dyDescent="0.3">
      <c r="A3" s="2"/>
      <c r="B3" s="2"/>
      <c r="C3" s="2"/>
      <c r="D3" s="2"/>
      <c r="E3" s="3"/>
      <c r="F3" s="3"/>
      <c r="G3" s="596"/>
      <c r="H3" s="3"/>
      <c r="I3" s="3"/>
      <c r="J3" s="4"/>
      <c r="K3" s="4"/>
      <c r="L3" s="4"/>
      <c r="M3" s="1011"/>
      <c r="N3" s="1011"/>
      <c r="O3" s="1011"/>
      <c r="P3" s="1011"/>
      <c r="Q3" s="1011"/>
      <c r="R3" s="3"/>
    </row>
    <row r="4" spans="1:22" s="618" customFormat="1" ht="17.25" customHeight="1" x14ac:dyDescent="0.25">
      <c r="A4" s="1063" t="s">
        <v>4</v>
      </c>
      <c r="B4" s="1066" t="s">
        <v>5</v>
      </c>
      <c r="C4" s="1066" t="s">
        <v>6</v>
      </c>
      <c r="D4" s="1069" t="s">
        <v>236</v>
      </c>
      <c r="E4" s="1072" t="s">
        <v>7</v>
      </c>
      <c r="F4" s="1074" t="s">
        <v>8</v>
      </c>
      <c r="G4" s="1055" t="s">
        <v>194</v>
      </c>
      <c r="H4" s="1058" t="s">
        <v>9</v>
      </c>
      <c r="I4" s="1060" t="s">
        <v>10</v>
      </c>
      <c r="J4" s="1188" t="s">
        <v>144</v>
      </c>
      <c r="K4" s="1189"/>
      <c r="L4" s="1190"/>
      <c r="M4" s="1181" t="s">
        <v>12</v>
      </c>
      <c r="N4" s="1182"/>
      <c r="O4" s="1182"/>
      <c r="P4" s="1183" t="s">
        <v>145</v>
      </c>
      <c r="Q4" s="1044" t="s">
        <v>146</v>
      </c>
    </row>
    <row r="5" spans="1:22" s="618" customFormat="1" ht="19.5" customHeight="1" x14ac:dyDescent="0.25">
      <c r="A5" s="1064"/>
      <c r="B5" s="1067"/>
      <c r="C5" s="1067"/>
      <c r="D5" s="1070"/>
      <c r="E5" s="1073"/>
      <c r="F5" s="1075"/>
      <c r="G5" s="1056"/>
      <c r="H5" s="1059"/>
      <c r="I5" s="1061"/>
      <c r="J5" s="1191" t="s">
        <v>195</v>
      </c>
      <c r="K5" s="1193" t="s">
        <v>196</v>
      </c>
      <c r="L5" s="1047" t="s">
        <v>197</v>
      </c>
      <c r="M5" s="1035" t="s">
        <v>7</v>
      </c>
      <c r="N5" s="1186" t="s">
        <v>13</v>
      </c>
      <c r="O5" s="1187"/>
      <c r="P5" s="1184"/>
      <c r="Q5" s="1045"/>
    </row>
    <row r="6" spans="1:22" s="618" customFormat="1" ht="87" customHeight="1" thickBot="1" x14ac:dyDescent="0.3">
      <c r="A6" s="1065"/>
      <c r="B6" s="1068"/>
      <c r="C6" s="1068"/>
      <c r="D6" s="1071"/>
      <c r="E6" s="1073"/>
      <c r="F6" s="1075"/>
      <c r="G6" s="1057"/>
      <c r="H6" s="1059"/>
      <c r="I6" s="1062"/>
      <c r="J6" s="1192"/>
      <c r="K6" s="1194"/>
      <c r="L6" s="1048"/>
      <c r="M6" s="1036"/>
      <c r="N6" s="982" t="s">
        <v>172</v>
      </c>
      <c r="O6" s="597" t="s">
        <v>147</v>
      </c>
      <c r="P6" s="1185"/>
      <c r="Q6" s="1046"/>
    </row>
    <row r="7" spans="1:22" s="618" customFormat="1" ht="15" customHeight="1" x14ac:dyDescent="0.25">
      <c r="A7" s="1037" t="s">
        <v>17</v>
      </c>
      <c r="B7" s="1038"/>
      <c r="C7" s="1038"/>
      <c r="D7" s="1038"/>
      <c r="E7" s="1038"/>
      <c r="F7" s="1038"/>
      <c r="G7" s="1038"/>
      <c r="H7" s="1038"/>
      <c r="I7" s="1039"/>
      <c r="J7" s="1039"/>
      <c r="K7" s="1039"/>
      <c r="L7" s="1039"/>
      <c r="M7" s="1038"/>
      <c r="N7" s="1038"/>
      <c r="O7" s="1038"/>
      <c r="P7" s="1038"/>
      <c r="Q7" s="1040"/>
    </row>
    <row r="8" spans="1:22" s="618" customFormat="1" ht="15" customHeight="1" thickBot="1" x14ac:dyDescent="0.3">
      <c r="A8" s="1041" t="s">
        <v>18</v>
      </c>
      <c r="B8" s="1042"/>
      <c r="C8" s="1042"/>
      <c r="D8" s="1042"/>
      <c r="E8" s="1042"/>
      <c r="F8" s="1042"/>
      <c r="G8" s="1042"/>
      <c r="H8" s="1042"/>
      <c r="I8" s="1042"/>
      <c r="J8" s="1042"/>
      <c r="K8" s="1042"/>
      <c r="L8" s="1042"/>
      <c r="M8" s="1042"/>
      <c r="N8" s="1042"/>
      <c r="O8" s="1042"/>
      <c r="P8" s="1042"/>
      <c r="Q8" s="1043"/>
    </row>
    <row r="9" spans="1:22" s="618" customFormat="1" ht="28.5" customHeight="1" x14ac:dyDescent="0.25">
      <c r="A9" s="890" t="s">
        <v>19</v>
      </c>
      <c r="B9" s="1049" t="s">
        <v>20</v>
      </c>
      <c r="C9" s="1050"/>
      <c r="D9" s="1050"/>
      <c r="E9" s="1050"/>
      <c r="F9" s="1050"/>
      <c r="G9" s="1050"/>
      <c r="H9" s="1050"/>
      <c r="I9" s="1050"/>
      <c r="J9" s="1050"/>
      <c r="K9" s="1050"/>
      <c r="L9" s="1050"/>
      <c r="M9" s="895" t="s">
        <v>173</v>
      </c>
      <c r="N9" s="983">
        <v>10</v>
      </c>
      <c r="O9" s="897">
        <v>10</v>
      </c>
      <c r="P9" s="892"/>
      <c r="Q9" s="886"/>
      <c r="V9" s="646"/>
    </row>
    <row r="10" spans="1:22" s="618" customFormat="1" ht="69" customHeight="1" x14ac:dyDescent="0.25">
      <c r="A10" s="891"/>
      <c r="B10" s="1051"/>
      <c r="C10" s="1052"/>
      <c r="D10" s="1052"/>
      <c r="E10" s="1052"/>
      <c r="F10" s="1052"/>
      <c r="G10" s="1052"/>
      <c r="H10" s="1052"/>
      <c r="I10" s="1052"/>
      <c r="J10" s="1052"/>
      <c r="K10" s="1052"/>
      <c r="L10" s="1052"/>
      <c r="M10" s="599" t="s">
        <v>174</v>
      </c>
      <c r="N10" s="984">
        <v>7</v>
      </c>
      <c r="O10" s="598">
        <v>7</v>
      </c>
      <c r="P10" s="893"/>
      <c r="Q10" s="887"/>
    </row>
    <row r="11" spans="1:22" s="618" customFormat="1" ht="28.5" customHeight="1" x14ac:dyDescent="0.25">
      <c r="A11" s="885"/>
      <c r="B11" s="1051"/>
      <c r="C11" s="1052"/>
      <c r="D11" s="1052"/>
      <c r="E11" s="1052"/>
      <c r="F11" s="1052"/>
      <c r="G11" s="1052"/>
      <c r="H11" s="1052"/>
      <c r="I11" s="1052"/>
      <c r="J11" s="1052"/>
      <c r="K11" s="1052"/>
      <c r="L11" s="1052"/>
      <c r="M11" s="599" t="s">
        <v>175</v>
      </c>
      <c r="N11" s="985">
        <v>0.6</v>
      </c>
      <c r="O11" s="981">
        <v>0.99</v>
      </c>
      <c r="P11" s="1007" t="s">
        <v>469</v>
      </c>
      <c r="Q11" s="1008"/>
    </row>
    <row r="12" spans="1:22" s="618" customFormat="1" ht="41.25" customHeight="1" x14ac:dyDescent="0.25">
      <c r="A12" s="885"/>
      <c r="B12" s="1051"/>
      <c r="C12" s="1052"/>
      <c r="D12" s="1052"/>
      <c r="E12" s="1052"/>
      <c r="F12" s="1052"/>
      <c r="G12" s="1052"/>
      <c r="H12" s="1052"/>
      <c r="I12" s="1052"/>
      <c r="J12" s="1052"/>
      <c r="K12" s="1052"/>
      <c r="L12" s="1052"/>
      <c r="M12" s="599" t="s">
        <v>176</v>
      </c>
      <c r="N12" s="984">
        <v>320</v>
      </c>
      <c r="O12" s="598">
        <v>325</v>
      </c>
      <c r="P12" s="893"/>
      <c r="Q12" s="887"/>
    </row>
    <row r="13" spans="1:22" s="618" customFormat="1" ht="28.5" customHeight="1" x14ac:dyDescent="0.25">
      <c r="A13" s="885"/>
      <c r="B13" s="1051"/>
      <c r="C13" s="1052"/>
      <c r="D13" s="1052"/>
      <c r="E13" s="1052"/>
      <c r="F13" s="1052"/>
      <c r="G13" s="1052"/>
      <c r="H13" s="1052"/>
      <c r="I13" s="1052"/>
      <c r="J13" s="1052"/>
      <c r="K13" s="1052"/>
      <c r="L13" s="1052"/>
      <c r="M13" s="599" t="s">
        <v>148</v>
      </c>
      <c r="N13" s="984">
        <v>330</v>
      </c>
      <c r="O13" s="598">
        <v>518</v>
      </c>
      <c r="P13" s="893"/>
      <c r="Q13" s="887"/>
    </row>
    <row r="14" spans="1:22" s="618" customFormat="1" ht="69" customHeight="1" thickBot="1" x14ac:dyDescent="0.3">
      <c r="A14" s="888"/>
      <c r="B14" s="1053"/>
      <c r="C14" s="1054"/>
      <c r="D14" s="1054"/>
      <c r="E14" s="1054"/>
      <c r="F14" s="1054"/>
      <c r="G14" s="1054"/>
      <c r="H14" s="1054"/>
      <c r="I14" s="1054"/>
      <c r="J14" s="1054"/>
      <c r="K14" s="1054"/>
      <c r="L14" s="1054"/>
      <c r="M14" s="896" t="s">
        <v>177</v>
      </c>
      <c r="N14" s="986">
        <v>30</v>
      </c>
      <c r="O14" s="898">
        <v>31</v>
      </c>
      <c r="P14" s="894"/>
      <c r="Q14" s="889"/>
    </row>
    <row r="15" spans="1:22" s="618" customFormat="1" ht="16.5" customHeight="1" thickBot="1" x14ac:dyDescent="0.3">
      <c r="A15" s="564" t="s">
        <v>19</v>
      </c>
      <c r="B15" s="600" t="s">
        <v>19</v>
      </c>
      <c r="C15" s="1012" t="s">
        <v>21</v>
      </c>
      <c r="D15" s="1013"/>
      <c r="E15" s="1013"/>
      <c r="F15" s="1013"/>
      <c r="G15" s="1013"/>
      <c r="H15" s="1013"/>
      <c r="I15" s="1013"/>
      <c r="J15" s="1013"/>
      <c r="K15" s="1013"/>
      <c r="L15" s="1013"/>
      <c r="M15" s="1013"/>
      <c r="N15" s="1013"/>
      <c r="O15" s="1013"/>
      <c r="P15" s="1013"/>
      <c r="Q15" s="1014"/>
    </row>
    <row r="16" spans="1:22" s="618" customFormat="1" ht="54.75" customHeight="1" x14ac:dyDescent="0.25">
      <c r="A16" s="522" t="s">
        <v>19</v>
      </c>
      <c r="B16" s="39" t="s">
        <v>19</v>
      </c>
      <c r="C16" s="601" t="s">
        <v>19</v>
      </c>
      <c r="D16" s="602"/>
      <c r="E16" s="1030" t="s">
        <v>237</v>
      </c>
      <c r="F16" s="1015" t="s">
        <v>121</v>
      </c>
      <c r="G16" s="1018">
        <v>11020306</v>
      </c>
      <c r="H16" s="1021" t="s">
        <v>24</v>
      </c>
      <c r="I16" s="336" t="s">
        <v>25</v>
      </c>
      <c r="J16" s="123">
        <v>4</v>
      </c>
      <c r="K16" s="203">
        <v>4</v>
      </c>
      <c r="L16" s="346"/>
      <c r="M16" s="605" t="s">
        <v>198</v>
      </c>
      <c r="N16" s="791">
        <v>60</v>
      </c>
      <c r="O16" s="606">
        <v>1185</v>
      </c>
      <c r="P16" s="1033" t="s">
        <v>524</v>
      </c>
      <c r="Q16" s="1034"/>
    </row>
    <row r="17" spans="1:26" s="618" customFormat="1" ht="16.5" customHeight="1" x14ac:dyDescent="0.25">
      <c r="A17" s="523"/>
      <c r="B17" s="51"/>
      <c r="C17" s="607"/>
      <c r="D17" s="608"/>
      <c r="E17" s="1031"/>
      <c r="F17" s="1016"/>
      <c r="G17" s="1019"/>
      <c r="H17" s="1022"/>
      <c r="I17" s="156" t="s">
        <v>25</v>
      </c>
      <c r="J17" s="231">
        <v>44</v>
      </c>
      <c r="K17" s="368">
        <v>44</v>
      </c>
      <c r="L17" s="879"/>
      <c r="M17" s="1024" t="s">
        <v>199</v>
      </c>
      <c r="N17" s="792">
        <v>1</v>
      </c>
      <c r="O17" s="675">
        <v>1</v>
      </c>
      <c r="P17" s="1026" t="s">
        <v>546</v>
      </c>
      <c r="Q17" s="1027"/>
      <c r="T17" s="646"/>
      <c r="W17" s="646"/>
    </row>
    <row r="18" spans="1:26" s="618" customFormat="1" ht="15.75" customHeight="1" thickBot="1" x14ac:dyDescent="0.3">
      <c r="A18" s="524"/>
      <c r="B18" s="58"/>
      <c r="C18" s="609"/>
      <c r="D18" s="610"/>
      <c r="E18" s="1032"/>
      <c r="F18" s="1017"/>
      <c r="G18" s="1020"/>
      <c r="H18" s="1023"/>
      <c r="I18" s="328" t="s">
        <v>27</v>
      </c>
      <c r="J18" s="7">
        <f>SUM(J16:J17)</f>
        <v>48</v>
      </c>
      <c r="K18" s="213">
        <f>SUM(K16:K17)</f>
        <v>48</v>
      </c>
      <c r="L18" s="331">
        <f>SUM(L16:L17)</f>
        <v>0</v>
      </c>
      <c r="M18" s="1025"/>
      <c r="N18" s="796"/>
      <c r="O18" s="616"/>
      <c r="P18" s="1028"/>
      <c r="Q18" s="1029"/>
      <c r="S18" s="646"/>
    </row>
    <row r="19" spans="1:26" s="618" customFormat="1" ht="137.25" customHeight="1" x14ac:dyDescent="0.25">
      <c r="A19" s="1078" t="s">
        <v>19</v>
      </c>
      <c r="B19" s="1081" t="s">
        <v>19</v>
      </c>
      <c r="C19" s="1084" t="s">
        <v>28</v>
      </c>
      <c r="D19" s="602"/>
      <c r="E19" s="1030" t="s">
        <v>107</v>
      </c>
      <c r="F19" s="1015"/>
      <c r="G19" s="1018">
        <v>11020307</v>
      </c>
      <c r="H19" s="1021" t="s">
        <v>24</v>
      </c>
      <c r="I19" s="41" t="s">
        <v>25</v>
      </c>
      <c r="J19" s="42">
        <v>9</v>
      </c>
      <c r="K19" s="515">
        <v>9</v>
      </c>
      <c r="L19" s="883">
        <v>8.9</v>
      </c>
      <c r="M19" s="617" t="s">
        <v>29</v>
      </c>
      <c r="N19" s="584">
        <v>20</v>
      </c>
      <c r="O19" s="591">
        <v>20</v>
      </c>
      <c r="P19" s="1098" t="s">
        <v>547</v>
      </c>
      <c r="Q19" s="1099"/>
    </row>
    <row r="20" spans="1:26" s="618" customFormat="1" ht="15.75" customHeight="1" x14ac:dyDescent="0.25">
      <c r="A20" s="1079"/>
      <c r="B20" s="1082"/>
      <c r="C20" s="1085"/>
      <c r="D20" s="608"/>
      <c r="E20" s="1031"/>
      <c r="F20" s="1016"/>
      <c r="G20" s="1019"/>
      <c r="H20" s="1022"/>
      <c r="I20" s="147" t="s">
        <v>164</v>
      </c>
      <c r="J20" s="428">
        <v>6</v>
      </c>
      <c r="K20" s="219">
        <v>6</v>
      </c>
      <c r="L20" s="232">
        <v>4.8</v>
      </c>
      <c r="M20" s="1087" t="s">
        <v>585</v>
      </c>
      <c r="N20" s="792">
        <v>300</v>
      </c>
      <c r="O20" s="675">
        <v>531</v>
      </c>
      <c r="P20" s="1026" t="s">
        <v>525</v>
      </c>
      <c r="Q20" s="1027"/>
    </row>
    <row r="21" spans="1:26" s="618" customFormat="1" ht="15.75" customHeight="1" thickBot="1" x14ac:dyDescent="0.3">
      <c r="A21" s="1080"/>
      <c r="B21" s="1083"/>
      <c r="C21" s="1085"/>
      <c r="D21" s="608"/>
      <c r="E21" s="1031"/>
      <c r="F21" s="1016"/>
      <c r="G21" s="1020"/>
      <c r="H21" s="1086"/>
      <c r="I21" s="978" t="s">
        <v>27</v>
      </c>
      <c r="J21" s="7">
        <f>SUM(J19:J20)</f>
        <v>15</v>
      </c>
      <c r="K21" s="213">
        <f>SUM(K19:K20)</f>
        <v>15</v>
      </c>
      <c r="L21" s="331">
        <f>SUM(L19:L20)</f>
        <v>13.7</v>
      </c>
      <c r="M21" s="1088"/>
      <c r="N21" s="793"/>
      <c r="O21" s="613"/>
      <c r="P21" s="1028"/>
      <c r="Q21" s="1029"/>
      <c r="T21" s="646"/>
    </row>
    <row r="22" spans="1:26" s="618" customFormat="1" ht="179.25" customHeight="1" x14ac:dyDescent="0.25">
      <c r="A22" s="1078" t="s">
        <v>19</v>
      </c>
      <c r="B22" s="1081" t="s">
        <v>19</v>
      </c>
      <c r="C22" s="1084" t="s">
        <v>30</v>
      </c>
      <c r="D22" s="602"/>
      <c r="E22" s="1030" t="s">
        <v>200</v>
      </c>
      <c r="F22" s="1015"/>
      <c r="G22" s="1018">
        <v>11020310</v>
      </c>
      <c r="H22" s="1021" t="s">
        <v>24</v>
      </c>
      <c r="I22" s="41" t="s">
        <v>25</v>
      </c>
      <c r="J22" s="42">
        <v>36</v>
      </c>
      <c r="K22" s="515">
        <v>36</v>
      </c>
      <c r="L22" s="883">
        <v>0</v>
      </c>
      <c r="M22" s="225" t="s">
        <v>179</v>
      </c>
      <c r="N22" s="791">
        <v>1100</v>
      </c>
      <c r="O22" s="606">
        <v>1300</v>
      </c>
      <c r="P22" s="1033" t="s">
        <v>548</v>
      </c>
      <c r="Q22" s="1034"/>
    </row>
    <row r="23" spans="1:26" s="618" customFormat="1" ht="61.5" customHeight="1" x14ac:dyDescent="0.25">
      <c r="A23" s="1079"/>
      <c r="B23" s="1082"/>
      <c r="C23" s="1085"/>
      <c r="D23" s="608"/>
      <c r="E23" s="1031"/>
      <c r="F23" s="1016"/>
      <c r="G23" s="1019"/>
      <c r="H23" s="1022"/>
      <c r="I23" s="336" t="s">
        <v>25</v>
      </c>
      <c r="J23" s="231">
        <v>26.3</v>
      </c>
      <c r="K23" s="368">
        <v>26.3</v>
      </c>
      <c r="L23" s="879">
        <v>23.8</v>
      </c>
      <c r="M23" s="1076" t="s">
        <v>201</v>
      </c>
      <c r="N23" s="794">
        <v>32</v>
      </c>
      <c r="O23" s="615">
        <v>23</v>
      </c>
      <c r="P23" s="1026" t="s">
        <v>549</v>
      </c>
      <c r="Q23" s="1027"/>
      <c r="T23" s="646"/>
      <c r="V23" s="646"/>
    </row>
    <row r="24" spans="1:26" s="618" customFormat="1" ht="18" customHeight="1" thickBot="1" x14ac:dyDescent="0.3">
      <c r="A24" s="1080"/>
      <c r="B24" s="1083"/>
      <c r="C24" s="1085"/>
      <c r="D24" s="608"/>
      <c r="E24" s="1031"/>
      <c r="F24" s="1016"/>
      <c r="G24" s="1020"/>
      <c r="H24" s="1086"/>
      <c r="I24" s="978" t="s">
        <v>27</v>
      </c>
      <c r="J24" s="7">
        <f>SUM(J22:J23)</f>
        <v>62.3</v>
      </c>
      <c r="K24" s="213">
        <f>SUM(K22:K23)</f>
        <v>62.3</v>
      </c>
      <c r="L24" s="331">
        <f>SUM(L22:L23)</f>
        <v>23.8</v>
      </c>
      <c r="M24" s="1077"/>
      <c r="N24" s="585"/>
      <c r="O24" s="592"/>
      <c r="P24" s="1028"/>
      <c r="Q24" s="1029"/>
    </row>
    <row r="25" spans="1:26" s="618" customFormat="1" ht="54" customHeight="1" x14ac:dyDescent="0.25">
      <c r="A25" s="1078" t="s">
        <v>19</v>
      </c>
      <c r="B25" s="1081" t="s">
        <v>19</v>
      </c>
      <c r="C25" s="1084" t="s">
        <v>55</v>
      </c>
      <c r="D25" s="602"/>
      <c r="E25" s="1030" t="s">
        <v>180</v>
      </c>
      <c r="F25" s="1015"/>
      <c r="G25" s="1018">
        <v>11020310</v>
      </c>
      <c r="H25" s="583" t="s">
        <v>24</v>
      </c>
      <c r="I25" s="160" t="s">
        <v>25</v>
      </c>
      <c r="J25" s="123">
        <v>115.4</v>
      </c>
      <c r="K25" s="203">
        <v>115.4</v>
      </c>
      <c r="L25" s="346">
        <v>114.8</v>
      </c>
      <c r="M25" s="225" t="s">
        <v>181</v>
      </c>
      <c r="N25" s="791">
        <v>10326</v>
      </c>
      <c r="O25" s="606">
        <v>9973.75</v>
      </c>
      <c r="P25" s="1033" t="s">
        <v>550</v>
      </c>
      <c r="Q25" s="1034"/>
      <c r="U25" s="646"/>
    </row>
    <row r="26" spans="1:26" s="618" customFormat="1" ht="16.5" customHeight="1" x14ac:dyDescent="0.25">
      <c r="A26" s="1079"/>
      <c r="B26" s="1082"/>
      <c r="C26" s="1085"/>
      <c r="D26" s="608"/>
      <c r="E26" s="1031"/>
      <c r="F26" s="1016"/>
      <c r="G26" s="1019"/>
      <c r="H26" s="282">
        <v>3</v>
      </c>
      <c r="I26" s="31" t="s">
        <v>25</v>
      </c>
      <c r="J26" s="109">
        <v>10.4</v>
      </c>
      <c r="K26" s="369">
        <v>10.4</v>
      </c>
      <c r="L26" s="877"/>
      <c r="M26" s="1026" t="s">
        <v>182</v>
      </c>
      <c r="N26" s="795">
        <v>88</v>
      </c>
      <c r="O26" s="707">
        <v>48</v>
      </c>
      <c r="P26" s="803"/>
      <c r="Q26" s="531"/>
    </row>
    <row r="27" spans="1:26" s="618" customFormat="1" ht="15.75" customHeight="1" thickBot="1" x14ac:dyDescent="0.3">
      <c r="A27" s="1080"/>
      <c r="B27" s="1083"/>
      <c r="C27" s="1085"/>
      <c r="D27" s="610"/>
      <c r="E27" s="1031"/>
      <c r="F27" s="1016"/>
      <c r="G27" s="1020"/>
      <c r="H27" s="708"/>
      <c r="I27" s="978" t="s">
        <v>27</v>
      </c>
      <c r="J27" s="7">
        <f t="shared" ref="J27:L27" si="0">SUM(J25:J26)</f>
        <v>125.80000000000001</v>
      </c>
      <c r="K27" s="213">
        <f t="shared" si="0"/>
        <v>125.80000000000001</v>
      </c>
      <c r="L27" s="331">
        <f t="shared" si="0"/>
        <v>114.8</v>
      </c>
      <c r="M27" s="1028"/>
      <c r="N27" s="796"/>
      <c r="O27" s="616"/>
      <c r="P27" s="804"/>
      <c r="Q27" s="799"/>
    </row>
    <row r="28" spans="1:26" s="618" customFormat="1" ht="24.75" customHeight="1" x14ac:dyDescent="0.25">
      <c r="A28" s="1078" t="s">
        <v>19</v>
      </c>
      <c r="B28" s="1081" t="s">
        <v>19</v>
      </c>
      <c r="C28" s="1084" t="s">
        <v>162</v>
      </c>
      <c r="D28" s="602"/>
      <c r="E28" s="1030" t="s">
        <v>202</v>
      </c>
      <c r="F28" s="1015"/>
      <c r="G28" s="1096">
        <v>11020310</v>
      </c>
      <c r="H28" s="1089" t="s">
        <v>24</v>
      </c>
      <c r="I28" s="160" t="s">
        <v>25</v>
      </c>
      <c r="J28" s="123">
        <v>20.9</v>
      </c>
      <c r="K28" s="203">
        <v>20.9</v>
      </c>
      <c r="L28" s="346">
        <v>20.9</v>
      </c>
      <c r="M28" s="1091" t="s">
        <v>238</v>
      </c>
      <c r="N28" s="1227">
        <v>2</v>
      </c>
      <c r="O28" s="790">
        <v>2</v>
      </c>
      <c r="P28" s="1100" t="s">
        <v>582</v>
      </c>
      <c r="Q28" s="1101"/>
      <c r="R28" s="187"/>
    </row>
    <row r="29" spans="1:26" s="618" customFormat="1" ht="15.75" customHeight="1" thickBot="1" x14ac:dyDescent="0.3">
      <c r="A29" s="1080"/>
      <c r="B29" s="1083"/>
      <c r="C29" s="1085"/>
      <c r="D29" s="610"/>
      <c r="E29" s="1031"/>
      <c r="F29" s="1016"/>
      <c r="G29" s="1097"/>
      <c r="H29" s="1090"/>
      <c r="I29" s="978" t="s">
        <v>27</v>
      </c>
      <c r="J29" s="7">
        <f>SUM(J28:J28)</f>
        <v>20.9</v>
      </c>
      <c r="K29" s="213">
        <f>SUM(K28:K28)</f>
        <v>20.9</v>
      </c>
      <c r="L29" s="331">
        <f>SUM(L28:L28)</f>
        <v>20.9</v>
      </c>
      <c r="M29" s="1077"/>
      <c r="N29" s="1228"/>
      <c r="O29" s="118"/>
      <c r="P29" s="1028"/>
      <c r="Q29" s="1029"/>
      <c r="R29" s="619"/>
    </row>
    <row r="30" spans="1:26" s="618" customFormat="1" ht="13.8" thickBot="1" x14ac:dyDescent="0.3">
      <c r="A30" s="513" t="s">
        <v>19</v>
      </c>
      <c r="B30" s="12" t="s">
        <v>19</v>
      </c>
      <c r="C30" s="1092" t="s">
        <v>33</v>
      </c>
      <c r="D30" s="1093"/>
      <c r="E30" s="1093"/>
      <c r="F30" s="1093"/>
      <c r="G30" s="1093"/>
      <c r="H30" s="1093"/>
      <c r="I30" s="1093"/>
      <c r="J30" s="388">
        <f>J21+J18+J24+J27+J29</f>
        <v>272</v>
      </c>
      <c r="K30" s="386">
        <f>K21+K18+K24+K27+K29</f>
        <v>272</v>
      </c>
      <c r="L30" s="387">
        <f>L21+L18+L24+L27+L29</f>
        <v>173.20000000000002</v>
      </c>
      <c r="M30" s="1094"/>
      <c r="N30" s="1094"/>
      <c r="O30" s="1094"/>
      <c r="P30" s="1094"/>
      <c r="Q30" s="1095"/>
    </row>
    <row r="31" spans="1:26" s="618" customFormat="1" ht="13.8" thickBot="1" x14ac:dyDescent="0.3">
      <c r="A31" s="513" t="s">
        <v>19</v>
      </c>
      <c r="B31" s="14" t="s">
        <v>28</v>
      </c>
      <c r="C31" s="1109" t="s">
        <v>34</v>
      </c>
      <c r="D31" s="1110"/>
      <c r="E31" s="1110"/>
      <c r="F31" s="1110"/>
      <c r="G31" s="1110"/>
      <c r="H31" s="1110"/>
      <c r="I31" s="1110"/>
      <c r="J31" s="1110"/>
      <c r="K31" s="1110"/>
      <c r="L31" s="1110"/>
      <c r="M31" s="1110"/>
      <c r="N31" s="1110"/>
      <c r="O31" s="1110"/>
      <c r="P31" s="1110"/>
      <c r="Q31" s="1111"/>
    </row>
    <row r="32" spans="1:26" s="618" customFormat="1" ht="29.25" customHeight="1" x14ac:dyDescent="0.25">
      <c r="A32" s="514" t="s">
        <v>19</v>
      </c>
      <c r="B32" s="566" t="s">
        <v>28</v>
      </c>
      <c r="C32" s="21" t="s">
        <v>19</v>
      </c>
      <c r="D32" s="602"/>
      <c r="E32" s="572" t="s">
        <v>35</v>
      </c>
      <c r="F32" s="709"/>
      <c r="G32" s="620"/>
      <c r="H32" s="696">
        <v>2</v>
      </c>
      <c r="I32" s="181" t="s">
        <v>36</v>
      </c>
      <c r="J32" s="446">
        <v>350.3</v>
      </c>
      <c r="K32" s="604">
        <v>350.3</v>
      </c>
      <c r="L32" s="873">
        <v>204.7</v>
      </c>
      <c r="M32" s="580" t="s">
        <v>37</v>
      </c>
      <c r="N32" s="805">
        <v>3000</v>
      </c>
      <c r="O32" s="710" t="s">
        <v>529</v>
      </c>
      <c r="P32" s="824"/>
      <c r="Q32" s="814"/>
      <c r="R32" s="711"/>
      <c r="U32" s="646"/>
      <c r="Z32" s="646"/>
    </row>
    <row r="33" spans="1:33" s="618" customFormat="1" ht="30.75" customHeight="1" x14ac:dyDescent="0.25">
      <c r="A33" s="516"/>
      <c r="B33" s="567"/>
      <c r="C33" s="21"/>
      <c r="D33" s="608"/>
      <c r="E33" s="573"/>
      <c r="F33" s="709"/>
      <c r="G33" s="621"/>
      <c r="H33" s="343"/>
      <c r="I33" s="18" t="s">
        <v>106</v>
      </c>
      <c r="J33" s="869">
        <v>65.599999999999994</v>
      </c>
      <c r="K33" s="624">
        <v>65.599999999999994</v>
      </c>
      <c r="L33" s="874">
        <v>65.599999999999994</v>
      </c>
      <c r="M33" s="625" t="s">
        <v>203</v>
      </c>
      <c r="N33" s="806">
        <v>1794</v>
      </c>
      <c r="O33" s="712">
        <v>2048</v>
      </c>
      <c r="P33" s="825"/>
      <c r="Q33" s="815"/>
      <c r="R33" s="711"/>
      <c r="U33" s="646"/>
    </row>
    <row r="34" spans="1:33" s="618" customFormat="1" ht="41.25" customHeight="1" x14ac:dyDescent="0.25">
      <c r="A34" s="516"/>
      <c r="B34" s="567"/>
      <c r="C34" s="21"/>
      <c r="D34" s="608"/>
      <c r="E34" s="573"/>
      <c r="F34" s="709"/>
      <c r="G34" s="621"/>
      <c r="H34" s="343"/>
      <c r="I34" s="953"/>
      <c r="J34" s="870"/>
      <c r="K34" s="626"/>
      <c r="L34" s="875"/>
      <c r="M34" s="625" t="s">
        <v>526</v>
      </c>
      <c r="N34" s="806" t="s">
        <v>527</v>
      </c>
      <c r="O34" s="712" t="s">
        <v>528</v>
      </c>
      <c r="P34" s="1117" t="s">
        <v>558</v>
      </c>
      <c r="Q34" s="1118"/>
      <c r="R34" s="711"/>
      <c r="U34" s="646"/>
    </row>
    <row r="35" spans="1:33" s="618" customFormat="1" ht="15.75" customHeight="1" x14ac:dyDescent="0.25">
      <c r="A35" s="516"/>
      <c r="B35" s="567"/>
      <c r="C35" s="21"/>
      <c r="D35" s="608"/>
      <c r="E35" s="573"/>
      <c r="F35" s="709"/>
      <c r="G35" s="621"/>
      <c r="H35" s="343"/>
      <c r="I35" s="31"/>
      <c r="J35" s="870"/>
      <c r="K35" s="626"/>
      <c r="L35" s="875"/>
      <c r="M35" s="625" t="s">
        <v>204</v>
      </c>
      <c r="N35" s="806">
        <v>265</v>
      </c>
      <c r="O35" s="712">
        <v>280</v>
      </c>
      <c r="P35" s="825"/>
      <c r="Q35" s="815"/>
      <c r="R35" s="711"/>
      <c r="V35" s="646"/>
      <c r="AG35" s="646"/>
    </row>
    <row r="36" spans="1:33" s="618" customFormat="1" ht="30" customHeight="1" x14ac:dyDescent="0.25">
      <c r="A36" s="516"/>
      <c r="B36" s="567"/>
      <c r="C36" s="21"/>
      <c r="D36" s="608"/>
      <c r="E36" s="573"/>
      <c r="F36" s="709"/>
      <c r="G36" s="621"/>
      <c r="H36" s="343"/>
      <c r="I36" s="31"/>
      <c r="J36" s="870"/>
      <c r="K36" s="626"/>
      <c r="L36" s="875"/>
      <c r="M36" s="627" t="s">
        <v>183</v>
      </c>
      <c r="N36" s="806">
        <v>114</v>
      </c>
      <c r="O36" s="712">
        <v>118</v>
      </c>
      <c r="P36" s="825"/>
      <c r="Q36" s="815"/>
      <c r="R36" s="711"/>
      <c r="U36" s="646"/>
    </row>
    <row r="37" spans="1:33" s="618" customFormat="1" ht="30" customHeight="1" x14ac:dyDescent="0.25">
      <c r="A37" s="516"/>
      <c r="B37" s="567"/>
      <c r="C37" s="21"/>
      <c r="D37" s="608"/>
      <c r="E37" s="573"/>
      <c r="F37" s="709"/>
      <c r="G37" s="621"/>
      <c r="H37" s="343"/>
      <c r="I37" s="31"/>
      <c r="J37" s="870"/>
      <c r="K37" s="626"/>
      <c r="L37" s="875"/>
      <c r="M37" s="627" t="s">
        <v>342</v>
      </c>
      <c r="N37" s="806">
        <v>34</v>
      </c>
      <c r="O37" s="712">
        <v>57</v>
      </c>
      <c r="P37" s="825"/>
      <c r="Q37" s="815"/>
      <c r="R37" s="711"/>
      <c r="U37" s="646"/>
    </row>
    <row r="38" spans="1:33" s="618" customFormat="1" ht="17.25" customHeight="1" x14ac:dyDescent="0.25">
      <c r="A38" s="516"/>
      <c r="B38" s="567"/>
      <c r="C38" s="21"/>
      <c r="D38" s="628" t="s">
        <v>19</v>
      </c>
      <c r="E38" s="1112" t="s">
        <v>38</v>
      </c>
      <c r="F38" s="709"/>
      <c r="G38" s="629">
        <v>11030201</v>
      </c>
      <c r="H38" s="343"/>
      <c r="I38" s="680" t="s">
        <v>25</v>
      </c>
      <c r="J38" s="622">
        <f>1661.3-71.6</f>
        <v>1589.7</v>
      </c>
      <c r="K38" s="623">
        <f>1661.3-71.6</f>
        <v>1589.7</v>
      </c>
      <c r="L38" s="876">
        <v>1589.7</v>
      </c>
      <c r="M38" s="633" t="s">
        <v>239</v>
      </c>
      <c r="N38" s="806">
        <v>812</v>
      </c>
      <c r="O38" s="712">
        <v>857</v>
      </c>
      <c r="P38" s="825"/>
      <c r="Q38" s="815"/>
      <c r="R38" s="530"/>
      <c r="S38" s="530"/>
      <c r="U38" s="646"/>
    </row>
    <row r="39" spans="1:33" s="618" customFormat="1" ht="18" customHeight="1" x14ac:dyDescent="0.25">
      <c r="A39" s="516"/>
      <c r="B39" s="567"/>
      <c r="C39" s="21"/>
      <c r="D39" s="608"/>
      <c r="E39" s="1113"/>
      <c r="F39" s="709"/>
      <c r="G39" s="621"/>
      <c r="H39" s="343"/>
      <c r="I39" s="144"/>
      <c r="J39" s="870"/>
      <c r="K39" s="626"/>
      <c r="L39" s="875"/>
      <c r="M39" s="625" t="s">
        <v>551</v>
      </c>
      <c r="N39" s="806">
        <v>12</v>
      </c>
      <c r="O39" s="712">
        <v>12</v>
      </c>
      <c r="P39" s="825"/>
      <c r="Q39" s="815"/>
      <c r="R39" s="711"/>
      <c r="U39" s="646"/>
    </row>
    <row r="40" spans="1:33" s="618" customFormat="1" ht="28.5" customHeight="1" x14ac:dyDescent="0.25">
      <c r="A40" s="516"/>
      <c r="B40" s="977"/>
      <c r="C40" s="21"/>
      <c r="D40" s="608"/>
      <c r="E40" s="976"/>
      <c r="F40" s="709"/>
      <c r="G40" s="621"/>
      <c r="H40" s="343"/>
      <c r="I40" s="144"/>
      <c r="J40" s="870"/>
      <c r="K40" s="626"/>
      <c r="L40" s="875"/>
      <c r="M40" s="577" t="s">
        <v>552</v>
      </c>
      <c r="N40" s="807">
        <v>1</v>
      </c>
      <c r="O40" s="973">
        <v>1</v>
      </c>
      <c r="P40" s="826"/>
      <c r="Q40" s="816"/>
      <c r="R40" s="711"/>
      <c r="U40" s="646"/>
    </row>
    <row r="41" spans="1:33" s="618" customFormat="1" ht="28.5" customHeight="1" x14ac:dyDescent="0.25">
      <c r="A41" s="516"/>
      <c r="B41" s="567"/>
      <c r="C41" s="21"/>
      <c r="D41" s="608"/>
      <c r="E41" s="630"/>
      <c r="F41" s="709"/>
      <c r="G41" s="621"/>
      <c r="H41" s="343"/>
      <c r="I41" s="144"/>
      <c r="J41" s="870"/>
      <c r="K41" s="626"/>
      <c r="L41" s="875"/>
      <c r="M41" s="577" t="s">
        <v>553</v>
      </c>
      <c r="N41" s="807">
        <v>1</v>
      </c>
      <c r="O41" s="973">
        <v>1</v>
      </c>
      <c r="P41" s="826"/>
      <c r="Q41" s="816"/>
      <c r="R41" s="711"/>
      <c r="U41" s="646"/>
    </row>
    <row r="42" spans="1:33" s="618" customFormat="1" ht="18" customHeight="1" x14ac:dyDescent="0.25">
      <c r="A42" s="516"/>
      <c r="B42" s="567"/>
      <c r="C42" s="21"/>
      <c r="D42" s="608"/>
      <c r="E42" s="630"/>
      <c r="F42" s="709"/>
      <c r="G42" s="621"/>
      <c r="H42" s="343"/>
      <c r="I42" s="144"/>
      <c r="J42" s="870"/>
      <c r="K42" s="626"/>
      <c r="L42" s="875"/>
      <c r="M42" s="577" t="s">
        <v>554</v>
      </c>
      <c r="N42" s="807">
        <v>1</v>
      </c>
      <c r="O42" s="973">
        <v>1</v>
      </c>
      <c r="P42" s="826"/>
      <c r="Q42" s="816"/>
      <c r="R42" s="711"/>
      <c r="U42" s="646"/>
      <c r="V42" s="646"/>
    </row>
    <row r="43" spans="1:33" s="618" customFormat="1" ht="27.75" customHeight="1" x14ac:dyDescent="0.25">
      <c r="A43" s="516"/>
      <c r="B43" s="567"/>
      <c r="C43" s="21"/>
      <c r="D43" s="608"/>
      <c r="E43" s="630"/>
      <c r="F43" s="709"/>
      <c r="G43" s="621"/>
      <c r="H43" s="343"/>
      <c r="I43" s="144"/>
      <c r="J43" s="870"/>
      <c r="K43" s="626"/>
      <c r="L43" s="875"/>
      <c r="M43" s="577" t="s">
        <v>205</v>
      </c>
      <c r="N43" s="807">
        <v>2</v>
      </c>
      <c r="O43" s="973">
        <v>2</v>
      </c>
      <c r="P43" s="1117" t="s">
        <v>530</v>
      </c>
      <c r="Q43" s="1118"/>
      <c r="R43" s="711"/>
      <c r="U43" s="646"/>
      <c r="V43" s="646"/>
    </row>
    <row r="44" spans="1:33" s="618" customFormat="1" ht="18" customHeight="1" x14ac:dyDescent="0.25">
      <c r="A44" s="516"/>
      <c r="B44" s="567"/>
      <c r="C44" s="21"/>
      <c r="D44" s="608"/>
      <c r="E44" s="630"/>
      <c r="F44" s="709"/>
      <c r="G44" s="621"/>
      <c r="H44" s="343"/>
      <c r="I44" s="144"/>
      <c r="J44" s="870"/>
      <c r="K44" s="626"/>
      <c r="L44" s="875"/>
      <c r="M44" s="625" t="s">
        <v>555</v>
      </c>
      <c r="N44" s="806">
        <v>1</v>
      </c>
      <c r="O44" s="712">
        <v>1</v>
      </c>
      <c r="P44" s="825"/>
      <c r="Q44" s="815"/>
      <c r="R44" s="711"/>
      <c r="U44" s="646"/>
      <c r="V44" s="646"/>
    </row>
    <row r="45" spans="1:33" s="618" customFormat="1" ht="18" customHeight="1" x14ac:dyDescent="0.25">
      <c r="A45" s="516"/>
      <c r="B45" s="567"/>
      <c r="C45" s="21"/>
      <c r="D45" s="608"/>
      <c r="E45" s="630"/>
      <c r="F45" s="709"/>
      <c r="G45" s="621"/>
      <c r="H45" s="343"/>
      <c r="I45" s="144"/>
      <c r="J45" s="870"/>
      <c r="K45" s="626"/>
      <c r="L45" s="875"/>
      <c r="M45" s="625" t="s">
        <v>556</v>
      </c>
      <c r="N45" s="806">
        <v>1</v>
      </c>
      <c r="O45" s="712">
        <v>1</v>
      </c>
      <c r="P45" s="825"/>
      <c r="Q45" s="815"/>
      <c r="R45" s="711"/>
      <c r="U45" s="646"/>
      <c r="V45" s="646"/>
    </row>
    <row r="46" spans="1:33" s="618" customFormat="1" ht="28.5" customHeight="1" x14ac:dyDescent="0.25">
      <c r="A46" s="516"/>
      <c r="B46" s="567"/>
      <c r="C46" s="21"/>
      <c r="D46" s="608"/>
      <c r="E46" s="630"/>
      <c r="F46" s="709"/>
      <c r="G46" s="621"/>
      <c r="H46" s="343"/>
      <c r="I46" s="144"/>
      <c r="J46" s="870"/>
      <c r="K46" s="626"/>
      <c r="L46" s="875"/>
      <c r="M46" s="625" t="s">
        <v>557</v>
      </c>
      <c r="N46" s="806">
        <v>11607</v>
      </c>
      <c r="O46" s="712">
        <v>12592</v>
      </c>
      <c r="P46" s="825"/>
      <c r="Q46" s="815"/>
      <c r="R46" s="711"/>
      <c r="U46" s="646"/>
    </row>
    <row r="47" spans="1:33" s="618" customFormat="1" ht="15.75" customHeight="1" x14ac:dyDescent="0.25">
      <c r="A47" s="516"/>
      <c r="B47" s="567"/>
      <c r="C47" s="21"/>
      <c r="D47" s="628" t="s">
        <v>28</v>
      </c>
      <c r="E47" s="1112" t="s">
        <v>39</v>
      </c>
      <c r="F47" s="709"/>
      <c r="G47" s="621">
        <v>11030301</v>
      </c>
      <c r="H47" s="343"/>
      <c r="I47" s="680" t="s">
        <v>25</v>
      </c>
      <c r="J47" s="622">
        <v>669.5</v>
      </c>
      <c r="K47" s="623">
        <v>669.5</v>
      </c>
      <c r="L47" s="876">
        <v>669.5</v>
      </c>
      <c r="M47" s="625" t="s">
        <v>239</v>
      </c>
      <c r="N47" s="806">
        <v>545</v>
      </c>
      <c r="O47" s="712">
        <v>530</v>
      </c>
      <c r="P47" s="825"/>
      <c r="Q47" s="815"/>
      <c r="R47" s="711"/>
      <c r="T47" s="646"/>
    </row>
    <row r="48" spans="1:33" s="618" customFormat="1" ht="43.5" customHeight="1" x14ac:dyDescent="0.25">
      <c r="A48" s="516"/>
      <c r="B48" s="567"/>
      <c r="C48" s="21"/>
      <c r="D48" s="608"/>
      <c r="E48" s="1113"/>
      <c r="F48" s="709"/>
      <c r="G48" s="621"/>
      <c r="H48" s="343"/>
      <c r="I48" s="144"/>
      <c r="J48" s="109"/>
      <c r="K48" s="369"/>
      <c r="L48" s="877"/>
      <c r="M48" s="627" t="s">
        <v>342</v>
      </c>
      <c r="N48" s="806">
        <v>20</v>
      </c>
      <c r="O48" s="712">
        <v>12</v>
      </c>
      <c r="P48" s="1117" t="s">
        <v>583</v>
      </c>
      <c r="Q48" s="1118"/>
      <c r="R48" s="711"/>
      <c r="T48" s="646"/>
      <c r="U48" s="646"/>
      <c r="Z48" s="646"/>
    </row>
    <row r="49" spans="1:25" s="618" customFormat="1" ht="18" customHeight="1" x14ac:dyDescent="0.25">
      <c r="A49" s="516"/>
      <c r="B49" s="567"/>
      <c r="C49" s="21"/>
      <c r="D49" s="608"/>
      <c r="E49" s="630"/>
      <c r="F49" s="709"/>
      <c r="G49" s="621"/>
      <c r="H49" s="343"/>
      <c r="I49" s="144"/>
      <c r="J49" s="109"/>
      <c r="K49" s="369"/>
      <c r="L49" s="877"/>
      <c r="M49" s="544" t="s">
        <v>584</v>
      </c>
      <c r="N49" s="808">
        <v>1</v>
      </c>
      <c r="O49" s="676">
        <v>1</v>
      </c>
      <c r="P49" s="827"/>
      <c r="Q49" s="817"/>
      <c r="R49" s="711"/>
      <c r="T49" s="646"/>
    </row>
    <row r="50" spans="1:25" s="618" customFormat="1" ht="30" customHeight="1" x14ac:dyDescent="0.25">
      <c r="A50" s="516"/>
      <c r="B50" s="567"/>
      <c r="C50" s="21"/>
      <c r="D50" s="608"/>
      <c r="E50" s="630"/>
      <c r="F50" s="709"/>
      <c r="G50" s="621"/>
      <c r="H50" s="343"/>
      <c r="I50" s="144"/>
      <c r="J50" s="109"/>
      <c r="K50" s="369"/>
      <c r="L50" s="877"/>
      <c r="M50" s="633" t="s">
        <v>559</v>
      </c>
      <c r="N50" s="809">
        <v>3</v>
      </c>
      <c r="O50" s="674">
        <v>3</v>
      </c>
      <c r="P50" s="828"/>
      <c r="Q50" s="818"/>
      <c r="R50" s="711"/>
      <c r="T50" s="646"/>
    </row>
    <row r="51" spans="1:25" s="618" customFormat="1" ht="17.25" customHeight="1" x14ac:dyDescent="0.25">
      <c r="A51" s="516"/>
      <c r="B51" s="567"/>
      <c r="C51" s="21"/>
      <c r="D51" s="628" t="s">
        <v>30</v>
      </c>
      <c r="E51" s="1112" t="s">
        <v>40</v>
      </c>
      <c r="F51" s="709"/>
      <c r="G51" s="632">
        <v>11030401</v>
      </c>
      <c r="H51" s="343"/>
      <c r="I51" s="680" t="s">
        <v>25</v>
      </c>
      <c r="J51" s="622">
        <v>471.5</v>
      </c>
      <c r="K51" s="623">
        <v>471.5</v>
      </c>
      <c r="L51" s="876">
        <v>471.5</v>
      </c>
      <c r="M51" s="625" t="s">
        <v>239</v>
      </c>
      <c r="N51" s="808">
        <v>550</v>
      </c>
      <c r="O51" s="676">
        <v>563</v>
      </c>
      <c r="P51" s="827"/>
      <c r="Q51" s="817"/>
      <c r="R51" s="711"/>
      <c r="S51" s="646"/>
      <c r="U51" s="646"/>
      <c r="V51" s="646"/>
    </row>
    <row r="52" spans="1:25" s="618" customFormat="1" ht="27.75" customHeight="1" x14ac:dyDescent="0.25">
      <c r="A52" s="516"/>
      <c r="B52" s="567"/>
      <c r="C52" s="21"/>
      <c r="D52" s="608"/>
      <c r="E52" s="1113"/>
      <c r="F52" s="709"/>
      <c r="G52" s="632"/>
      <c r="H52" s="343"/>
      <c r="I52" s="144"/>
      <c r="J52" s="109"/>
      <c r="K52" s="369"/>
      <c r="L52" s="877"/>
      <c r="M52" s="627" t="s">
        <v>342</v>
      </c>
      <c r="N52" s="808">
        <v>5</v>
      </c>
      <c r="O52" s="676">
        <v>8</v>
      </c>
      <c r="P52" s="827"/>
      <c r="Q52" s="817"/>
      <c r="R52" s="711"/>
      <c r="S52" s="646"/>
      <c r="U52" s="646"/>
      <c r="V52" s="646"/>
    </row>
    <row r="53" spans="1:25" s="618" customFormat="1" ht="29.25" customHeight="1" x14ac:dyDescent="0.25">
      <c r="A53" s="516"/>
      <c r="B53" s="567"/>
      <c r="C53" s="21"/>
      <c r="D53" s="608"/>
      <c r="E53" s="1113"/>
      <c r="F53" s="709"/>
      <c r="G53" s="632"/>
      <c r="H53" s="343"/>
      <c r="I53" s="144"/>
      <c r="J53" s="109"/>
      <c r="K53" s="369"/>
      <c r="L53" s="877"/>
      <c r="M53" s="633" t="s">
        <v>559</v>
      </c>
      <c r="N53" s="808">
        <v>1</v>
      </c>
      <c r="O53" s="676">
        <v>1</v>
      </c>
      <c r="P53" s="827"/>
      <c r="Q53" s="817"/>
      <c r="R53" s="711"/>
      <c r="S53" s="646"/>
      <c r="U53" s="646"/>
      <c r="V53" s="646"/>
    </row>
    <row r="54" spans="1:25" s="618" customFormat="1" ht="17.25" customHeight="1" x14ac:dyDescent="0.25">
      <c r="A54" s="516"/>
      <c r="B54" s="567"/>
      <c r="C54" s="21"/>
      <c r="D54" s="608"/>
      <c r="E54" s="630"/>
      <c r="F54" s="709"/>
      <c r="G54" s="632"/>
      <c r="H54" s="343"/>
      <c r="I54" s="144"/>
      <c r="J54" s="109"/>
      <c r="K54" s="369"/>
      <c r="L54" s="877"/>
      <c r="M54" s="625" t="s">
        <v>560</v>
      </c>
      <c r="N54" s="808">
        <v>1</v>
      </c>
      <c r="O54" s="676">
        <v>1</v>
      </c>
      <c r="P54" s="827"/>
      <c r="Q54" s="817"/>
      <c r="R54" s="711"/>
      <c r="S54" s="646"/>
      <c r="U54" s="646"/>
      <c r="V54" s="646"/>
    </row>
    <row r="55" spans="1:25" s="618" customFormat="1" ht="28.5" customHeight="1" x14ac:dyDescent="0.25">
      <c r="A55" s="516"/>
      <c r="B55" s="567"/>
      <c r="C55" s="21"/>
      <c r="D55" s="608"/>
      <c r="E55" s="630"/>
      <c r="F55" s="709"/>
      <c r="G55" s="632"/>
      <c r="H55" s="343"/>
      <c r="I55" s="144"/>
      <c r="J55" s="109"/>
      <c r="K55" s="369"/>
      <c r="L55" s="877"/>
      <c r="M55" s="625" t="s">
        <v>561</v>
      </c>
      <c r="N55" s="806">
        <v>6402</v>
      </c>
      <c r="O55" s="712">
        <v>6782</v>
      </c>
      <c r="P55" s="825"/>
      <c r="Q55" s="815"/>
      <c r="R55" s="711"/>
      <c r="S55" s="646"/>
      <c r="U55" s="646"/>
      <c r="V55" s="646"/>
    </row>
    <row r="56" spans="1:25" s="618" customFormat="1" ht="15.75" customHeight="1" x14ac:dyDescent="0.25">
      <c r="A56" s="516"/>
      <c r="B56" s="567"/>
      <c r="C56" s="21"/>
      <c r="D56" s="628" t="s">
        <v>55</v>
      </c>
      <c r="E56" s="1112" t="s">
        <v>41</v>
      </c>
      <c r="F56" s="709"/>
      <c r="G56" s="632">
        <v>11030501</v>
      </c>
      <c r="H56" s="343"/>
      <c r="I56" s="680" t="s">
        <v>25</v>
      </c>
      <c r="J56" s="622">
        <v>536.4</v>
      </c>
      <c r="K56" s="623">
        <v>536.4</v>
      </c>
      <c r="L56" s="876">
        <v>536.4</v>
      </c>
      <c r="M56" s="625" t="s">
        <v>239</v>
      </c>
      <c r="N56" s="979">
        <v>690</v>
      </c>
      <c r="O56" s="980">
        <v>690</v>
      </c>
      <c r="P56" s="829"/>
      <c r="Q56" s="819"/>
      <c r="R56" s="711"/>
      <c r="W56" s="646"/>
      <c r="Y56" s="646"/>
    </row>
    <row r="57" spans="1:25" s="618" customFormat="1" ht="29.25" customHeight="1" x14ac:dyDescent="0.25">
      <c r="A57" s="516"/>
      <c r="B57" s="567"/>
      <c r="C57" s="21"/>
      <c r="D57" s="608"/>
      <c r="E57" s="1113"/>
      <c r="F57" s="709"/>
      <c r="G57" s="632"/>
      <c r="H57" s="343"/>
      <c r="I57" s="144"/>
      <c r="J57" s="109"/>
      <c r="K57" s="369"/>
      <c r="L57" s="877"/>
      <c r="M57" s="627" t="s">
        <v>342</v>
      </c>
      <c r="N57" s="979">
        <v>5</v>
      </c>
      <c r="O57" s="980">
        <v>10</v>
      </c>
      <c r="P57" s="829"/>
      <c r="Q57" s="819"/>
      <c r="R57" s="711"/>
      <c r="W57" s="646"/>
      <c r="Y57" s="646"/>
    </row>
    <row r="58" spans="1:25" s="618" customFormat="1" ht="29.25" customHeight="1" x14ac:dyDescent="0.25">
      <c r="A58" s="516"/>
      <c r="B58" s="567"/>
      <c r="C58" s="21"/>
      <c r="D58" s="608"/>
      <c r="E58" s="634"/>
      <c r="F58" s="709"/>
      <c r="G58" s="632"/>
      <c r="H58" s="343"/>
      <c r="I58" s="144"/>
      <c r="J58" s="109"/>
      <c r="K58" s="369"/>
      <c r="L58" s="877"/>
      <c r="M58" s="95" t="s">
        <v>561</v>
      </c>
      <c r="N58" s="808">
        <v>6411</v>
      </c>
      <c r="O58" s="676">
        <v>3178</v>
      </c>
      <c r="P58" s="830"/>
      <c r="Q58" s="820"/>
      <c r="R58" s="711"/>
      <c r="U58" s="646"/>
      <c r="W58" s="646"/>
      <c r="Y58" s="646"/>
    </row>
    <row r="59" spans="1:25" s="618" customFormat="1" ht="15.75" customHeight="1" x14ac:dyDescent="0.25">
      <c r="A59" s="516"/>
      <c r="B59" s="567"/>
      <c r="C59" s="21"/>
      <c r="D59" s="628" t="s">
        <v>162</v>
      </c>
      <c r="E59" s="1112" t="s">
        <v>158</v>
      </c>
      <c r="F59" s="30"/>
      <c r="G59" s="632">
        <v>11030801</v>
      </c>
      <c r="H59" s="343"/>
      <c r="I59" s="680" t="s">
        <v>25</v>
      </c>
      <c r="J59" s="622">
        <v>763.3</v>
      </c>
      <c r="K59" s="623">
        <v>763.3</v>
      </c>
      <c r="L59" s="876">
        <v>762.1</v>
      </c>
      <c r="M59" s="625" t="s">
        <v>239</v>
      </c>
      <c r="N59" s="979">
        <v>320</v>
      </c>
      <c r="O59" s="980">
        <v>326</v>
      </c>
      <c r="P59" s="829"/>
      <c r="Q59" s="819"/>
      <c r="R59" s="711"/>
      <c r="S59" s="646"/>
      <c r="U59" s="646"/>
    </row>
    <row r="60" spans="1:25" s="618" customFormat="1" ht="27" customHeight="1" x14ac:dyDescent="0.25">
      <c r="A60" s="516"/>
      <c r="B60" s="567"/>
      <c r="C60" s="21"/>
      <c r="D60" s="608"/>
      <c r="E60" s="1113"/>
      <c r="F60" s="714"/>
      <c r="G60" s="629"/>
      <c r="H60" s="343"/>
      <c r="I60" s="144"/>
      <c r="J60" s="109"/>
      <c r="K60" s="369"/>
      <c r="L60" s="877"/>
      <c r="M60" s="627" t="s">
        <v>342</v>
      </c>
      <c r="N60" s="979">
        <v>4</v>
      </c>
      <c r="O60" s="980">
        <v>10</v>
      </c>
      <c r="P60" s="829"/>
      <c r="Q60" s="819"/>
      <c r="R60" s="711"/>
      <c r="S60" s="646"/>
      <c r="U60" s="646"/>
    </row>
    <row r="61" spans="1:25" s="618" customFormat="1" ht="17.25" customHeight="1" x14ac:dyDescent="0.25">
      <c r="A61" s="516"/>
      <c r="B61" s="567"/>
      <c r="C61" s="21"/>
      <c r="D61" s="608"/>
      <c r="E61" s="1113"/>
      <c r="F61" s="714"/>
      <c r="G61" s="629"/>
      <c r="H61" s="343"/>
      <c r="I61" s="144"/>
      <c r="J61" s="109"/>
      <c r="K61" s="369"/>
      <c r="L61" s="877"/>
      <c r="M61" s="625" t="s">
        <v>32</v>
      </c>
      <c r="N61" s="806">
        <v>20</v>
      </c>
      <c r="O61" s="712">
        <v>20</v>
      </c>
      <c r="P61" s="825"/>
      <c r="Q61" s="815"/>
      <c r="R61" s="711"/>
      <c r="S61" s="646"/>
      <c r="U61" s="646"/>
    </row>
    <row r="62" spans="1:25" s="618" customFormat="1" ht="16.5" customHeight="1" x14ac:dyDescent="0.25">
      <c r="A62" s="516"/>
      <c r="B62" s="567"/>
      <c r="C62" s="21"/>
      <c r="D62" s="608"/>
      <c r="E62" s="1113"/>
      <c r="F62" s="714"/>
      <c r="G62" s="629"/>
      <c r="H62" s="343"/>
      <c r="I62" s="144"/>
      <c r="J62" s="109"/>
      <c r="K62" s="369"/>
      <c r="L62" s="877"/>
      <c r="M62" s="633" t="s">
        <v>562</v>
      </c>
      <c r="N62" s="806">
        <v>1</v>
      </c>
      <c r="O62" s="712">
        <v>1</v>
      </c>
      <c r="P62" s="825"/>
      <c r="Q62" s="815"/>
      <c r="R62" s="711"/>
      <c r="S62" s="646"/>
      <c r="U62" s="646"/>
    </row>
    <row r="63" spans="1:25" s="618" customFormat="1" ht="30" customHeight="1" x14ac:dyDescent="0.25">
      <c r="A63" s="516"/>
      <c r="B63" s="567"/>
      <c r="C63" s="21"/>
      <c r="D63" s="608"/>
      <c r="E63" s="1113"/>
      <c r="F63" s="714"/>
      <c r="G63" s="629"/>
      <c r="H63" s="343"/>
      <c r="I63" s="144"/>
      <c r="J63" s="109"/>
      <c r="K63" s="369"/>
      <c r="L63" s="877"/>
      <c r="M63" s="633" t="s">
        <v>563</v>
      </c>
      <c r="N63" s="806">
        <v>1</v>
      </c>
      <c r="O63" s="712">
        <v>1</v>
      </c>
      <c r="P63" s="825"/>
      <c r="Q63" s="815"/>
      <c r="R63" s="711"/>
      <c r="S63" s="646"/>
      <c r="U63" s="646"/>
    </row>
    <row r="64" spans="1:25" s="618" customFormat="1" ht="29.25" customHeight="1" x14ac:dyDescent="0.25">
      <c r="A64" s="516"/>
      <c r="B64" s="567"/>
      <c r="C64" s="21"/>
      <c r="D64" s="608"/>
      <c r="E64" s="630"/>
      <c r="F64" s="714"/>
      <c r="G64" s="629"/>
      <c r="H64" s="343"/>
      <c r="I64" s="144"/>
      <c r="J64" s="109"/>
      <c r="K64" s="369"/>
      <c r="L64" s="877"/>
      <c r="M64" s="633" t="s">
        <v>564</v>
      </c>
      <c r="N64" s="806">
        <v>1</v>
      </c>
      <c r="O64" s="712">
        <v>1</v>
      </c>
      <c r="P64" s="825"/>
      <c r="Q64" s="815"/>
      <c r="R64" s="711"/>
      <c r="S64" s="646"/>
    </row>
    <row r="65" spans="1:25" s="618" customFormat="1" ht="15" customHeight="1" x14ac:dyDescent="0.25">
      <c r="A65" s="516"/>
      <c r="B65" s="567"/>
      <c r="C65" s="21"/>
      <c r="D65" s="608"/>
      <c r="E65" s="630"/>
      <c r="F65" s="714"/>
      <c r="G65" s="629"/>
      <c r="H65" s="343"/>
      <c r="I65" s="144"/>
      <c r="J65" s="109"/>
      <c r="K65" s="369"/>
      <c r="L65" s="877"/>
      <c r="M65" s="633" t="s">
        <v>565</v>
      </c>
      <c r="N65" s="806">
        <v>1</v>
      </c>
      <c r="O65" s="712">
        <v>1</v>
      </c>
      <c r="P65" s="825"/>
      <c r="Q65" s="815"/>
      <c r="R65" s="711"/>
      <c r="S65" s="646"/>
      <c r="U65" s="646"/>
    </row>
    <row r="66" spans="1:25" s="618" customFormat="1" ht="15" customHeight="1" x14ac:dyDescent="0.25">
      <c r="A66" s="516"/>
      <c r="B66" s="567"/>
      <c r="C66" s="21"/>
      <c r="D66" s="608"/>
      <c r="E66" s="630"/>
      <c r="F66" s="714"/>
      <c r="G66" s="629"/>
      <c r="H66" s="343"/>
      <c r="I66" s="144"/>
      <c r="J66" s="109"/>
      <c r="K66" s="369"/>
      <c r="L66" s="877"/>
      <c r="M66" s="633" t="s">
        <v>566</v>
      </c>
      <c r="N66" s="806">
        <v>2</v>
      </c>
      <c r="O66" s="712">
        <v>2</v>
      </c>
      <c r="P66" s="825"/>
      <c r="Q66" s="815"/>
      <c r="R66" s="711"/>
      <c r="S66" s="646"/>
    </row>
    <row r="67" spans="1:25" s="618" customFormat="1" ht="29.25" customHeight="1" x14ac:dyDescent="0.25">
      <c r="A67" s="516"/>
      <c r="B67" s="567"/>
      <c r="C67" s="21"/>
      <c r="D67" s="608"/>
      <c r="E67" s="630"/>
      <c r="F67" s="714"/>
      <c r="G67" s="629"/>
      <c r="H67" s="343"/>
      <c r="I67" s="144"/>
      <c r="J67" s="109"/>
      <c r="K67" s="369"/>
      <c r="L67" s="877"/>
      <c r="M67" s="551" t="s">
        <v>567</v>
      </c>
      <c r="N67" s="810">
        <v>1</v>
      </c>
      <c r="O67" s="715">
        <v>1</v>
      </c>
      <c r="P67" s="954" t="s">
        <v>531</v>
      </c>
      <c r="Q67" s="821"/>
      <c r="R67" s="711"/>
      <c r="S67" s="646"/>
      <c r="X67" s="646"/>
      <c r="Y67" s="646"/>
    </row>
    <row r="68" spans="1:25" s="618" customFormat="1" ht="15.75" customHeight="1" x14ac:dyDescent="0.25">
      <c r="A68" s="516"/>
      <c r="B68" s="567"/>
      <c r="C68" s="21"/>
      <c r="D68" s="628" t="s">
        <v>206</v>
      </c>
      <c r="E68" s="1114" t="s">
        <v>159</v>
      </c>
      <c r="F68" s="709"/>
      <c r="G68" s="637">
        <v>11020101</v>
      </c>
      <c r="H68" s="343"/>
      <c r="I68" s="680" t="s">
        <v>25</v>
      </c>
      <c r="J68" s="622">
        <f>724.6-40-27.6</f>
        <v>657</v>
      </c>
      <c r="K68" s="623">
        <f>724.6-40-27.6</f>
        <v>657</v>
      </c>
      <c r="L68" s="876">
        <v>656.1</v>
      </c>
      <c r="M68" s="633" t="s">
        <v>240</v>
      </c>
      <c r="N68" s="806">
        <v>13</v>
      </c>
      <c r="O68" s="712">
        <v>13</v>
      </c>
      <c r="P68" s="825"/>
      <c r="Q68" s="815"/>
      <c r="S68" s="646"/>
      <c r="T68" s="646"/>
      <c r="U68" s="646"/>
    </row>
    <row r="69" spans="1:25" s="618" customFormat="1" ht="15" customHeight="1" x14ac:dyDescent="0.25">
      <c r="A69" s="516"/>
      <c r="B69" s="567"/>
      <c r="C69" s="21"/>
      <c r="D69" s="608"/>
      <c r="E69" s="1031"/>
      <c r="F69" s="709"/>
      <c r="G69" s="693"/>
      <c r="H69" s="343"/>
      <c r="I69" s="144"/>
      <c r="J69" s="109"/>
      <c r="K69" s="369"/>
      <c r="L69" s="877"/>
      <c r="M69" s="636" t="s">
        <v>241</v>
      </c>
      <c r="N69" s="808">
        <v>13</v>
      </c>
      <c r="O69" s="676">
        <v>13</v>
      </c>
      <c r="P69" s="827"/>
      <c r="Q69" s="817"/>
      <c r="S69" s="646"/>
      <c r="T69" s="646"/>
    </row>
    <row r="70" spans="1:25" s="618" customFormat="1" ht="29.25" customHeight="1" x14ac:dyDescent="0.25">
      <c r="A70" s="516"/>
      <c r="B70" s="567"/>
      <c r="C70" s="21"/>
      <c r="D70" s="608"/>
      <c r="E70" s="574"/>
      <c r="F70" s="709"/>
      <c r="G70" s="693"/>
      <c r="H70" s="343"/>
      <c r="I70" s="144"/>
      <c r="J70" s="109"/>
      <c r="K70" s="369"/>
      <c r="L70" s="877"/>
      <c r="M70" s="635" t="s">
        <v>568</v>
      </c>
      <c r="N70" s="808">
        <v>1</v>
      </c>
      <c r="O70" s="676">
        <v>1</v>
      </c>
      <c r="P70" s="827"/>
      <c r="Q70" s="817"/>
      <c r="S70" s="646"/>
      <c r="T70" s="646"/>
      <c r="U70" s="646"/>
      <c r="W70" s="646"/>
    </row>
    <row r="71" spans="1:25" s="618" customFormat="1" ht="15.75" customHeight="1" x14ac:dyDescent="0.25">
      <c r="A71" s="516"/>
      <c r="B71" s="567"/>
      <c r="C71" s="21"/>
      <c r="D71" s="608"/>
      <c r="E71" s="574"/>
      <c r="F71" s="709"/>
      <c r="G71" s="693"/>
      <c r="H71" s="343"/>
      <c r="I71" s="144"/>
      <c r="J71" s="109"/>
      <c r="K71" s="369"/>
      <c r="L71" s="877"/>
      <c r="M71" s="716" t="s">
        <v>242</v>
      </c>
      <c r="N71" s="808">
        <v>1</v>
      </c>
      <c r="O71" s="676">
        <v>1</v>
      </c>
      <c r="P71" s="827"/>
      <c r="Q71" s="817"/>
      <c r="S71" s="646"/>
      <c r="T71" s="646"/>
      <c r="V71" s="646"/>
    </row>
    <row r="72" spans="1:25" s="618" customFormat="1" ht="16.5" customHeight="1" x14ac:dyDescent="0.25">
      <c r="A72" s="516"/>
      <c r="B72" s="567"/>
      <c r="C72" s="21"/>
      <c r="D72" s="608"/>
      <c r="E72" s="574"/>
      <c r="F72" s="709"/>
      <c r="G72" s="693"/>
      <c r="H72" s="343"/>
      <c r="I72" s="144"/>
      <c r="J72" s="109"/>
      <c r="K72" s="369"/>
      <c r="L72" s="877"/>
      <c r="M72" s="636" t="s">
        <v>243</v>
      </c>
      <c r="N72" s="808">
        <v>1</v>
      </c>
      <c r="O72" s="676">
        <v>1</v>
      </c>
      <c r="P72" s="827"/>
      <c r="Q72" s="817"/>
      <c r="S72" s="646"/>
      <c r="T72" s="646"/>
    </row>
    <row r="73" spans="1:25" s="618" customFormat="1" ht="15.75" customHeight="1" x14ac:dyDescent="0.25">
      <c r="A73" s="516"/>
      <c r="B73" s="567"/>
      <c r="C73" s="21"/>
      <c r="D73" s="608"/>
      <c r="E73" s="574"/>
      <c r="F73" s="709"/>
      <c r="G73" s="693"/>
      <c r="H73" s="343"/>
      <c r="I73" s="144"/>
      <c r="J73" s="109"/>
      <c r="K73" s="369"/>
      <c r="L73" s="877"/>
      <c r="M73" s="636" t="s">
        <v>244</v>
      </c>
      <c r="N73" s="808">
        <v>1</v>
      </c>
      <c r="O73" s="676">
        <v>1</v>
      </c>
      <c r="P73" s="827"/>
      <c r="Q73" s="817"/>
      <c r="S73" s="646"/>
      <c r="T73" s="646"/>
      <c r="W73" s="646"/>
    </row>
    <row r="74" spans="1:25" s="618" customFormat="1" ht="53.25" customHeight="1" x14ac:dyDescent="0.25">
      <c r="A74" s="516"/>
      <c r="B74" s="567"/>
      <c r="C74" s="52"/>
      <c r="D74" s="713" t="s">
        <v>207</v>
      </c>
      <c r="E74" s="717" t="s">
        <v>184</v>
      </c>
      <c r="F74" s="709"/>
      <c r="G74" s="621">
        <v>11020102</v>
      </c>
      <c r="H74" s="343"/>
      <c r="I74" s="156" t="s">
        <v>25</v>
      </c>
      <c r="J74" s="199">
        <v>225</v>
      </c>
      <c r="K74" s="614">
        <v>225</v>
      </c>
      <c r="L74" s="878">
        <v>211.6</v>
      </c>
      <c r="M74" s="718" t="s">
        <v>245</v>
      </c>
      <c r="N74" s="809">
        <v>4</v>
      </c>
      <c r="O74" s="674">
        <v>5</v>
      </c>
      <c r="P74" s="1119" t="s">
        <v>569</v>
      </c>
      <c r="Q74" s="1120"/>
      <c r="S74" s="646"/>
      <c r="T74" s="646"/>
    </row>
    <row r="75" spans="1:25" s="618" customFormat="1" ht="29.25" customHeight="1" x14ac:dyDescent="0.25">
      <c r="A75" s="516"/>
      <c r="B75" s="567"/>
      <c r="C75" s="21"/>
      <c r="D75" s="608" t="s">
        <v>208</v>
      </c>
      <c r="E75" s="1031" t="s">
        <v>160</v>
      </c>
      <c r="F75" s="709"/>
      <c r="G75" s="1115">
        <v>11031001</v>
      </c>
      <c r="H75" s="638"/>
      <c r="I75" s="31" t="s">
        <v>25</v>
      </c>
      <c r="J75" s="109">
        <v>10</v>
      </c>
      <c r="K75" s="369">
        <v>10</v>
      </c>
      <c r="L75" s="877">
        <v>7.9</v>
      </c>
      <c r="M75" s="639" t="s">
        <v>185</v>
      </c>
      <c r="N75" s="8">
        <v>6</v>
      </c>
      <c r="O75" s="49">
        <v>6</v>
      </c>
      <c r="P75" s="48"/>
      <c r="Q75" s="276"/>
      <c r="S75" s="646"/>
      <c r="T75" s="646"/>
      <c r="U75" s="646"/>
      <c r="V75" s="646"/>
    </row>
    <row r="76" spans="1:25" s="618" customFormat="1" ht="15.75" customHeight="1" thickBot="1" x14ac:dyDescent="0.3">
      <c r="A76" s="517"/>
      <c r="B76" s="568"/>
      <c r="C76" s="33"/>
      <c r="D76" s="610"/>
      <c r="E76" s="1032"/>
      <c r="F76" s="719"/>
      <c r="G76" s="1116"/>
      <c r="H76" s="640"/>
      <c r="I76" s="36" t="s">
        <v>27</v>
      </c>
      <c r="J76" s="80">
        <f>SUM(J32:J75)</f>
        <v>5338.3</v>
      </c>
      <c r="K76" s="211">
        <f>SUM(K32:K75)</f>
        <v>5338.3</v>
      </c>
      <c r="L76" s="240">
        <f>SUM(L32:L75)</f>
        <v>5175.1000000000004</v>
      </c>
      <c r="M76" s="641"/>
      <c r="N76" s="585"/>
      <c r="O76" s="592"/>
      <c r="P76" s="801"/>
      <c r="Q76" s="278"/>
      <c r="R76" s="711"/>
      <c r="W76" s="646"/>
    </row>
    <row r="77" spans="1:25" s="618" customFormat="1" ht="30.75" customHeight="1" x14ac:dyDescent="0.25">
      <c r="A77" s="518" t="s">
        <v>19</v>
      </c>
      <c r="B77" s="566" t="s">
        <v>28</v>
      </c>
      <c r="C77" s="16" t="s">
        <v>28</v>
      </c>
      <c r="D77" s="602"/>
      <c r="E77" s="563" t="s">
        <v>209</v>
      </c>
      <c r="F77" s="720"/>
      <c r="G77" s="721"/>
      <c r="H77" s="696" t="s">
        <v>24</v>
      </c>
      <c r="I77" s="41"/>
      <c r="J77" s="429"/>
      <c r="K77" s="205"/>
      <c r="L77" s="201"/>
      <c r="M77" s="617" t="s">
        <v>210</v>
      </c>
      <c r="N77" s="584">
        <v>100</v>
      </c>
      <c r="O77" s="591">
        <v>69</v>
      </c>
      <c r="P77" s="1033" t="s">
        <v>539</v>
      </c>
      <c r="Q77" s="1034"/>
      <c r="S77" s="646"/>
      <c r="T77" s="646"/>
    </row>
    <row r="78" spans="1:25" s="618" customFormat="1" ht="30.75" customHeight="1" x14ac:dyDescent="0.25">
      <c r="A78" s="520"/>
      <c r="B78" s="468"/>
      <c r="C78" s="722"/>
      <c r="D78" s="631" t="s">
        <v>19</v>
      </c>
      <c r="E78" s="47" t="s">
        <v>48</v>
      </c>
      <c r="F78" s="723"/>
      <c r="G78" s="724">
        <v>11030608</v>
      </c>
      <c r="H78" s="554"/>
      <c r="I78" s="336" t="s">
        <v>25</v>
      </c>
      <c r="J78" s="231">
        <v>433.4</v>
      </c>
      <c r="K78" s="368">
        <v>433.4</v>
      </c>
      <c r="L78" s="879">
        <v>433.4</v>
      </c>
      <c r="M78" s="627" t="s">
        <v>186</v>
      </c>
      <c r="N78" s="808">
        <v>210</v>
      </c>
      <c r="O78" s="676">
        <v>219</v>
      </c>
      <c r="P78" s="827"/>
      <c r="Q78" s="817"/>
      <c r="U78" s="646"/>
      <c r="V78" s="646"/>
    </row>
    <row r="79" spans="1:25" s="618" customFormat="1" ht="30" customHeight="1" x14ac:dyDescent="0.25">
      <c r="A79" s="519"/>
      <c r="B79" s="567"/>
      <c r="C79" s="21"/>
      <c r="D79" s="608" t="s">
        <v>28</v>
      </c>
      <c r="E79" s="725" t="s">
        <v>211</v>
      </c>
      <c r="F79" s="723"/>
      <c r="G79" s="726">
        <v>1102020101</v>
      </c>
      <c r="H79" s="343"/>
      <c r="I79" s="31" t="s">
        <v>25</v>
      </c>
      <c r="J79" s="109">
        <v>87.8</v>
      </c>
      <c r="K79" s="369">
        <v>87.8</v>
      </c>
      <c r="L79" s="877">
        <v>87.7</v>
      </c>
      <c r="M79" s="642" t="s">
        <v>32</v>
      </c>
      <c r="N79" s="169">
        <v>40</v>
      </c>
      <c r="O79" s="674">
        <v>29</v>
      </c>
      <c r="P79" s="1119" t="s">
        <v>540</v>
      </c>
      <c r="Q79" s="1120"/>
      <c r="S79" s="646"/>
      <c r="T79" s="646" t="s">
        <v>161</v>
      </c>
      <c r="U79" s="646"/>
      <c r="V79" s="646"/>
    </row>
    <row r="80" spans="1:25" s="618" customFormat="1" ht="30.75" customHeight="1" x14ac:dyDescent="0.25">
      <c r="A80" s="519"/>
      <c r="B80" s="567"/>
      <c r="C80" s="21"/>
      <c r="D80" s="631" t="s">
        <v>30</v>
      </c>
      <c r="E80" s="533" t="s">
        <v>212</v>
      </c>
      <c r="F80" s="723"/>
      <c r="G80" s="727"/>
      <c r="H80" s="343"/>
      <c r="I80" s="147" t="s">
        <v>25</v>
      </c>
      <c r="J80" s="231">
        <v>46</v>
      </c>
      <c r="K80" s="368">
        <v>46</v>
      </c>
      <c r="L80" s="879">
        <v>45.7</v>
      </c>
      <c r="M80" s="642" t="s">
        <v>32</v>
      </c>
      <c r="N80" s="258">
        <v>26</v>
      </c>
      <c r="O80" s="76">
        <v>26</v>
      </c>
      <c r="P80" s="1121"/>
      <c r="Q80" s="1122"/>
      <c r="S80" s="646"/>
      <c r="T80" s="646"/>
      <c r="U80" s="646"/>
      <c r="V80" s="646"/>
    </row>
    <row r="81" spans="1:29" s="618" customFormat="1" ht="69.75" customHeight="1" x14ac:dyDescent="0.25">
      <c r="A81" s="519"/>
      <c r="B81" s="567"/>
      <c r="C81" s="21"/>
      <c r="D81" s="628" t="s">
        <v>55</v>
      </c>
      <c r="E81" s="47" t="s">
        <v>213</v>
      </c>
      <c r="F81" s="728"/>
      <c r="G81" s="724">
        <v>11020204</v>
      </c>
      <c r="H81" s="343"/>
      <c r="I81" s="147" t="s">
        <v>25</v>
      </c>
      <c r="J81" s="871">
        <v>76.2</v>
      </c>
      <c r="K81" s="332">
        <v>76.2</v>
      </c>
      <c r="L81" s="333">
        <v>76.2</v>
      </c>
      <c r="M81" s="580" t="s">
        <v>214</v>
      </c>
      <c r="N81" s="258">
        <v>7</v>
      </c>
      <c r="O81" s="76">
        <v>7</v>
      </c>
      <c r="P81" s="1121" t="s">
        <v>571</v>
      </c>
      <c r="Q81" s="1122"/>
      <c r="T81" s="646"/>
      <c r="V81" s="646"/>
    </row>
    <row r="82" spans="1:29" s="618" customFormat="1" ht="15" customHeight="1" x14ac:dyDescent="0.25">
      <c r="A82" s="519"/>
      <c r="B82" s="567"/>
      <c r="C82" s="21"/>
      <c r="D82" s="628" t="s">
        <v>162</v>
      </c>
      <c r="E82" s="1102" t="s">
        <v>52</v>
      </c>
      <c r="F82" s="728"/>
      <c r="G82" s="729">
        <v>11020202</v>
      </c>
      <c r="H82" s="343"/>
      <c r="I82" s="730" t="s">
        <v>25</v>
      </c>
      <c r="J82" s="622">
        <v>27</v>
      </c>
      <c r="K82" s="623">
        <v>27</v>
      </c>
      <c r="L82" s="876">
        <v>27</v>
      </c>
      <c r="M82" s="1076" t="s">
        <v>215</v>
      </c>
      <c r="N82" s="258">
        <v>313</v>
      </c>
      <c r="O82" s="76">
        <v>318</v>
      </c>
      <c r="P82" s="1076" t="s">
        <v>570</v>
      </c>
      <c r="Q82" s="1123"/>
      <c r="T82" s="646"/>
      <c r="W82" s="646"/>
    </row>
    <row r="83" spans="1:29" s="618" customFormat="1" ht="15" customHeight="1" x14ac:dyDescent="0.25">
      <c r="A83" s="519"/>
      <c r="B83" s="567"/>
      <c r="C83" s="21"/>
      <c r="D83" s="608"/>
      <c r="E83" s="1103"/>
      <c r="F83" s="731"/>
      <c r="G83" s="732"/>
      <c r="H83" s="343"/>
      <c r="I83" s="336" t="s">
        <v>76</v>
      </c>
      <c r="J83" s="231">
        <v>18.600000000000001</v>
      </c>
      <c r="K83" s="368">
        <v>18.600000000000001</v>
      </c>
      <c r="L83" s="879">
        <v>18.600000000000001</v>
      </c>
      <c r="M83" s="1104"/>
      <c r="N83" s="811"/>
      <c r="O83" s="733"/>
      <c r="P83" s="1104"/>
      <c r="Q83" s="1124"/>
      <c r="U83" s="618" t="s">
        <v>161</v>
      </c>
    </row>
    <row r="84" spans="1:29" s="618" customFormat="1" ht="15" customHeight="1" thickBot="1" x14ac:dyDescent="0.3">
      <c r="A84" s="521"/>
      <c r="B84" s="568"/>
      <c r="C84" s="33"/>
      <c r="D84" s="610"/>
      <c r="E84" s="578"/>
      <c r="F84" s="734"/>
      <c r="G84" s="735"/>
      <c r="H84" s="699"/>
      <c r="I84" s="978" t="s">
        <v>27</v>
      </c>
      <c r="J84" s="131">
        <f>SUM(J78:J83)</f>
        <v>689</v>
      </c>
      <c r="K84" s="197">
        <f>SUM(K78:K83)</f>
        <v>689</v>
      </c>
      <c r="L84" s="194">
        <f>SUM(L78:L83)</f>
        <v>688.60000000000014</v>
      </c>
      <c r="M84" s="612"/>
      <c r="N84" s="585"/>
      <c r="O84" s="592"/>
      <c r="P84" s="1077"/>
      <c r="Q84" s="1125"/>
      <c r="T84" s="646"/>
      <c r="U84" s="646"/>
    </row>
    <row r="85" spans="1:29" s="618" customFormat="1" ht="27" customHeight="1" x14ac:dyDescent="0.25">
      <c r="A85" s="522" t="s">
        <v>19</v>
      </c>
      <c r="B85" s="566" t="s">
        <v>28</v>
      </c>
      <c r="C85" s="569" t="s">
        <v>30</v>
      </c>
      <c r="D85" s="602"/>
      <c r="E85" s="1105" t="s">
        <v>216</v>
      </c>
      <c r="F85" s="345"/>
      <c r="G85" s="1107">
        <v>11020205</v>
      </c>
      <c r="H85" s="696" t="s">
        <v>24</v>
      </c>
      <c r="I85" s="160" t="s">
        <v>25</v>
      </c>
      <c r="J85" s="872">
        <v>581.1</v>
      </c>
      <c r="K85" s="206">
        <v>581.1</v>
      </c>
      <c r="L85" s="880">
        <v>581.1</v>
      </c>
      <c r="M85" s="1091" t="s">
        <v>217</v>
      </c>
      <c r="N85" s="812">
        <v>2.9</v>
      </c>
      <c r="O85" s="736">
        <v>3.1</v>
      </c>
      <c r="P85" s="1126" t="s">
        <v>533</v>
      </c>
      <c r="Q85" s="1127"/>
    </row>
    <row r="86" spans="1:29" s="618" customFormat="1" ht="15.75" customHeight="1" thickBot="1" x14ac:dyDescent="0.3">
      <c r="A86" s="524"/>
      <c r="B86" s="568"/>
      <c r="C86" s="571"/>
      <c r="D86" s="610"/>
      <c r="E86" s="1106"/>
      <c r="F86" s="347"/>
      <c r="G86" s="1108"/>
      <c r="H86" s="699"/>
      <c r="I86" s="974" t="s">
        <v>27</v>
      </c>
      <c r="J86" s="131">
        <f t="shared" ref="J86:L86" si="1">+J85</f>
        <v>581.1</v>
      </c>
      <c r="K86" s="197">
        <f t="shared" si="1"/>
        <v>581.1</v>
      </c>
      <c r="L86" s="194">
        <f t="shared" si="1"/>
        <v>581.1</v>
      </c>
      <c r="M86" s="1077"/>
      <c r="N86" s="585"/>
      <c r="O86" s="592"/>
      <c r="P86" s="1128"/>
      <c r="Q86" s="1129"/>
    </row>
    <row r="87" spans="1:29" s="618" customFormat="1" ht="17.25" customHeight="1" x14ac:dyDescent="0.25">
      <c r="A87" s="523" t="s">
        <v>19</v>
      </c>
      <c r="B87" s="567" t="s">
        <v>28</v>
      </c>
      <c r="C87" s="570" t="s">
        <v>55</v>
      </c>
      <c r="D87" s="608"/>
      <c r="E87" s="1030" t="s">
        <v>218</v>
      </c>
      <c r="F87" s="737"/>
      <c r="G87" s="1134">
        <v>11020406</v>
      </c>
      <c r="H87" s="696">
        <v>2</v>
      </c>
      <c r="I87" s="160" t="s">
        <v>25</v>
      </c>
      <c r="J87" s="114">
        <f>156.5-63.5</f>
        <v>93</v>
      </c>
      <c r="K87" s="247">
        <f>156.5-63.5</f>
        <v>93</v>
      </c>
      <c r="L87" s="248">
        <v>93</v>
      </c>
      <c r="M87" s="1091" t="s">
        <v>56</v>
      </c>
      <c r="N87" s="794">
        <v>2019</v>
      </c>
      <c r="O87" s="615" t="s">
        <v>532</v>
      </c>
      <c r="P87" s="802"/>
      <c r="Q87" s="798"/>
      <c r="R87" s="619"/>
      <c r="V87" s="644"/>
      <c r="W87" s="619"/>
      <c r="AC87" s="646"/>
    </row>
    <row r="88" spans="1:29" s="618" customFormat="1" ht="15.75" customHeight="1" thickBot="1" x14ac:dyDescent="0.3">
      <c r="A88" s="523"/>
      <c r="B88" s="567"/>
      <c r="C88" s="570"/>
      <c r="D88" s="608"/>
      <c r="E88" s="1031"/>
      <c r="F88" s="738"/>
      <c r="G88" s="1135"/>
      <c r="H88" s="699"/>
      <c r="I88" s="978" t="s">
        <v>27</v>
      </c>
      <c r="J88" s="344">
        <f>+J87</f>
        <v>93</v>
      </c>
      <c r="K88" s="198">
        <f>+K87</f>
        <v>93</v>
      </c>
      <c r="L88" s="195">
        <f>+L87</f>
        <v>93</v>
      </c>
      <c r="M88" s="1077"/>
      <c r="N88" s="794"/>
      <c r="O88" s="615"/>
      <c r="P88" s="802"/>
      <c r="Q88" s="798"/>
      <c r="V88" s="644"/>
      <c r="W88" s="619"/>
    </row>
    <row r="89" spans="1:29" s="618" customFormat="1" ht="18" customHeight="1" x14ac:dyDescent="0.25">
      <c r="A89" s="522" t="s">
        <v>19</v>
      </c>
      <c r="B89" s="566" t="s">
        <v>28</v>
      </c>
      <c r="C89" s="569" t="s">
        <v>162</v>
      </c>
      <c r="D89" s="602"/>
      <c r="E89" s="1105" t="s">
        <v>219</v>
      </c>
      <c r="F89" s="345"/>
      <c r="G89" s="1130">
        <v>11020205</v>
      </c>
      <c r="H89" s="696" t="s">
        <v>24</v>
      </c>
      <c r="I89" s="160" t="s">
        <v>25</v>
      </c>
      <c r="J89" s="62">
        <v>4</v>
      </c>
      <c r="K89" s="206">
        <v>4</v>
      </c>
      <c r="L89" s="214">
        <v>4</v>
      </c>
      <c r="M89" s="645" t="s">
        <v>220</v>
      </c>
      <c r="N89" s="791">
        <v>18</v>
      </c>
      <c r="O89" s="606">
        <v>17</v>
      </c>
      <c r="P89" s="1100" t="s">
        <v>534</v>
      </c>
      <c r="Q89" s="1101"/>
      <c r="R89" s="619"/>
      <c r="T89" s="646"/>
      <c r="W89" s="619"/>
    </row>
    <row r="90" spans="1:29" s="618" customFormat="1" ht="15.75" customHeight="1" thickBot="1" x14ac:dyDescent="0.3">
      <c r="A90" s="524"/>
      <c r="B90" s="568"/>
      <c r="C90" s="571"/>
      <c r="D90" s="610"/>
      <c r="E90" s="1106"/>
      <c r="F90" s="347"/>
      <c r="G90" s="1131"/>
      <c r="H90" s="699"/>
      <c r="I90" s="974" t="s">
        <v>27</v>
      </c>
      <c r="J90" s="131">
        <f>+J89</f>
        <v>4</v>
      </c>
      <c r="K90" s="197">
        <f>+K89</f>
        <v>4</v>
      </c>
      <c r="L90" s="194">
        <f>+L89</f>
        <v>4</v>
      </c>
      <c r="M90" s="647" t="s">
        <v>221</v>
      </c>
      <c r="N90" s="813">
        <v>115</v>
      </c>
      <c r="O90" s="739">
        <v>115</v>
      </c>
      <c r="P90" s="1028"/>
      <c r="Q90" s="1029"/>
      <c r="W90" s="619"/>
    </row>
    <row r="91" spans="1:29" s="618" customFormat="1" ht="27" customHeight="1" x14ac:dyDescent="0.25">
      <c r="A91" s="522" t="s">
        <v>19</v>
      </c>
      <c r="B91" s="566" t="s">
        <v>28</v>
      </c>
      <c r="C91" s="569" t="s">
        <v>206</v>
      </c>
      <c r="D91" s="602"/>
      <c r="E91" s="1105" t="s">
        <v>163</v>
      </c>
      <c r="F91" s="345"/>
      <c r="G91" s="1130">
        <v>11020205</v>
      </c>
      <c r="H91" s="696">
        <v>1</v>
      </c>
      <c r="I91" s="160" t="s">
        <v>25</v>
      </c>
      <c r="J91" s="85">
        <v>12.6</v>
      </c>
      <c r="K91" s="208">
        <v>12.6</v>
      </c>
      <c r="L91" s="881">
        <v>12.6</v>
      </c>
      <c r="M91" s="648" t="s">
        <v>222</v>
      </c>
      <c r="N91" s="586">
        <v>100</v>
      </c>
      <c r="O91" s="588">
        <v>100</v>
      </c>
      <c r="P91" s="831"/>
      <c r="Q91" s="823"/>
      <c r="R91" s="619"/>
      <c r="W91" s="619"/>
    </row>
    <row r="92" spans="1:29" s="618" customFormat="1" ht="18" customHeight="1" thickBot="1" x14ac:dyDescent="0.3">
      <c r="A92" s="524"/>
      <c r="B92" s="568"/>
      <c r="C92" s="571"/>
      <c r="D92" s="610"/>
      <c r="E92" s="1106"/>
      <c r="F92" s="347"/>
      <c r="G92" s="1131"/>
      <c r="H92" s="699"/>
      <c r="I92" s="974" t="s">
        <v>27</v>
      </c>
      <c r="J92" s="7">
        <f>+J91</f>
        <v>12.6</v>
      </c>
      <c r="K92" s="213">
        <f>+K91</f>
        <v>12.6</v>
      </c>
      <c r="L92" s="331">
        <f>+L91</f>
        <v>12.6</v>
      </c>
      <c r="M92" s="641"/>
      <c r="N92" s="796"/>
      <c r="O92" s="616"/>
      <c r="P92" s="804"/>
      <c r="Q92" s="799"/>
      <c r="W92" s="619"/>
    </row>
    <row r="93" spans="1:29" s="618" customFormat="1" ht="15.75" customHeight="1" x14ac:dyDescent="0.25">
      <c r="A93" s="522" t="s">
        <v>19</v>
      </c>
      <c r="B93" s="566" t="s">
        <v>28</v>
      </c>
      <c r="C93" s="569" t="s">
        <v>207</v>
      </c>
      <c r="D93" s="608"/>
      <c r="E93" s="1102" t="s">
        <v>187</v>
      </c>
      <c r="F93" s="740"/>
      <c r="G93" s="1132">
        <v>11020406</v>
      </c>
      <c r="H93" s="741">
        <v>2</v>
      </c>
      <c r="I93" s="147" t="s">
        <v>164</v>
      </c>
      <c r="J93" s="440">
        <v>17.7</v>
      </c>
      <c r="K93" s="366">
        <v>17.7</v>
      </c>
      <c r="L93" s="233">
        <v>17.7</v>
      </c>
      <c r="M93" s="1076" t="s">
        <v>188</v>
      </c>
      <c r="N93" s="258">
        <v>2</v>
      </c>
      <c r="O93" s="76">
        <v>2</v>
      </c>
      <c r="P93" s="86"/>
      <c r="Q93" s="822"/>
    </row>
    <row r="94" spans="1:29" s="618" customFormat="1" ht="15.75" customHeight="1" thickBot="1" x14ac:dyDescent="0.3">
      <c r="A94" s="524"/>
      <c r="B94" s="568"/>
      <c r="C94" s="571"/>
      <c r="D94" s="610"/>
      <c r="E94" s="1106"/>
      <c r="F94" s="347"/>
      <c r="G94" s="1133"/>
      <c r="H94" s="699"/>
      <c r="I94" s="978" t="s">
        <v>27</v>
      </c>
      <c r="J94" s="131">
        <f>SUM(J93:J93)</f>
        <v>17.7</v>
      </c>
      <c r="K94" s="197">
        <f>SUM(K93:K93)</f>
        <v>17.7</v>
      </c>
      <c r="L94" s="194">
        <f>SUM(L93:L93)</f>
        <v>17.7</v>
      </c>
      <c r="M94" s="1077"/>
      <c r="N94" s="585"/>
      <c r="O94" s="592"/>
      <c r="P94" s="801"/>
      <c r="Q94" s="278"/>
    </row>
    <row r="95" spans="1:29" s="618" customFormat="1" ht="13.8" thickBot="1" x14ac:dyDescent="0.3">
      <c r="A95" s="565" t="s">
        <v>19</v>
      </c>
      <c r="B95" s="568" t="s">
        <v>28</v>
      </c>
      <c r="C95" s="1142" t="s">
        <v>33</v>
      </c>
      <c r="D95" s="1142"/>
      <c r="E95" s="1142"/>
      <c r="F95" s="1142"/>
      <c r="G95" s="1142"/>
      <c r="H95" s="1142"/>
      <c r="I95" s="1142"/>
      <c r="J95" s="868">
        <f>+J94+J86+J84+J76+J88+J90+J92</f>
        <v>6735.7000000000007</v>
      </c>
      <c r="K95" s="438">
        <f>+K94+K86+K84+K76+K88+K90+K92</f>
        <v>6735.7000000000007</v>
      </c>
      <c r="L95" s="882">
        <f>+L94+L86+L84+L76+L88+L90+L92</f>
        <v>6572.1</v>
      </c>
      <c r="M95" s="1143"/>
      <c r="N95" s="1144"/>
      <c r="O95" s="1144"/>
      <c r="P95" s="1144"/>
      <c r="Q95" s="1145"/>
      <c r="U95" s="646"/>
    </row>
    <row r="96" spans="1:29" s="618" customFormat="1" ht="15.75" customHeight="1" thickBot="1" x14ac:dyDescent="0.3">
      <c r="A96" s="525" t="s">
        <v>19</v>
      </c>
      <c r="B96" s="70" t="s">
        <v>30</v>
      </c>
      <c r="C96" s="1110" t="s">
        <v>57</v>
      </c>
      <c r="D96" s="1110"/>
      <c r="E96" s="1110"/>
      <c r="F96" s="1110"/>
      <c r="G96" s="1146"/>
      <c r="H96" s="1146"/>
      <c r="I96" s="1146"/>
      <c r="J96" s="1146"/>
      <c r="K96" s="1146"/>
      <c r="L96" s="1146"/>
      <c r="M96" s="1110"/>
      <c r="N96" s="1110"/>
      <c r="O96" s="1110"/>
      <c r="P96" s="1110"/>
      <c r="Q96" s="1111"/>
      <c r="U96" s="646"/>
    </row>
    <row r="97" spans="1:24" s="618" customFormat="1" ht="27" customHeight="1" x14ac:dyDescent="0.25">
      <c r="A97" s="518" t="s">
        <v>19</v>
      </c>
      <c r="B97" s="1081" t="s">
        <v>30</v>
      </c>
      <c r="C97" s="1147" t="s">
        <v>19</v>
      </c>
      <c r="D97" s="967"/>
      <c r="E97" s="1149" t="s">
        <v>223</v>
      </c>
      <c r="F97" s="649"/>
      <c r="G97" s="650"/>
      <c r="H97" s="651">
        <v>2</v>
      </c>
      <c r="I97" s="964" t="s">
        <v>25</v>
      </c>
      <c r="J97" s="85">
        <v>16.600000000000001</v>
      </c>
      <c r="K97" s="208">
        <v>16.600000000000001</v>
      </c>
      <c r="L97" s="881">
        <v>0</v>
      </c>
      <c r="M97" s="968" t="s">
        <v>586</v>
      </c>
      <c r="N97" s="969">
        <v>1</v>
      </c>
      <c r="O97" s="991">
        <v>0.5</v>
      </c>
      <c r="P97" s="1247" t="s">
        <v>536</v>
      </c>
      <c r="Q97" s="1248"/>
      <c r="R97" s="619"/>
    </row>
    <row r="98" spans="1:24" s="618" customFormat="1" ht="16.5" customHeight="1" thickBot="1" x14ac:dyDescent="0.3">
      <c r="A98" s="521"/>
      <c r="B98" s="1083"/>
      <c r="C98" s="1148"/>
      <c r="D98" s="967"/>
      <c r="E98" s="1150"/>
      <c r="F98" s="653"/>
      <c r="G98" s="654"/>
      <c r="H98" s="655"/>
      <c r="I98" s="978" t="s">
        <v>27</v>
      </c>
      <c r="J98" s="80">
        <f>+J97</f>
        <v>16.600000000000001</v>
      </c>
      <c r="K98" s="211">
        <f>+K97</f>
        <v>16.600000000000001</v>
      </c>
      <c r="L98" s="240">
        <f>+L97</f>
        <v>0</v>
      </c>
      <c r="M98" s="970"/>
      <c r="N98" s="971"/>
      <c r="O98" s="972"/>
      <c r="P98" s="1249"/>
      <c r="Q98" s="1250"/>
      <c r="R98" s="619"/>
    </row>
    <row r="99" spans="1:24" s="618" customFormat="1" ht="15.75" customHeight="1" x14ac:dyDescent="0.25">
      <c r="A99" s="527" t="s">
        <v>19</v>
      </c>
      <c r="B99" s="470" t="s">
        <v>30</v>
      </c>
      <c r="C99" s="71" t="s">
        <v>28</v>
      </c>
      <c r="D99" s="656"/>
      <c r="E99" s="1164" t="s">
        <v>68</v>
      </c>
      <c r="F99" s="742"/>
      <c r="G99" s="657"/>
      <c r="H99" s="658"/>
      <c r="I99" s="659"/>
      <c r="J99" s="85"/>
      <c r="K99" s="208"/>
      <c r="L99" s="881"/>
      <c r="M99" s="72"/>
      <c r="N99" s="845"/>
      <c r="O99" s="660"/>
      <c r="P99" s="838"/>
      <c r="Q99" s="832"/>
      <c r="S99" s="646"/>
      <c r="T99" s="646"/>
    </row>
    <row r="100" spans="1:24" s="618" customFormat="1" ht="15.75" customHeight="1" x14ac:dyDescent="0.25">
      <c r="A100" s="526"/>
      <c r="B100" s="469"/>
      <c r="C100" s="562"/>
      <c r="D100" s="672"/>
      <c r="E100" s="1139"/>
      <c r="F100" s="743"/>
      <c r="G100" s="661"/>
      <c r="H100" s="662"/>
      <c r="I100" s="744"/>
      <c r="J100" s="117"/>
      <c r="K100" s="212"/>
      <c r="L100" s="955"/>
      <c r="M100" s="663"/>
      <c r="N100" s="846"/>
      <c r="O100" s="664"/>
      <c r="P100" s="839"/>
      <c r="Q100" s="833"/>
      <c r="S100" s="646"/>
      <c r="T100" s="646"/>
    </row>
    <row r="101" spans="1:24" s="618" customFormat="1" ht="29.25" customHeight="1" x14ac:dyDescent="0.25">
      <c r="A101" s="523"/>
      <c r="B101" s="567"/>
      <c r="C101" s="562"/>
      <c r="D101" s="666" t="s">
        <v>19</v>
      </c>
      <c r="E101" s="581" t="s">
        <v>189</v>
      </c>
      <c r="F101" s="745" t="s">
        <v>60</v>
      </c>
      <c r="G101" s="1132">
        <v>1101012101</v>
      </c>
      <c r="H101" s="354">
        <v>5</v>
      </c>
      <c r="I101" s="746"/>
      <c r="J101" s="440"/>
      <c r="K101" s="366"/>
      <c r="L101" s="233"/>
      <c r="M101" s="625"/>
      <c r="N101" s="808"/>
      <c r="O101" s="676"/>
      <c r="P101" s="827"/>
      <c r="Q101" s="817"/>
      <c r="R101" s="747"/>
      <c r="S101" s="187"/>
      <c r="T101" s="748"/>
      <c r="U101" s="667"/>
      <c r="V101" s="668"/>
      <c r="W101" s="748"/>
      <c r="X101" s="748"/>
    </row>
    <row r="102" spans="1:24" s="618" customFormat="1" ht="13.5" customHeight="1" x14ac:dyDescent="0.25">
      <c r="A102" s="523"/>
      <c r="B102" s="567"/>
      <c r="C102" s="562"/>
      <c r="D102" s="672"/>
      <c r="E102" s="749" t="s">
        <v>190</v>
      </c>
      <c r="F102" s="1166" t="s">
        <v>74</v>
      </c>
      <c r="G102" s="1165"/>
      <c r="H102" s="136"/>
      <c r="I102" s="750" t="s">
        <v>25</v>
      </c>
      <c r="J102" s="440">
        <v>2.8</v>
      </c>
      <c r="K102" s="366">
        <v>2.8</v>
      </c>
      <c r="L102" s="233">
        <v>0</v>
      </c>
      <c r="M102" s="576" t="s">
        <v>70</v>
      </c>
      <c r="N102" s="794">
        <v>25</v>
      </c>
      <c r="O102" s="615">
        <v>29</v>
      </c>
      <c r="P102" s="1026" t="s">
        <v>572</v>
      </c>
      <c r="Q102" s="1027"/>
      <c r="S102" s="751"/>
      <c r="T102" s="669"/>
      <c r="U102" s="670"/>
      <c r="V102" s="671"/>
      <c r="W102" s="748"/>
      <c r="X102" s="748"/>
    </row>
    <row r="103" spans="1:24" s="618" customFormat="1" ht="13.5" customHeight="1" x14ac:dyDescent="0.25">
      <c r="A103" s="523"/>
      <c r="B103" s="567"/>
      <c r="C103" s="562"/>
      <c r="D103" s="672"/>
      <c r="E103" s="374"/>
      <c r="F103" s="1167"/>
      <c r="G103" s="1165"/>
      <c r="H103" s="136"/>
      <c r="I103" s="750" t="s">
        <v>164</v>
      </c>
      <c r="J103" s="440">
        <v>896.2</v>
      </c>
      <c r="K103" s="366">
        <v>200.4</v>
      </c>
      <c r="L103" s="233">
        <v>5.2</v>
      </c>
      <c r="M103" s="582"/>
      <c r="N103" s="794"/>
      <c r="O103" s="615"/>
      <c r="P103" s="1151"/>
      <c r="Q103" s="1152"/>
      <c r="R103" s="752"/>
      <c r="S103" s="752"/>
      <c r="T103" s="752"/>
      <c r="U103" s="670"/>
      <c r="V103" s="671"/>
      <c r="W103" s="748"/>
      <c r="X103" s="748"/>
    </row>
    <row r="104" spans="1:24" s="618" customFormat="1" ht="13.5" customHeight="1" x14ac:dyDescent="0.25">
      <c r="A104" s="523"/>
      <c r="B104" s="567"/>
      <c r="C104" s="562"/>
      <c r="D104" s="672"/>
      <c r="E104" s="374"/>
      <c r="F104" s="1167"/>
      <c r="G104" s="753"/>
      <c r="H104" s="136"/>
      <c r="I104" s="665" t="s">
        <v>63</v>
      </c>
      <c r="J104" s="440">
        <v>51.5</v>
      </c>
      <c r="K104" s="366">
        <v>51.5</v>
      </c>
      <c r="L104" s="233">
        <v>22.5</v>
      </c>
      <c r="M104" s="582"/>
      <c r="N104" s="794"/>
      <c r="O104" s="615"/>
      <c r="P104" s="1151"/>
      <c r="Q104" s="1152"/>
      <c r="R104" s="752"/>
      <c r="S104" s="752"/>
      <c r="T104" s="752"/>
      <c r="U104" s="754"/>
      <c r="V104" s="668"/>
      <c r="W104" s="748"/>
      <c r="X104" s="748"/>
    </row>
    <row r="105" spans="1:24" s="618" customFormat="1" ht="13.5" customHeight="1" x14ac:dyDescent="0.25">
      <c r="A105" s="523"/>
      <c r="B105" s="567"/>
      <c r="C105" s="562"/>
      <c r="D105" s="672"/>
      <c r="E105" s="374"/>
      <c r="F105" s="1167"/>
      <c r="G105" s="755"/>
      <c r="H105" s="136"/>
      <c r="I105" s="750" t="s">
        <v>165</v>
      </c>
      <c r="J105" s="440">
        <v>583.20000000000005</v>
      </c>
      <c r="K105" s="366">
        <v>583.20000000000005</v>
      </c>
      <c r="L105" s="233">
        <v>254.8</v>
      </c>
      <c r="M105" s="582"/>
      <c r="N105" s="794"/>
      <c r="O105" s="615"/>
      <c r="P105" s="1151"/>
      <c r="Q105" s="1152"/>
      <c r="R105" s="752"/>
      <c r="S105" s="752"/>
      <c r="T105" s="752"/>
      <c r="U105" s="667"/>
      <c r="V105" s="668"/>
      <c r="W105" s="748"/>
      <c r="X105" s="748"/>
    </row>
    <row r="106" spans="1:24" s="618" customFormat="1" ht="13.5" customHeight="1" x14ac:dyDescent="0.25">
      <c r="A106" s="523"/>
      <c r="B106" s="567"/>
      <c r="C106" s="562"/>
      <c r="D106" s="672"/>
      <c r="E106" s="374"/>
      <c r="F106" s="756"/>
      <c r="G106" s="757"/>
      <c r="H106" s="136"/>
      <c r="I106" s="750" t="s">
        <v>69</v>
      </c>
      <c r="J106" s="440">
        <v>1010.6</v>
      </c>
      <c r="K106" s="366">
        <v>1001.8</v>
      </c>
      <c r="L106" s="233">
        <v>1001.7</v>
      </c>
      <c r="M106" s="582"/>
      <c r="N106" s="794"/>
      <c r="O106" s="615"/>
      <c r="P106" s="1153"/>
      <c r="Q106" s="1154"/>
      <c r="R106" s="752"/>
      <c r="S106" s="752"/>
      <c r="T106" s="752"/>
      <c r="U106" s="667"/>
      <c r="V106" s="668"/>
      <c r="W106" s="748"/>
      <c r="X106" s="748"/>
    </row>
    <row r="107" spans="1:24" s="618" customFormat="1" ht="14.25" customHeight="1" x14ac:dyDescent="0.25">
      <c r="A107" s="523"/>
      <c r="B107" s="567"/>
      <c r="C107" s="562"/>
      <c r="D107" s="672"/>
      <c r="E107" s="749" t="s">
        <v>246</v>
      </c>
      <c r="F107" s="756"/>
      <c r="G107" s="757"/>
      <c r="H107" s="136"/>
      <c r="I107" s="750" t="s">
        <v>69</v>
      </c>
      <c r="J107" s="440">
        <f>1993.2-200</f>
        <v>1793.2</v>
      </c>
      <c r="K107" s="366">
        <v>1802</v>
      </c>
      <c r="L107" s="233">
        <v>1802</v>
      </c>
      <c r="M107" s="576" t="s">
        <v>70</v>
      </c>
      <c r="N107" s="792">
        <v>55</v>
      </c>
      <c r="O107" s="675">
        <v>65</v>
      </c>
      <c r="P107" s="1026" t="s">
        <v>573</v>
      </c>
      <c r="Q107" s="1027"/>
      <c r="S107" s="751"/>
      <c r="T107" s="669"/>
      <c r="U107" s="670"/>
      <c r="V107" s="671"/>
      <c r="W107" s="748"/>
      <c r="X107" s="748"/>
    </row>
    <row r="108" spans="1:24" s="618" customFormat="1" ht="14.25" customHeight="1" x14ac:dyDescent="0.25">
      <c r="A108" s="523"/>
      <c r="B108" s="567"/>
      <c r="C108" s="562"/>
      <c r="D108" s="672"/>
      <c r="E108" s="376"/>
      <c r="F108" s="756"/>
      <c r="G108" s="757"/>
      <c r="H108" s="136"/>
      <c r="I108" s="750" t="s">
        <v>164</v>
      </c>
      <c r="J108" s="440"/>
      <c r="K108" s="366">
        <v>695.8</v>
      </c>
      <c r="L108" s="233">
        <v>695.8</v>
      </c>
      <c r="M108" s="582"/>
      <c r="N108" s="794"/>
      <c r="O108" s="615"/>
      <c r="P108" s="1153"/>
      <c r="Q108" s="1154"/>
      <c r="S108" s="751"/>
      <c r="T108" s="669"/>
      <c r="U108" s="670"/>
      <c r="V108" s="671"/>
      <c r="W108" s="748"/>
      <c r="X108" s="748"/>
    </row>
    <row r="109" spans="1:24" s="618" customFormat="1" ht="15.75" customHeight="1" x14ac:dyDescent="0.25">
      <c r="A109" s="523"/>
      <c r="B109" s="567"/>
      <c r="C109" s="562"/>
      <c r="D109" s="1136" t="s">
        <v>28</v>
      </c>
      <c r="E109" s="1138" t="s">
        <v>247</v>
      </c>
      <c r="F109" s="1140" t="s">
        <v>60</v>
      </c>
      <c r="G109" s="758">
        <v>11010116</v>
      </c>
      <c r="H109" s="1161">
        <v>5</v>
      </c>
      <c r="I109" s="746" t="s">
        <v>25</v>
      </c>
      <c r="J109" s="864">
        <v>484.3</v>
      </c>
      <c r="K109" s="673">
        <v>484.3</v>
      </c>
      <c r="L109" s="956">
        <v>215.8</v>
      </c>
      <c r="M109" s="1024" t="s">
        <v>79</v>
      </c>
      <c r="N109" s="792">
        <v>60</v>
      </c>
      <c r="O109" s="675">
        <v>99</v>
      </c>
      <c r="P109" s="1026" t="s">
        <v>543</v>
      </c>
      <c r="Q109" s="1027"/>
      <c r="R109" s="747"/>
      <c r="S109" s="187"/>
      <c r="T109" s="748"/>
      <c r="U109" s="187"/>
      <c r="V109" s="748"/>
      <c r="W109" s="187"/>
      <c r="X109" s="187"/>
    </row>
    <row r="110" spans="1:24" s="618" customFormat="1" ht="15.75" customHeight="1" x14ac:dyDescent="0.25">
      <c r="A110" s="523"/>
      <c r="B110" s="567"/>
      <c r="C110" s="562"/>
      <c r="D110" s="1137"/>
      <c r="E110" s="1139"/>
      <c r="F110" s="1141"/>
      <c r="G110" s="759"/>
      <c r="H110" s="1162"/>
      <c r="I110" s="746" t="s">
        <v>164</v>
      </c>
      <c r="J110" s="865">
        <v>1044.8</v>
      </c>
      <c r="K110" s="961">
        <v>1044.8</v>
      </c>
      <c r="L110" s="957">
        <v>1044.8</v>
      </c>
      <c r="M110" s="1163"/>
      <c r="N110" s="794"/>
      <c r="O110" s="615"/>
      <c r="P110" s="1151"/>
      <c r="Q110" s="1152"/>
      <c r="R110" s="747"/>
      <c r="S110" s="187"/>
      <c r="T110" s="748"/>
      <c r="U110" s="187"/>
      <c r="V110" s="748"/>
      <c r="W110" s="187"/>
      <c r="X110" s="187"/>
    </row>
    <row r="111" spans="1:24" s="618" customFormat="1" ht="57.75" customHeight="1" x14ac:dyDescent="0.25">
      <c r="A111" s="523"/>
      <c r="B111" s="567"/>
      <c r="C111" s="562"/>
      <c r="D111" s="760" t="s">
        <v>30</v>
      </c>
      <c r="E111" s="533" t="s">
        <v>224</v>
      </c>
      <c r="F111" s="761"/>
      <c r="G111" s="762"/>
      <c r="H111" s="763">
        <v>2</v>
      </c>
      <c r="I111" s="750" t="s">
        <v>25</v>
      </c>
      <c r="J111" s="864">
        <v>14.6</v>
      </c>
      <c r="K111" s="673">
        <v>14.6</v>
      </c>
      <c r="L111" s="956">
        <v>8.5</v>
      </c>
      <c r="M111" s="576" t="s">
        <v>225</v>
      </c>
      <c r="N111" s="792">
        <v>2</v>
      </c>
      <c r="O111" s="675">
        <v>2</v>
      </c>
      <c r="P111" s="800"/>
      <c r="Q111" s="797"/>
      <c r="R111" s="747"/>
      <c r="S111" s="187"/>
      <c r="T111" s="748"/>
      <c r="U111" s="187"/>
      <c r="V111" s="748"/>
      <c r="W111" s="187"/>
      <c r="X111" s="187"/>
    </row>
    <row r="112" spans="1:24" s="618" customFormat="1" ht="17.25" customHeight="1" x14ac:dyDescent="0.25">
      <c r="A112" s="523"/>
      <c r="B112" s="567"/>
      <c r="C112" s="562"/>
      <c r="D112" s="760" t="s">
        <v>55</v>
      </c>
      <c r="E112" s="1102" t="s">
        <v>226</v>
      </c>
      <c r="F112" s="761"/>
      <c r="G112" s="762"/>
      <c r="H112" s="763">
        <v>1</v>
      </c>
      <c r="I112" s="750" t="s">
        <v>25</v>
      </c>
      <c r="J112" s="866">
        <v>100</v>
      </c>
      <c r="K112" s="962">
        <v>100</v>
      </c>
      <c r="L112" s="958">
        <v>100</v>
      </c>
      <c r="M112" s="1024" t="s">
        <v>227</v>
      </c>
      <c r="N112" s="792">
        <v>100</v>
      </c>
      <c r="O112" s="675">
        <v>100</v>
      </c>
      <c r="P112" s="800"/>
      <c r="Q112" s="797"/>
      <c r="R112" s="747"/>
      <c r="S112" s="187"/>
      <c r="T112" s="748"/>
      <c r="U112" s="187"/>
      <c r="V112" s="748"/>
      <c r="W112" s="187"/>
      <c r="X112" s="187"/>
    </row>
    <row r="113" spans="1:33" s="618" customFormat="1" ht="13.5" customHeight="1" thickBot="1" x14ac:dyDescent="0.3">
      <c r="A113" s="764"/>
      <c r="B113" s="765"/>
      <c r="C113" s="155"/>
      <c r="D113" s="155"/>
      <c r="E113" s="1106"/>
      <c r="F113" s="267"/>
      <c r="G113" s="766"/>
      <c r="H113" s="767"/>
      <c r="I113" s="884" t="s">
        <v>27</v>
      </c>
      <c r="J113" s="80">
        <f>SUM(J101:J112)</f>
        <v>5981.2000000000007</v>
      </c>
      <c r="K113" s="211">
        <f>SUM(K101:K112)</f>
        <v>5981.2000000000007</v>
      </c>
      <c r="L113" s="240">
        <f>SUM(L101:L112)</f>
        <v>5151.1000000000004</v>
      </c>
      <c r="M113" s="1025"/>
      <c r="N113" s="796"/>
      <c r="O113" s="616"/>
      <c r="P113" s="804"/>
      <c r="Q113" s="799"/>
      <c r="R113" s="619"/>
      <c r="S113" s="619"/>
      <c r="T113" s="768"/>
    </row>
    <row r="114" spans="1:33" s="618" customFormat="1" ht="43.5" customHeight="1" x14ac:dyDescent="0.25">
      <c r="A114" s="527" t="s">
        <v>19</v>
      </c>
      <c r="B114" s="470" t="s">
        <v>30</v>
      </c>
      <c r="C114" s="987" t="s">
        <v>30</v>
      </c>
      <c r="D114" s="769"/>
      <c r="E114" s="545" t="s">
        <v>87</v>
      </c>
      <c r="F114" s="677"/>
      <c r="G114" s="678"/>
      <c r="H114" s="679"/>
      <c r="I114" s="160" t="s">
        <v>25</v>
      </c>
      <c r="J114" s="447"/>
      <c r="K114" s="385"/>
      <c r="L114" s="373"/>
      <c r="M114" s="225"/>
      <c r="N114" s="264"/>
      <c r="O114" s="115"/>
      <c r="P114" s="840"/>
      <c r="Q114" s="834"/>
      <c r="U114" s="646"/>
      <c r="V114" s="646"/>
      <c r="Z114" s="646"/>
    </row>
    <row r="115" spans="1:33" s="618" customFormat="1" ht="29.25" customHeight="1" x14ac:dyDescent="0.25">
      <c r="A115" s="526"/>
      <c r="B115" s="469"/>
      <c r="C115" s="562"/>
      <c r="D115" s="672" t="s">
        <v>19</v>
      </c>
      <c r="E115" s="1243" t="s">
        <v>166</v>
      </c>
      <c r="F115" s="546"/>
      <c r="G115" s="1019">
        <v>11010130</v>
      </c>
      <c r="H115" s="965">
        <v>2</v>
      </c>
      <c r="I115" s="144" t="s">
        <v>25</v>
      </c>
      <c r="J115" s="199">
        <v>5</v>
      </c>
      <c r="K115" s="614">
        <v>5</v>
      </c>
      <c r="L115" s="878">
        <v>5</v>
      </c>
      <c r="M115" s="543" t="s">
        <v>575</v>
      </c>
      <c r="N115" s="794">
        <v>100</v>
      </c>
      <c r="O115" s="615">
        <v>100</v>
      </c>
      <c r="P115" s="802"/>
      <c r="Q115" s="798"/>
      <c r="R115" s="530"/>
      <c r="T115" s="528"/>
    </row>
    <row r="116" spans="1:33" s="618" customFormat="1" ht="27.75" customHeight="1" x14ac:dyDescent="0.25">
      <c r="A116" s="519"/>
      <c r="B116" s="567"/>
      <c r="C116" s="550"/>
      <c r="D116" s="683"/>
      <c r="E116" s="1243"/>
      <c r="F116" s="770"/>
      <c r="G116" s="1019"/>
      <c r="H116" s="548"/>
      <c r="I116" s="966" t="s">
        <v>25</v>
      </c>
      <c r="J116" s="231">
        <v>1.4</v>
      </c>
      <c r="K116" s="368">
        <v>1.4</v>
      </c>
      <c r="L116" s="879">
        <v>1.4</v>
      </c>
      <c r="M116" s="633" t="s">
        <v>576</v>
      </c>
      <c r="N116" s="808">
        <v>100</v>
      </c>
      <c r="O116" s="676">
        <v>100</v>
      </c>
      <c r="P116" s="827"/>
      <c r="Q116" s="817"/>
      <c r="R116" s="590"/>
      <c r="S116" s="529"/>
      <c r="T116" s="646"/>
      <c r="U116" s="646"/>
      <c r="AG116" s="646"/>
    </row>
    <row r="117" spans="1:33" s="618" customFormat="1" ht="43.5" customHeight="1" x14ac:dyDescent="0.25">
      <c r="A117" s="519"/>
      <c r="B117" s="567"/>
      <c r="C117" s="550"/>
      <c r="D117" s="683"/>
      <c r="E117" s="547"/>
      <c r="F117" s="770"/>
      <c r="G117" s="682"/>
      <c r="H117" s="548"/>
      <c r="I117" s="146" t="s">
        <v>25</v>
      </c>
      <c r="J117" s="199">
        <v>6</v>
      </c>
      <c r="K117" s="614">
        <v>6</v>
      </c>
      <c r="L117" s="878">
        <v>6</v>
      </c>
      <c r="M117" s="544" t="s">
        <v>574</v>
      </c>
      <c r="N117" s="809">
        <v>3</v>
      </c>
      <c r="O117" s="674">
        <v>3</v>
      </c>
      <c r="P117" s="828"/>
      <c r="Q117" s="818"/>
      <c r="R117" s="590"/>
      <c r="T117" s="528"/>
      <c r="V117" s="646"/>
    </row>
    <row r="118" spans="1:33" s="618" customFormat="1" ht="43.5" customHeight="1" x14ac:dyDescent="0.25">
      <c r="A118" s="519"/>
      <c r="B118" s="567"/>
      <c r="C118" s="550"/>
      <c r="D118" s="683"/>
      <c r="E118" s="547"/>
      <c r="F118" s="770"/>
      <c r="G118" s="682"/>
      <c r="H118" s="548"/>
      <c r="I118" s="144" t="s">
        <v>25</v>
      </c>
      <c r="J118" s="199">
        <v>29</v>
      </c>
      <c r="K118" s="614">
        <v>29</v>
      </c>
      <c r="L118" s="878">
        <v>29</v>
      </c>
      <c r="M118" s="543" t="s">
        <v>577</v>
      </c>
      <c r="N118" s="794">
        <v>100</v>
      </c>
      <c r="O118" s="615">
        <v>100</v>
      </c>
      <c r="P118" s="802"/>
      <c r="Q118" s="798"/>
      <c r="R118" s="590"/>
      <c r="T118" s="528"/>
      <c r="V118" s="646"/>
      <c r="X118" s="646"/>
    </row>
    <row r="119" spans="1:33" s="618" customFormat="1" ht="43.5" customHeight="1" x14ac:dyDescent="0.25">
      <c r="A119" s="519"/>
      <c r="B119" s="567"/>
      <c r="C119" s="550"/>
      <c r="D119" s="683"/>
      <c r="E119" s="547"/>
      <c r="F119" s="770"/>
      <c r="G119" s="682"/>
      <c r="H119" s="548"/>
      <c r="I119" s="966" t="s">
        <v>25</v>
      </c>
      <c r="J119" s="231">
        <v>54.6</v>
      </c>
      <c r="K119" s="368">
        <v>54.6</v>
      </c>
      <c r="L119" s="879">
        <v>54.6</v>
      </c>
      <c r="M119" s="633" t="s">
        <v>248</v>
      </c>
      <c r="N119" s="808">
        <v>100</v>
      </c>
      <c r="O119" s="676">
        <v>100</v>
      </c>
      <c r="P119" s="827"/>
      <c r="Q119" s="817"/>
      <c r="R119" s="590"/>
      <c r="T119" s="528"/>
      <c r="V119" s="646"/>
    </row>
    <row r="120" spans="1:33" s="618" customFormat="1" ht="42" customHeight="1" x14ac:dyDescent="0.25">
      <c r="A120" s="519"/>
      <c r="B120" s="567"/>
      <c r="C120" s="550"/>
      <c r="D120" s="683"/>
      <c r="E120" s="547"/>
      <c r="F120" s="770"/>
      <c r="G120" s="682"/>
      <c r="H120" s="548"/>
      <c r="I120" s="966" t="s">
        <v>25</v>
      </c>
      <c r="J120" s="622">
        <v>42.9</v>
      </c>
      <c r="K120" s="623">
        <v>42.9</v>
      </c>
      <c r="L120" s="876">
        <v>42.9</v>
      </c>
      <c r="M120" s="551" t="s">
        <v>249</v>
      </c>
      <c r="N120" s="792">
        <v>100</v>
      </c>
      <c r="O120" s="675">
        <v>100</v>
      </c>
      <c r="P120" s="800"/>
      <c r="Q120" s="797"/>
      <c r="R120" s="590"/>
      <c r="T120" s="528"/>
      <c r="V120" s="646"/>
    </row>
    <row r="121" spans="1:33" s="618" customFormat="1" ht="42.75" customHeight="1" x14ac:dyDescent="0.25">
      <c r="A121" s="519"/>
      <c r="B121" s="567"/>
      <c r="C121" s="550"/>
      <c r="D121" s="683"/>
      <c r="E121" s="993"/>
      <c r="F121" s="770"/>
      <c r="G121" s="682"/>
      <c r="H121" s="548"/>
      <c r="I121" s="680" t="s">
        <v>164</v>
      </c>
      <c r="J121" s="622">
        <v>35</v>
      </c>
      <c r="K121" s="623">
        <v>35</v>
      </c>
      <c r="L121" s="876">
        <v>35</v>
      </c>
      <c r="M121" s="551" t="s">
        <v>250</v>
      </c>
      <c r="N121" s="792">
        <v>100</v>
      </c>
      <c r="O121" s="675">
        <v>30</v>
      </c>
      <c r="P121" s="1119" t="s">
        <v>538</v>
      </c>
      <c r="Q121" s="1120"/>
      <c r="R121" s="992"/>
      <c r="T121" s="528"/>
      <c r="V121" s="646"/>
    </row>
    <row r="122" spans="1:33" s="618" customFormat="1" ht="18" customHeight="1" x14ac:dyDescent="0.25">
      <c r="A122" s="519"/>
      <c r="B122" s="567"/>
      <c r="C122" s="550"/>
      <c r="D122" s="683"/>
      <c r="E122" s="993"/>
      <c r="F122" s="771"/>
      <c r="G122" s="682"/>
      <c r="H122" s="688" t="s">
        <v>251</v>
      </c>
      <c r="I122" s="772" t="s">
        <v>25</v>
      </c>
      <c r="J122" s="428">
        <v>60.6</v>
      </c>
      <c r="K122" s="219">
        <v>60.6</v>
      </c>
      <c r="L122" s="876">
        <v>52.6</v>
      </c>
      <c r="M122" s="1087" t="s">
        <v>252</v>
      </c>
      <c r="N122" s="258">
        <v>100</v>
      </c>
      <c r="O122" s="76">
        <v>100</v>
      </c>
      <c r="P122" s="86"/>
      <c r="Q122" s="822"/>
      <c r="R122" s="590"/>
      <c r="T122" s="528"/>
      <c r="V122" s="646"/>
      <c r="W122" s="646"/>
    </row>
    <row r="123" spans="1:33" s="618" customFormat="1" ht="14.25" customHeight="1" x14ac:dyDescent="0.25">
      <c r="A123" s="519"/>
      <c r="B123" s="567"/>
      <c r="C123" s="550"/>
      <c r="D123" s="681"/>
      <c r="E123" s="993"/>
      <c r="F123" s="770"/>
      <c r="G123" s="682"/>
      <c r="H123" s="550"/>
      <c r="I123" s="151" t="s">
        <v>27</v>
      </c>
      <c r="J123" s="10">
        <f>SUM(J115:J122)</f>
        <v>234.5</v>
      </c>
      <c r="K123" s="963">
        <f>SUM(K115:K122)</f>
        <v>234.5</v>
      </c>
      <c r="L123" s="959">
        <f>SUM(L115:L122)</f>
        <v>226.5</v>
      </c>
      <c r="M123" s="1170"/>
      <c r="N123" s="847"/>
      <c r="O123" s="643"/>
      <c r="P123" s="841"/>
      <c r="Q123" s="835"/>
      <c r="R123" s="590"/>
      <c r="S123" s="529"/>
      <c r="T123" s="646"/>
      <c r="U123" s="646"/>
    </row>
    <row r="124" spans="1:33" s="618" customFormat="1" ht="29.25" customHeight="1" x14ac:dyDescent="0.25">
      <c r="A124" s="519"/>
      <c r="B124" s="567"/>
      <c r="C124" s="550"/>
      <c r="D124" s="683" t="s">
        <v>28</v>
      </c>
      <c r="E124" s="1155" t="s">
        <v>192</v>
      </c>
      <c r="F124" s="773"/>
      <c r="G124" s="1157" t="s">
        <v>228</v>
      </c>
      <c r="H124" s="684" t="s">
        <v>24</v>
      </c>
      <c r="I124" s="966" t="s">
        <v>25</v>
      </c>
      <c r="J124" s="231">
        <v>2.4</v>
      </c>
      <c r="K124" s="368">
        <v>2.4</v>
      </c>
      <c r="L124" s="1168">
        <v>9.3000000000000007</v>
      </c>
      <c r="M124" s="685" t="s">
        <v>588</v>
      </c>
      <c r="N124" s="808">
        <v>100</v>
      </c>
      <c r="O124" s="676">
        <v>100</v>
      </c>
      <c r="P124" s="827"/>
      <c r="Q124" s="817"/>
      <c r="R124" s="590"/>
      <c r="S124" s="529"/>
      <c r="T124" s="646"/>
      <c r="U124" s="646"/>
      <c r="V124" s="646"/>
    </row>
    <row r="125" spans="1:33" s="618" customFormat="1" ht="16.5" customHeight="1" x14ac:dyDescent="0.25">
      <c r="A125" s="519"/>
      <c r="B125" s="567"/>
      <c r="C125" s="550"/>
      <c r="D125" s="683"/>
      <c r="E125" s="1156"/>
      <c r="F125" s="770"/>
      <c r="G125" s="1158"/>
      <c r="H125" s="550"/>
      <c r="I125" s="966" t="s">
        <v>25</v>
      </c>
      <c r="J125" s="231">
        <v>7</v>
      </c>
      <c r="K125" s="368">
        <v>7</v>
      </c>
      <c r="L125" s="1169"/>
      <c r="M125" s="1159" t="s">
        <v>587</v>
      </c>
      <c r="N125" s="792">
        <v>100</v>
      </c>
      <c r="O125" s="675">
        <v>100</v>
      </c>
      <c r="P125" s="800"/>
      <c r="Q125" s="797"/>
      <c r="R125" s="590"/>
      <c r="S125" s="529"/>
      <c r="T125" s="646"/>
      <c r="U125" s="646"/>
      <c r="V125" s="646"/>
      <c r="W125" s="646"/>
    </row>
    <row r="126" spans="1:33" s="618" customFormat="1" ht="14.25" customHeight="1" x14ac:dyDescent="0.25">
      <c r="A126" s="519"/>
      <c r="B126" s="567"/>
      <c r="C126" s="550"/>
      <c r="D126" s="683"/>
      <c r="E126" s="993"/>
      <c r="F126" s="774"/>
      <c r="G126" s="689"/>
      <c r="H126" s="690"/>
      <c r="I126" s="154" t="s">
        <v>27</v>
      </c>
      <c r="J126" s="445">
        <f>SUM(J124:J125)</f>
        <v>9.4</v>
      </c>
      <c r="K126" s="380">
        <f>SUM(K124:K125)</f>
        <v>9.4</v>
      </c>
      <c r="L126" s="381">
        <f>SUM(L124:L125)</f>
        <v>9.3000000000000007</v>
      </c>
      <c r="M126" s="1160"/>
      <c r="N126" s="809"/>
      <c r="O126" s="674"/>
      <c r="P126" s="828"/>
      <c r="Q126" s="818"/>
      <c r="R126" s="532"/>
      <c r="S126" s="646"/>
      <c r="T126" s="646"/>
      <c r="V126" s="646"/>
      <c r="W126" s="646"/>
    </row>
    <row r="127" spans="1:33" s="618" customFormat="1" ht="28.5" customHeight="1" x14ac:dyDescent="0.25">
      <c r="A127" s="523"/>
      <c r="B127" s="567"/>
      <c r="C127" s="550"/>
      <c r="D127" s="686" t="s">
        <v>30</v>
      </c>
      <c r="E127" s="1155" t="s">
        <v>229</v>
      </c>
      <c r="F127" s="773"/>
      <c r="G127" s="687"/>
      <c r="H127" s="688" t="s">
        <v>24</v>
      </c>
      <c r="I127" s="146" t="s">
        <v>25</v>
      </c>
      <c r="J127" s="231">
        <v>100</v>
      </c>
      <c r="K127" s="368">
        <v>100</v>
      </c>
      <c r="L127" s="879">
        <v>100</v>
      </c>
      <c r="M127" s="1026" t="s">
        <v>230</v>
      </c>
      <c r="N127" s="848">
        <v>50</v>
      </c>
      <c r="O127" s="549">
        <v>50</v>
      </c>
      <c r="P127" s="1026" t="s">
        <v>535</v>
      </c>
      <c r="Q127" s="1027"/>
      <c r="R127" s="992"/>
      <c r="S127" s="646"/>
      <c r="T127" s="646"/>
      <c r="V127" s="646"/>
      <c r="W127" s="646"/>
    </row>
    <row r="128" spans="1:33" s="618" customFormat="1" ht="14.25" customHeight="1" x14ac:dyDescent="0.25">
      <c r="A128" s="523"/>
      <c r="B128" s="567"/>
      <c r="C128" s="550"/>
      <c r="D128" s="681"/>
      <c r="E128" s="1174"/>
      <c r="F128" s="774"/>
      <c r="G128" s="689"/>
      <c r="H128" s="690"/>
      <c r="I128" s="555" t="s">
        <v>27</v>
      </c>
      <c r="J128" s="445">
        <f>SUM(J127)</f>
        <v>100</v>
      </c>
      <c r="K128" s="380">
        <f>SUM(K127)</f>
        <v>100</v>
      </c>
      <c r="L128" s="381">
        <f>SUM(L127)</f>
        <v>100</v>
      </c>
      <c r="M128" s="1153"/>
      <c r="N128" s="795"/>
      <c r="O128" s="707"/>
      <c r="P128" s="1153"/>
      <c r="Q128" s="1154"/>
      <c r="R128" s="532"/>
      <c r="S128" s="646"/>
      <c r="T128" s="646"/>
      <c r="V128" s="646"/>
      <c r="W128" s="646"/>
    </row>
    <row r="129" spans="1:23" s="618" customFormat="1" ht="15" customHeight="1" x14ac:dyDescent="0.25">
      <c r="A129" s="523"/>
      <c r="B129" s="567"/>
      <c r="C129" s="562"/>
      <c r="D129" s="672" t="s">
        <v>55</v>
      </c>
      <c r="E129" s="551" t="s">
        <v>167</v>
      </c>
      <c r="F129" s="691"/>
      <c r="G129" s="1175">
        <v>11010100</v>
      </c>
      <c r="H129" s="552">
        <v>6</v>
      </c>
      <c r="I129" s="149" t="s">
        <v>25</v>
      </c>
      <c r="J129" s="867">
        <v>153.1</v>
      </c>
      <c r="K129" s="692">
        <v>153.1</v>
      </c>
      <c r="L129" s="960">
        <v>133.1</v>
      </c>
      <c r="M129" s="534" t="s">
        <v>168</v>
      </c>
      <c r="N129" s="849">
        <v>6</v>
      </c>
      <c r="O129" s="553">
        <v>6</v>
      </c>
      <c r="P129" s="842"/>
      <c r="Q129" s="836"/>
      <c r="R129" s="532"/>
      <c r="S129" s="646"/>
      <c r="W129" s="646"/>
    </row>
    <row r="130" spans="1:23" s="618" customFormat="1" ht="15" customHeight="1" x14ac:dyDescent="0.25">
      <c r="A130" s="523"/>
      <c r="B130" s="567"/>
      <c r="C130" s="562"/>
      <c r="D130" s="672"/>
      <c r="E130" s="543"/>
      <c r="F130" s="535"/>
      <c r="G130" s="1115"/>
      <c r="H130" s="542"/>
      <c r="I130" s="149" t="s">
        <v>164</v>
      </c>
      <c r="J130" s="867">
        <v>28.7</v>
      </c>
      <c r="K130" s="692">
        <v>28.7</v>
      </c>
      <c r="L130" s="960">
        <v>28.7</v>
      </c>
      <c r="M130" s="534"/>
      <c r="N130" s="9"/>
      <c r="O130" s="554"/>
      <c r="P130" s="843"/>
      <c r="Q130" s="28"/>
      <c r="R130" s="532"/>
      <c r="S130" s="646"/>
      <c r="W130" s="646"/>
    </row>
    <row r="131" spans="1:23" s="618" customFormat="1" ht="15" customHeight="1" x14ac:dyDescent="0.25">
      <c r="A131" s="523"/>
      <c r="B131" s="567"/>
      <c r="C131" s="562"/>
      <c r="D131" s="672"/>
      <c r="E131" s="543"/>
      <c r="F131" s="536"/>
      <c r="G131" s="1176"/>
      <c r="H131" s="775"/>
      <c r="I131" s="555" t="s">
        <v>27</v>
      </c>
      <c r="J131" s="90">
        <f>SUM(J129:J130)</f>
        <v>181.79999999999998</v>
      </c>
      <c r="K131" s="209">
        <f>SUM(K129:K130)</f>
        <v>181.79999999999998</v>
      </c>
      <c r="L131" s="177">
        <f>SUM(L129:L130)</f>
        <v>161.79999999999998</v>
      </c>
      <c r="M131" s="534"/>
      <c r="N131" s="9"/>
      <c r="O131" s="554"/>
      <c r="P131" s="843"/>
      <c r="Q131" s="28"/>
      <c r="R131" s="590"/>
    </row>
    <row r="132" spans="1:23" s="618" customFormat="1" ht="13.5" customHeight="1" thickBot="1" x14ac:dyDescent="0.3">
      <c r="A132" s="519"/>
      <c r="B132" s="567"/>
      <c r="C132" s="550"/>
      <c r="D132" s="683"/>
      <c r="E132" s="988"/>
      <c r="F132" s="1244" t="s">
        <v>85</v>
      </c>
      <c r="G132" s="1245"/>
      <c r="H132" s="1245"/>
      <c r="I132" s="1246"/>
      <c r="J132" s="131">
        <f>+J131+J126+J123+J128</f>
        <v>525.70000000000005</v>
      </c>
      <c r="K132" s="197">
        <f>+K131+K126+K123+K128</f>
        <v>525.70000000000005</v>
      </c>
      <c r="L132" s="194">
        <f>+L131+L126+L123+L128</f>
        <v>497.6</v>
      </c>
      <c r="M132" s="694"/>
      <c r="N132" s="587"/>
      <c r="O132" s="589"/>
      <c r="P132" s="844"/>
      <c r="Q132" s="837"/>
      <c r="R132" s="776"/>
    </row>
    <row r="133" spans="1:23" s="618" customFormat="1" ht="28.5" customHeight="1" x14ac:dyDescent="0.25">
      <c r="A133" s="518" t="s">
        <v>19</v>
      </c>
      <c r="B133" s="1081" t="s">
        <v>30</v>
      </c>
      <c r="C133" s="1147" t="s">
        <v>55</v>
      </c>
      <c r="D133" s="695"/>
      <c r="E133" s="1177" t="s">
        <v>191</v>
      </c>
      <c r="F133" s="1179"/>
      <c r="G133" s="1018">
        <v>11020404</v>
      </c>
      <c r="H133" s="1238">
        <v>1</v>
      </c>
      <c r="I133" s="697" t="s">
        <v>164</v>
      </c>
      <c r="J133" s="109">
        <v>321.7</v>
      </c>
      <c r="K133" s="369">
        <v>321.7</v>
      </c>
      <c r="L133" s="877">
        <v>202</v>
      </c>
      <c r="M133" s="1100" t="s">
        <v>111</v>
      </c>
      <c r="N133" s="989">
        <v>100</v>
      </c>
      <c r="O133" s="990">
        <v>75</v>
      </c>
      <c r="P133" s="1100" t="s">
        <v>578</v>
      </c>
      <c r="Q133" s="1101"/>
      <c r="R133" s="992"/>
    </row>
    <row r="134" spans="1:23" s="618" customFormat="1" ht="15.75" customHeight="1" thickBot="1" x14ac:dyDescent="0.3">
      <c r="A134" s="521"/>
      <c r="B134" s="1083"/>
      <c r="C134" s="1148"/>
      <c r="D134" s="698"/>
      <c r="E134" s="1178"/>
      <c r="F134" s="1180"/>
      <c r="G134" s="1020"/>
      <c r="H134" s="1239"/>
      <c r="I134" s="975" t="s">
        <v>27</v>
      </c>
      <c r="J134" s="7">
        <f>SUM(J133:J133)</f>
        <v>321.7</v>
      </c>
      <c r="K134" s="213">
        <f>SUM(K133:K133)</f>
        <v>321.7</v>
      </c>
      <c r="L134" s="331">
        <f>SUM(L133:L133)</f>
        <v>202</v>
      </c>
      <c r="M134" s="1028"/>
      <c r="N134" s="796"/>
      <c r="O134" s="616"/>
      <c r="P134" s="1028"/>
      <c r="Q134" s="1029"/>
    </row>
    <row r="135" spans="1:23" s="618" customFormat="1" ht="14.25" customHeight="1" thickBot="1" x14ac:dyDescent="0.3">
      <c r="A135" s="513" t="s">
        <v>19</v>
      </c>
      <c r="B135" s="120" t="s">
        <v>30</v>
      </c>
      <c r="C135" s="1093" t="s">
        <v>33</v>
      </c>
      <c r="D135" s="1093"/>
      <c r="E135" s="1093"/>
      <c r="F135" s="1093"/>
      <c r="G135" s="1093"/>
      <c r="H135" s="1093"/>
      <c r="I135" s="1142"/>
      <c r="J135" s="868">
        <f>+J132+J113+J134+J98</f>
        <v>6845.2000000000007</v>
      </c>
      <c r="K135" s="438">
        <f>+K132+K113+K134+K98</f>
        <v>6845.2000000000007</v>
      </c>
      <c r="L135" s="882">
        <f>+L132+L113+L134+L98</f>
        <v>5850.7000000000007</v>
      </c>
      <c r="M135" s="1240"/>
      <c r="N135" s="1241"/>
      <c r="O135" s="1241"/>
      <c r="P135" s="1241"/>
      <c r="Q135" s="1242"/>
      <c r="R135" s="1171"/>
      <c r="T135" s="646"/>
    </row>
    <row r="136" spans="1:23" s="618" customFormat="1" ht="14.25" customHeight="1" thickBot="1" x14ac:dyDescent="0.3">
      <c r="A136" s="537" t="s">
        <v>19</v>
      </c>
      <c r="B136" s="120" t="s">
        <v>55</v>
      </c>
      <c r="C136" s="1172" t="s">
        <v>90</v>
      </c>
      <c r="D136" s="1173"/>
      <c r="E136" s="1173"/>
      <c r="F136" s="1173"/>
      <c r="G136" s="1173"/>
      <c r="H136" s="1173"/>
      <c r="I136" s="1173"/>
      <c r="J136" s="1173"/>
      <c r="K136" s="1173"/>
      <c r="L136" s="1173"/>
      <c r="M136" s="1173"/>
      <c r="N136" s="850"/>
      <c r="O136" s="850"/>
      <c r="P136" s="850"/>
      <c r="Q136" s="777"/>
      <c r="R136" s="1171"/>
      <c r="T136" s="646"/>
    </row>
    <row r="137" spans="1:23" s="618" customFormat="1" ht="29.25" customHeight="1" x14ac:dyDescent="0.25">
      <c r="A137" s="518" t="s">
        <v>19</v>
      </c>
      <c r="B137" s="566" t="s">
        <v>55</v>
      </c>
      <c r="C137" s="16" t="s">
        <v>19</v>
      </c>
      <c r="D137" s="602"/>
      <c r="E137" s="1030" t="s">
        <v>231</v>
      </c>
      <c r="F137" s="778"/>
      <c r="G137" s="779">
        <v>11030607</v>
      </c>
      <c r="H137" s="593" t="s">
        <v>24</v>
      </c>
      <c r="I137" s="556" t="s">
        <v>25</v>
      </c>
      <c r="J137" s="42">
        <v>1257.9000000000001</v>
      </c>
      <c r="K137" s="515">
        <v>1257.9000000000001</v>
      </c>
      <c r="L137" s="611">
        <v>1240.5</v>
      </c>
      <c r="M137" s="652" t="s">
        <v>193</v>
      </c>
      <c r="N137" s="586">
        <v>6</v>
      </c>
      <c r="O137" s="588">
        <v>4</v>
      </c>
      <c r="P137" s="1100" t="s">
        <v>545</v>
      </c>
      <c r="Q137" s="1101"/>
      <c r="R137" s="1171"/>
      <c r="T137" s="646"/>
    </row>
    <row r="138" spans="1:23" s="618" customFormat="1" ht="15" customHeight="1" thickBot="1" x14ac:dyDescent="0.3">
      <c r="A138" s="521"/>
      <c r="B138" s="568"/>
      <c r="C138" s="33"/>
      <c r="D138" s="610"/>
      <c r="E138" s="1032"/>
      <c r="F138" s="780"/>
      <c r="G138" s="781"/>
      <c r="H138" s="594"/>
      <c r="I138" s="975" t="s">
        <v>27</v>
      </c>
      <c r="J138" s="7">
        <f>SUM(J137:J137)</f>
        <v>1257.9000000000001</v>
      </c>
      <c r="K138" s="213">
        <f>SUM(K137:K137)</f>
        <v>1257.9000000000001</v>
      </c>
      <c r="L138" s="462">
        <f>SUM(L137:L137)</f>
        <v>1240.5</v>
      </c>
      <c r="M138" s="579"/>
      <c r="N138" s="796"/>
      <c r="O138" s="616"/>
      <c r="P138" s="1028"/>
      <c r="Q138" s="1029"/>
      <c r="R138" s="575"/>
      <c r="S138" s="590"/>
    </row>
    <row r="139" spans="1:23" s="618" customFormat="1" ht="32.25" customHeight="1" x14ac:dyDescent="0.25">
      <c r="A139" s="518" t="s">
        <v>19</v>
      </c>
      <c r="B139" s="1081" t="s">
        <v>55</v>
      </c>
      <c r="C139" s="1147" t="s">
        <v>28</v>
      </c>
      <c r="D139" s="695"/>
      <c r="E139" s="1177" t="s">
        <v>232</v>
      </c>
      <c r="F139" s="1234"/>
      <c r="G139" s="700">
        <v>11030701</v>
      </c>
      <c r="H139" s="1236" t="s">
        <v>24</v>
      </c>
      <c r="I139" s="269" t="s">
        <v>25</v>
      </c>
      <c r="J139" s="446">
        <v>50</v>
      </c>
      <c r="K139" s="604">
        <v>50</v>
      </c>
      <c r="L139" s="603">
        <v>49.7</v>
      </c>
      <c r="M139" s="1100" t="s">
        <v>94</v>
      </c>
      <c r="N139" s="586">
        <v>25</v>
      </c>
      <c r="O139" s="588">
        <v>12</v>
      </c>
      <c r="P139" s="1100" t="s">
        <v>544</v>
      </c>
      <c r="Q139" s="1101"/>
      <c r="U139" s="646"/>
      <c r="V139" s="646"/>
    </row>
    <row r="140" spans="1:23" s="618" customFormat="1" ht="15.75" customHeight="1" thickBot="1" x14ac:dyDescent="0.3">
      <c r="A140" s="521"/>
      <c r="B140" s="1083"/>
      <c r="C140" s="1148"/>
      <c r="D140" s="698"/>
      <c r="E140" s="1178"/>
      <c r="F140" s="1235"/>
      <c r="G140" s="701"/>
      <c r="H140" s="1237"/>
      <c r="I140" s="538" t="s">
        <v>27</v>
      </c>
      <c r="J140" s="7">
        <f t="shared" ref="J140:L140" si="2">SUM(J139:J139)</f>
        <v>50</v>
      </c>
      <c r="K140" s="213">
        <f t="shared" si="2"/>
        <v>50</v>
      </c>
      <c r="L140" s="462">
        <f t="shared" si="2"/>
        <v>49.7</v>
      </c>
      <c r="M140" s="1028"/>
      <c r="N140" s="796"/>
      <c r="O140" s="616"/>
      <c r="P140" s="1028"/>
      <c r="Q140" s="1029"/>
    </row>
    <row r="141" spans="1:23" s="618" customFormat="1" ht="13.8" thickBot="1" x14ac:dyDescent="0.3">
      <c r="A141" s="513" t="s">
        <v>19</v>
      </c>
      <c r="B141" s="120" t="s">
        <v>55</v>
      </c>
      <c r="C141" s="1093" t="s">
        <v>33</v>
      </c>
      <c r="D141" s="1093"/>
      <c r="E141" s="1093"/>
      <c r="F141" s="1093"/>
      <c r="G141" s="1093"/>
      <c r="H141" s="1093"/>
      <c r="I141" s="1093"/>
      <c r="J141" s="388">
        <f t="shared" ref="J141:L141" si="3">J140+J138</f>
        <v>1307.9000000000001</v>
      </c>
      <c r="K141" s="386">
        <f t="shared" si="3"/>
        <v>1307.9000000000001</v>
      </c>
      <c r="L141" s="389">
        <f t="shared" si="3"/>
        <v>1290.2</v>
      </c>
      <c r="M141" s="1214"/>
      <c r="N141" s="1215"/>
      <c r="O141" s="1215"/>
      <c r="P141" s="1215"/>
      <c r="Q141" s="1216"/>
    </row>
    <row r="142" spans="1:23" s="187" customFormat="1" ht="13.8" thickBot="1" x14ac:dyDescent="0.3">
      <c r="A142" s="513" t="s">
        <v>19</v>
      </c>
      <c r="B142" s="1217" t="s">
        <v>95</v>
      </c>
      <c r="C142" s="1218"/>
      <c r="D142" s="1218"/>
      <c r="E142" s="1218"/>
      <c r="F142" s="1218"/>
      <c r="G142" s="1218"/>
      <c r="H142" s="1218"/>
      <c r="I142" s="1218"/>
      <c r="J142" s="782">
        <f>J135+J95+J30+J141</f>
        <v>15160.800000000001</v>
      </c>
      <c r="K142" s="862">
        <f>K135+K95+K30+K141</f>
        <v>15160.800000000001</v>
      </c>
      <c r="L142" s="860">
        <f>L135+L95+L30+L141</f>
        <v>13886.200000000003</v>
      </c>
      <c r="M142" s="539"/>
      <c r="N142" s="540"/>
      <c r="O142" s="540"/>
      <c r="P142" s="540"/>
      <c r="Q142" s="541"/>
    </row>
    <row r="143" spans="1:23" s="187" customFormat="1" ht="13.8" thickBot="1" x14ac:dyDescent="0.3">
      <c r="A143" s="557" t="s">
        <v>96</v>
      </c>
      <c r="B143" s="1219" t="s">
        <v>97</v>
      </c>
      <c r="C143" s="1220"/>
      <c r="D143" s="1220"/>
      <c r="E143" s="1220"/>
      <c r="F143" s="1220"/>
      <c r="G143" s="1220"/>
      <c r="H143" s="1220"/>
      <c r="I143" s="1220"/>
      <c r="J143" s="783">
        <f t="shared" ref="J143:L143" si="4">J142</f>
        <v>15160.800000000001</v>
      </c>
      <c r="K143" s="863">
        <f t="shared" si="4"/>
        <v>15160.800000000001</v>
      </c>
      <c r="L143" s="861">
        <f t="shared" si="4"/>
        <v>13886.200000000003</v>
      </c>
      <c r="M143" s="702"/>
      <c r="N143" s="703"/>
      <c r="O143" s="703"/>
      <c r="P143" s="703"/>
      <c r="Q143" s="704"/>
      <c r="R143" s="784"/>
    </row>
    <row r="144" spans="1:23" s="706" customFormat="1" ht="17.25" customHeight="1" x14ac:dyDescent="0.3">
      <c r="A144" s="1221" t="s">
        <v>253</v>
      </c>
      <c r="B144" s="1222"/>
      <c r="C144" s="1222"/>
      <c r="D144" s="1222"/>
      <c r="E144" s="1222"/>
      <c r="F144" s="1222"/>
      <c r="G144" s="1222"/>
      <c r="H144" s="1222"/>
      <c r="I144" s="1222"/>
      <c r="J144" s="1222"/>
      <c r="K144" s="1222"/>
      <c r="L144" s="1222"/>
      <c r="M144" s="1222"/>
      <c r="N144" s="1222"/>
      <c r="O144" s="1222"/>
      <c r="P144" s="1222"/>
      <c r="Q144" s="1222"/>
      <c r="R144" s="1223"/>
      <c r="S144" s="1223"/>
      <c r="T144" s="785"/>
      <c r="U144" s="785"/>
      <c r="V144" s="785"/>
      <c r="W144" s="785"/>
    </row>
    <row r="145" spans="1:29" s="706" customFormat="1" ht="17.25" customHeight="1" x14ac:dyDescent="0.3">
      <c r="A145" s="1224" t="s">
        <v>537</v>
      </c>
      <c r="B145" s="1223"/>
      <c r="C145" s="1223"/>
      <c r="D145" s="1223"/>
      <c r="E145" s="1223"/>
      <c r="F145" s="1223"/>
      <c r="G145" s="1223"/>
      <c r="H145" s="1223"/>
      <c r="I145" s="1223"/>
      <c r="J145" s="1223"/>
      <c r="K145" s="1223"/>
      <c r="L145" s="1223"/>
      <c r="M145" s="1223"/>
      <c r="N145" s="1223"/>
      <c r="O145" s="1223"/>
      <c r="P145" s="1223"/>
      <c r="Q145" s="1223"/>
      <c r="R145" s="1223"/>
      <c r="S145" s="1223"/>
      <c r="T145" s="785"/>
      <c r="U145" s="785"/>
      <c r="V145" s="785"/>
      <c r="W145" s="785"/>
    </row>
    <row r="146" spans="1:29" s="618" customFormat="1" ht="21.75" customHeight="1" thickBot="1" x14ac:dyDescent="0.3">
      <c r="A146" s="133"/>
      <c r="B146" s="1197" t="s">
        <v>98</v>
      </c>
      <c r="C146" s="1197"/>
      <c r="D146" s="1197"/>
      <c r="E146" s="1197"/>
      <c r="F146" s="1197"/>
      <c r="G146" s="1197"/>
      <c r="H146" s="1197"/>
      <c r="I146" s="1197"/>
      <c r="J146" s="1197"/>
      <c r="K146" s="1197"/>
      <c r="L146" s="1197"/>
      <c r="M146" s="135"/>
      <c r="N146" s="136"/>
      <c r="O146" s="136"/>
      <c r="P146" s="136"/>
      <c r="Q146" s="136"/>
    </row>
    <row r="147" spans="1:29" s="618" customFormat="1" ht="44.25" customHeight="1" x14ac:dyDescent="0.25">
      <c r="A147" s="134"/>
      <c r="B147" s="1208" t="s">
        <v>99</v>
      </c>
      <c r="C147" s="1209"/>
      <c r="D147" s="1209"/>
      <c r="E147" s="1209"/>
      <c r="F147" s="1209"/>
      <c r="G147" s="1209"/>
      <c r="H147" s="1209"/>
      <c r="I147" s="1210"/>
      <c r="J147" s="1191" t="s">
        <v>195</v>
      </c>
      <c r="K147" s="1193" t="s">
        <v>196</v>
      </c>
      <c r="L147" s="1047" t="s">
        <v>197</v>
      </c>
      <c r="M147" s="137"/>
      <c r="N147" s="558"/>
      <c r="O147" s="558"/>
      <c r="P147" s="558"/>
      <c r="Q147" s="558"/>
    </row>
    <row r="148" spans="1:29" s="618" customFormat="1" ht="44.25" customHeight="1" thickBot="1" x14ac:dyDescent="0.3">
      <c r="A148" s="134"/>
      <c r="B148" s="1211"/>
      <c r="C148" s="1212"/>
      <c r="D148" s="1212"/>
      <c r="E148" s="1212"/>
      <c r="F148" s="1212"/>
      <c r="G148" s="1212"/>
      <c r="H148" s="1212"/>
      <c r="I148" s="1213"/>
      <c r="J148" s="1192"/>
      <c r="K148" s="1194"/>
      <c r="L148" s="1048"/>
      <c r="M148" s="137"/>
      <c r="N148" s="558"/>
      <c r="O148" s="558"/>
      <c r="P148" s="558"/>
      <c r="Q148" s="558"/>
    </row>
    <row r="149" spans="1:29" s="618" customFormat="1" x14ac:dyDescent="0.25">
      <c r="A149" s="134"/>
      <c r="B149" s="1198" t="s">
        <v>101</v>
      </c>
      <c r="C149" s="1199"/>
      <c r="D149" s="1199"/>
      <c r="E149" s="1199"/>
      <c r="F149" s="1199"/>
      <c r="G149" s="1199"/>
      <c r="H149" s="1199"/>
      <c r="I149" s="1199"/>
      <c r="J149" s="851">
        <f>+J150+J156+J157</f>
        <v>15142.2</v>
      </c>
      <c r="K149" s="857">
        <f>+K150+K156+K157</f>
        <v>15142.2</v>
      </c>
      <c r="L149" s="854">
        <f>+L150+L156+L157</f>
        <v>13867.600000000004</v>
      </c>
      <c r="N149" s="560"/>
      <c r="O149" s="560"/>
      <c r="P149" s="560"/>
      <c r="Q149" s="560"/>
      <c r="T149" s="646"/>
    </row>
    <row r="150" spans="1:29" s="618" customFormat="1" x14ac:dyDescent="0.25">
      <c r="A150" s="134"/>
      <c r="B150" s="1200" t="s">
        <v>254</v>
      </c>
      <c r="C150" s="1201"/>
      <c r="D150" s="1201"/>
      <c r="E150" s="1201"/>
      <c r="F150" s="1201"/>
      <c r="G150" s="1201"/>
      <c r="H150" s="1201"/>
      <c r="I150" s="1202"/>
      <c r="J150" s="90">
        <f>SUM(J151:J155)</f>
        <v>12726.5</v>
      </c>
      <c r="K150" s="209">
        <f>SUM(K151:K155)</f>
        <v>12726.5</v>
      </c>
      <c r="L150" s="177">
        <f>SUM(L151:L155)</f>
        <v>11768.000000000004</v>
      </c>
      <c r="N150" s="560"/>
      <c r="O150" s="560"/>
      <c r="P150" s="560"/>
      <c r="Q150" s="560"/>
      <c r="T150" s="646"/>
    </row>
    <row r="151" spans="1:29" s="618" customFormat="1" ht="12.75" customHeight="1" x14ac:dyDescent="0.25">
      <c r="A151" s="134"/>
      <c r="B151" s="1203" t="s">
        <v>125</v>
      </c>
      <c r="C151" s="1204"/>
      <c r="D151" s="1204"/>
      <c r="E151" s="1204"/>
      <c r="F151" s="1204"/>
      <c r="G151" s="1204"/>
      <c r="H151" s="1204"/>
      <c r="I151" s="1204"/>
      <c r="J151" s="399">
        <f>SUMIF(I16:I139,"sb",J16:J139)</f>
        <v>8937.7000000000007</v>
      </c>
      <c r="K151" s="400">
        <f>SUMIF(I16:I139,"sb",K16:K139)</f>
        <v>8937.7000000000007</v>
      </c>
      <c r="L151" s="401">
        <f>SUMIF(I16:I139,"sb",L16:L139)</f>
        <v>8482.3000000000029</v>
      </c>
      <c r="M151" s="786"/>
      <c r="N151" s="280"/>
      <c r="O151" s="280"/>
      <c r="P151" s="280"/>
      <c r="Q151" s="280"/>
    </row>
    <row r="152" spans="1:29" s="618" customFormat="1" ht="12.75" customHeight="1" x14ac:dyDescent="0.25">
      <c r="A152" s="134"/>
      <c r="B152" s="1205" t="s">
        <v>233</v>
      </c>
      <c r="C152" s="1206"/>
      <c r="D152" s="1206"/>
      <c r="E152" s="1206"/>
      <c r="F152" s="1206"/>
      <c r="G152" s="1206"/>
      <c r="H152" s="1206"/>
      <c r="I152" s="1207"/>
      <c r="J152" s="399">
        <f>SUMIF(I16:I140,"sb(p)",J16:J140)</f>
        <v>2803.8</v>
      </c>
      <c r="K152" s="400">
        <f>SUMIF(I16:I140,"sb(p)",K16:K140)</f>
        <v>2803.8</v>
      </c>
      <c r="L152" s="401">
        <f>SUMIF(I16:I140,"sb(p)",L16:L140)</f>
        <v>2803.7</v>
      </c>
      <c r="M152" s="705"/>
      <c r="N152" s="280"/>
      <c r="O152" s="280"/>
      <c r="P152" s="280"/>
      <c r="Q152" s="280"/>
    </row>
    <row r="153" spans="1:29" s="618" customFormat="1" ht="15" customHeight="1" x14ac:dyDescent="0.25">
      <c r="A153" s="134"/>
      <c r="B153" s="1195" t="s">
        <v>126</v>
      </c>
      <c r="C153" s="1196"/>
      <c r="D153" s="1196"/>
      <c r="E153" s="1196"/>
      <c r="F153" s="1196"/>
      <c r="G153" s="1196"/>
      <c r="H153" s="1196"/>
      <c r="I153" s="1196"/>
      <c r="J153" s="140">
        <f>SUMIF(I16:I139,"sb(sp)",J16:J139)</f>
        <v>350.3</v>
      </c>
      <c r="K153" s="402">
        <f>SUMIF(I16:I139,"sb(sp)",K16:K139)</f>
        <v>350.3</v>
      </c>
      <c r="L153" s="403">
        <f>SUMIF(I16:I139,"sb(sp)",L16:L139)</f>
        <v>204.7</v>
      </c>
      <c r="M153" s="139"/>
      <c r="N153" s="561"/>
      <c r="O153" s="561"/>
      <c r="P153" s="561"/>
      <c r="Q153" s="561"/>
    </row>
    <row r="154" spans="1:29" s="618" customFormat="1" x14ac:dyDescent="0.25">
      <c r="A154" s="134"/>
      <c r="B154" s="1195" t="s">
        <v>102</v>
      </c>
      <c r="C154" s="1196"/>
      <c r="D154" s="1196"/>
      <c r="E154" s="1196"/>
      <c r="F154" s="1196"/>
      <c r="G154" s="1196"/>
      <c r="H154" s="1196"/>
      <c r="I154" s="1196"/>
      <c r="J154" s="140">
        <f>SUMIF(I16:I139,"SB(VB)",J16:J139)</f>
        <v>51.5</v>
      </c>
      <c r="K154" s="402">
        <f>SUMIF(I16:I139,"SB(VB)",K16:K139)</f>
        <v>51.5</v>
      </c>
      <c r="L154" s="403">
        <f>SUMIF(I16:I139,"SB(VB)",L16:L139)</f>
        <v>22.5</v>
      </c>
      <c r="M154" s="139"/>
      <c r="N154" s="561"/>
      <c r="O154" s="561"/>
      <c r="P154" s="561"/>
      <c r="Q154" s="561"/>
      <c r="Y154" s="646"/>
    </row>
    <row r="155" spans="1:29" s="618" customFormat="1" ht="28.5" customHeight="1" x14ac:dyDescent="0.25">
      <c r="A155" s="134"/>
      <c r="B155" s="1195" t="s">
        <v>579</v>
      </c>
      <c r="C155" s="1196"/>
      <c r="D155" s="1196"/>
      <c r="E155" s="1196"/>
      <c r="F155" s="1196"/>
      <c r="G155" s="1196"/>
      <c r="H155" s="1196"/>
      <c r="I155" s="1196"/>
      <c r="J155" s="140">
        <f>SUMIF(I18:I140,"SB(ES)",J18:J140)</f>
        <v>583.20000000000005</v>
      </c>
      <c r="K155" s="402">
        <f>SUMIF(I18:I140,"SB(ES)",K18:K140)</f>
        <v>583.20000000000005</v>
      </c>
      <c r="L155" s="403">
        <f>SUMIF(I18:I140,"SB(ES)",L18:L140)</f>
        <v>254.8</v>
      </c>
      <c r="M155" s="139"/>
      <c r="N155" s="561"/>
      <c r="O155" s="561"/>
      <c r="P155" s="561"/>
      <c r="Q155" s="561"/>
    </row>
    <row r="156" spans="1:29" s="618" customFormat="1" ht="12.75" customHeight="1" x14ac:dyDescent="0.25">
      <c r="A156" s="134"/>
      <c r="B156" s="1229" t="s">
        <v>169</v>
      </c>
      <c r="C156" s="1230"/>
      <c r="D156" s="1230"/>
      <c r="E156" s="1230"/>
      <c r="F156" s="1230"/>
      <c r="G156" s="1230"/>
      <c r="H156" s="1230"/>
      <c r="I156" s="1230"/>
      <c r="J156" s="852">
        <f>SUMIF(I18:I140,"sb(l)",J18:J140)</f>
        <v>2350.1</v>
      </c>
      <c r="K156" s="858">
        <f>SUMIF(I18:I140,"sb(l)",K18:K140)</f>
        <v>2350.1</v>
      </c>
      <c r="L156" s="855">
        <f>SUMIF(I18:I140,"sb(l)",L18:L140)</f>
        <v>2034</v>
      </c>
      <c r="M156" s="139"/>
      <c r="N156" s="561"/>
      <c r="O156" s="561"/>
      <c r="P156" s="561"/>
      <c r="Q156" s="561"/>
      <c r="V156" s="646"/>
    </row>
    <row r="157" spans="1:29" s="618" customFormat="1" ht="12.75" customHeight="1" x14ac:dyDescent="0.25">
      <c r="A157" s="134"/>
      <c r="B157" s="1229" t="s">
        <v>234</v>
      </c>
      <c r="C157" s="1230"/>
      <c r="D157" s="1230"/>
      <c r="E157" s="1230"/>
      <c r="F157" s="1230"/>
      <c r="G157" s="1230"/>
      <c r="H157" s="1230"/>
      <c r="I157" s="1231"/>
      <c r="J157" s="852">
        <f>SUMIF(I19:I141,"sb(spl)",J19:J141)</f>
        <v>65.599999999999994</v>
      </c>
      <c r="K157" s="858">
        <f>SUMIF(I19:I141,"sb(spl)",K19:K141)</f>
        <v>65.599999999999994</v>
      </c>
      <c r="L157" s="855">
        <f>SUMIF(I19:I141,"sb(spl)",L19:L141)</f>
        <v>65.599999999999994</v>
      </c>
      <c r="M157" s="139"/>
      <c r="N157" s="561"/>
      <c r="O157" s="561"/>
      <c r="P157" s="561"/>
      <c r="Q157" s="561"/>
      <c r="V157" s="646"/>
    </row>
    <row r="158" spans="1:29" s="618" customFormat="1" x14ac:dyDescent="0.25">
      <c r="A158" s="134"/>
      <c r="B158" s="1232" t="s">
        <v>103</v>
      </c>
      <c r="C158" s="1233"/>
      <c r="D158" s="1233"/>
      <c r="E158" s="1233"/>
      <c r="F158" s="1233"/>
      <c r="G158" s="1233"/>
      <c r="H158" s="1233"/>
      <c r="I158" s="1233"/>
      <c r="J158" s="853">
        <f>SUM(J159:J159)</f>
        <v>18.600000000000001</v>
      </c>
      <c r="K158" s="859">
        <f>SUM(K159:K159)</f>
        <v>18.600000000000001</v>
      </c>
      <c r="L158" s="856">
        <f>SUM(L159:L159)</f>
        <v>18.600000000000001</v>
      </c>
      <c r="M158" s="138"/>
      <c r="N158" s="560"/>
      <c r="O158" s="560"/>
      <c r="P158" s="560"/>
      <c r="Q158" s="560"/>
    </row>
    <row r="159" spans="1:29" s="618" customFormat="1" x14ac:dyDescent="0.25">
      <c r="A159" s="134"/>
      <c r="B159" s="1205" t="s">
        <v>104</v>
      </c>
      <c r="C159" s="1206"/>
      <c r="D159" s="1206"/>
      <c r="E159" s="1206"/>
      <c r="F159" s="1206"/>
      <c r="G159" s="1206"/>
      <c r="H159" s="1206"/>
      <c r="I159" s="1207"/>
      <c r="J159" s="407">
        <f>SUMIF(I16:I139,"lrvb",J16:J139)</f>
        <v>18.600000000000001</v>
      </c>
      <c r="K159" s="408">
        <f>SUMIF(I16:I139,"lrvb",K16:K139)</f>
        <v>18.600000000000001</v>
      </c>
      <c r="L159" s="409">
        <f>SUMIF(I16:I139,"lrvb",L16:L139)</f>
        <v>18.600000000000001</v>
      </c>
      <c r="M159" s="139"/>
      <c r="N159" s="561"/>
      <c r="O159" s="561"/>
      <c r="P159" s="561"/>
      <c r="Q159" s="561"/>
      <c r="W159" s="646"/>
      <c r="AC159" s="646"/>
    </row>
    <row r="160" spans="1:29" ht="13.8" thickBot="1" x14ac:dyDescent="0.3">
      <c r="A160" s="141"/>
      <c r="B160" s="1225" t="s">
        <v>27</v>
      </c>
      <c r="C160" s="1226"/>
      <c r="D160" s="1226"/>
      <c r="E160" s="1226"/>
      <c r="F160" s="1226"/>
      <c r="G160" s="1226"/>
      <c r="H160" s="1226"/>
      <c r="I160" s="1226"/>
      <c r="J160" s="7">
        <f>J158+J149</f>
        <v>15160.800000000001</v>
      </c>
      <c r="K160" s="213">
        <f>K158+K149</f>
        <v>15160.800000000001</v>
      </c>
      <c r="L160" s="331">
        <f>L158+L149</f>
        <v>13886.200000000004</v>
      </c>
      <c r="M160" s="787"/>
      <c r="N160" s="559"/>
      <c r="O160" s="559"/>
      <c r="P160" s="559"/>
      <c r="Q160" s="559"/>
    </row>
    <row r="161" spans="6:13" x14ac:dyDescent="0.25">
      <c r="J161" s="619"/>
      <c r="K161" s="619"/>
      <c r="L161" s="619"/>
    </row>
    <row r="162" spans="6:13" x14ac:dyDescent="0.25">
      <c r="F162" s="995" t="s">
        <v>235</v>
      </c>
      <c r="G162" s="995"/>
      <c r="H162" s="995"/>
      <c r="I162" s="995"/>
      <c r="J162" s="994"/>
      <c r="K162" s="994"/>
      <c r="L162" s="994"/>
    </row>
    <row r="163" spans="6:13" x14ac:dyDescent="0.25">
      <c r="J163" s="619"/>
      <c r="K163" s="619"/>
      <c r="L163" s="619"/>
    </row>
    <row r="164" spans="6:13" x14ac:dyDescent="0.25">
      <c r="J164" s="619"/>
      <c r="K164" s="619"/>
      <c r="L164" s="619"/>
    </row>
    <row r="165" spans="6:13" x14ac:dyDescent="0.25">
      <c r="J165" s="619"/>
      <c r="K165" s="619"/>
      <c r="L165" s="619"/>
    </row>
    <row r="166" spans="6:13" x14ac:dyDescent="0.25">
      <c r="J166" s="619"/>
      <c r="K166" s="619"/>
      <c r="L166" s="619"/>
      <c r="M166" s="619"/>
    </row>
    <row r="167" spans="6:13" x14ac:dyDescent="0.25">
      <c r="J167" s="619"/>
      <c r="K167" s="619"/>
      <c r="L167" s="619"/>
    </row>
    <row r="168" spans="6:13" x14ac:dyDescent="0.25">
      <c r="J168" s="619"/>
      <c r="K168" s="619"/>
      <c r="L168" s="619"/>
    </row>
  </sheetData>
  <mergeCells count="185">
    <mergeCell ref="B159:I159"/>
    <mergeCell ref="B160:I160"/>
    <mergeCell ref="N28:N29"/>
    <mergeCell ref="B156:I156"/>
    <mergeCell ref="B157:I157"/>
    <mergeCell ref="B158:I158"/>
    <mergeCell ref="B139:B140"/>
    <mergeCell ref="C139:C140"/>
    <mergeCell ref="E139:E140"/>
    <mergeCell ref="F139:F140"/>
    <mergeCell ref="H139:H140"/>
    <mergeCell ref="M139:M140"/>
    <mergeCell ref="H133:H134"/>
    <mergeCell ref="M133:M134"/>
    <mergeCell ref="C135:I135"/>
    <mergeCell ref="M135:Q135"/>
    <mergeCell ref="E115:E116"/>
    <mergeCell ref="P139:Q140"/>
    <mergeCell ref="P77:Q77"/>
    <mergeCell ref="P127:Q128"/>
    <mergeCell ref="F132:I132"/>
    <mergeCell ref="P97:Q98"/>
    <mergeCell ref="P121:Q121"/>
    <mergeCell ref="P89:Q90"/>
    <mergeCell ref="M4:O4"/>
    <mergeCell ref="P4:P6"/>
    <mergeCell ref="N5:O5"/>
    <mergeCell ref="J4:L4"/>
    <mergeCell ref="J5:J6"/>
    <mergeCell ref="K5:K6"/>
    <mergeCell ref="B153:I153"/>
    <mergeCell ref="B154:I154"/>
    <mergeCell ref="B155:I155"/>
    <mergeCell ref="B146:L146"/>
    <mergeCell ref="B149:I149"/>
    <mergeCell ref="B150:I150"/>
    <mergeCell ref="B151:I151"/>
    <mergeCell ref="B152:I152"/>
    <mergeCell ref="J147:J148"/>
    <mergeCell ref="K147:K148"/>
    <mergeCell ref="L147:L148"/>
    <mergeCell ref="B147:I148"/>
    <mergeCell ref="C141:I141"/>
    <mergeCell ref="M141:Q141"/>
    <mergeCell ref="B142:I142"/>
    <mergeCell ref="B143:I143"/>
    <mergeCell ref="A144:S144"/>
    <mergeCell ref="A145:S145"/>
    <mergeCell ref="R135:R137"/>
    <mergeCell ref="C136:M136"/>
    <mergeCell ref="E137:E138"/>
    <mergeCell ref="P133:Q134"/>
    <mergeCell ref="P137:Q138"/>
    <mergeCell ref="E127:E128"/>
    <mergeCell ref="M127:M128"/>
    <mergeCell ref="G129:G131"/>
    <mergeCell ref="B133:B134"/>
    <mergeCell ref="C133:C134"/>
    <mergeCell ref="E133:E134"/>
    <mergeCell ref="F133:F134"/>
    <mergeCell ref="G133:G134"/>
    <mergeCell ref="E124:E125"/>
    <mergeCell ref="G124:G125"/>
    <mergeCell ref="M125:M126"/>
    <mergeCell ref="H109:H110"/>
    <mergeCell ref="M109:M110"/>
    <mergeCell ref="E112:E113"/>
    <mergeCell ref="M112:M113"/>
    <mergeCell ref="E99:E100"/>
    <mergeCell ref="G101:G103"/>
    <mergeCell ref="F102:F105"/>
    <mergeCell ref="L124:L125"/>
    <mergeCell ref="M122:M123"/>
    <mergeCell ref="G115:G116"/>
    <mergeCell ref="D109:D110"/>
    <mergeCell ref="E109:E110"/>
    <mergeCell ref="F109:F110"/>
    <mergeCell ref="M93:M94"/>
    <mergeCell ref="C95:I95"/>
    <mergeCell ref="M95:Q95"/>
    <mergeCell ref="C96:Q96"/>
    <mergeCell ref="B97:B98"/>
    <mergeCell ref="C97:C98"/>
    <mergeCell ref="E97:E98"/>
    <mergeCell ref="P102:Q106"/>
    <mergeCell ref="P109:Q110"/>
    <mergeCell ref="P107:Q108"/>
    <mergeCell ref="E91:E92"/>
    <mergeCell ref="G91:G92"/>
    <mergeCell ref="E93:E94"/>
    <mergeCell ref="G93:G94"/>
    <mergeCell ref="E87:E88"/>
    <mergeCell ref="G87:G88"/>
    <mergeCell ref="M87:M88"/>
    <mergeCell ref="E89:E90"/>
    <mergeCell ref="G89:G90"/>
    <mergeCell ref="E82:E83"/>
    <mergeCell ref="M82:M83"/>
    <mergeCell ref="E85:E86"/>
    <mergeCell ref="G85:G86"/>
    <mergeCell ref="M85:M86"/>
    <mergeCell ref="C31:Q31"/>
    <mergeCell ref="E51:E53"/>
    <mergeCell ref="E59:E63"/>
    <mergeCell ref="E68:E69"/>
    <mergeCell ref="E75:E76"/>
    <mergeCell ref="G75:G76"/>
    <mergeCell ref="P34:Q34"/>
    <mergeCell ref="P43:Q43"/>
    <mergeCell ref="E47:E48"/>
    <mergeCell ref="P74:Q74"/>
    <mergeCell ref="E38:E39"/>
    <mergeCell ref="E56:E57"/>
    <mergeCell ref="P48:Q48"/>
    <mergeCell ref="P79:Q79"/>
    <mergeCell ref="P81:Q81"/>
    <mergeCell ref="P82:Q84"/>
    <mergeCell ref="P80:Q80"/>
    <mergeCell ref="P85:Q86"/>
    <mergeCell ref="F19:F21"/>
    <mergeCell ref="G19:G21"/>
    <mergeCell ref="H28:H29"/>
    <mergeCell ref="M28:M29"/>
    <mergeCell ref="C30:I30"/>
    <mergeCell ref="M30:Q30"/>
    <mergeCell ref="A28:A29"/>
    <mergeCell ref="B28:B29"/>
    <mergeCell ref="C28:C29"/>
    <mergeCell ref="E28:E29"/>
    <mergeCell ref="F28:F29"/>
    <mergeCell ref="G28:G29"/>
    <mergeCell ref="P19:Q19"/>
    <mergeCell ref="P20:Q21"/>
    <mergeCell ref="P28:Q29"/>
    <mergeCell ref="P23:Q24"/>
    <mergeCell ref="P22:Q22"/>
    <mergeCell ref="P25:Q25"/>
    <mergeCell ref="D4:D6"/>
    <mergeCell ref="E4:E6"/>
    <mergeCell ref="F4:F6"/>
    <mergeCell ref="M23:M24"/>
    <mergeCell ref="A25:A27"/>
    <mergeCell ref="B25:B27"/>
    <mergeCell ref="C25:C27"/>
    <mergeCell ref="E25:E27"/>
    <mergeCell ref="F25:F27"/>
    <mergeCell ref="G25:G27"/>
    <mergeCell ref="M26:M27"/>
    <mergeCell ref="H19:H21"/>
    <mergeCell ref="M20:M21"/>
    <mergeCell ref="A22:A24"/>
    <mergeCell ref="B22:B24"/>
    <mergeCell ref="C22:C24"/>
    <mergeCell ref="E22:E24"/>
    <mergeCell ref="F22:F24"/>
    <mergeCell ref="G22:G24"/>
    <mergeCell ref="H22:H24"/>
    <mergeCell ref="A19:A21"/>
    <mergeCell ref="B19:B21"/>
    <mergeCell ref="C19:C21"/>
    <mergeCell ref="E19:E21"/>
    <mergeCell ref="P11:Q11"/>
    <mergeCell ref="A1:Q1"/>
    <mergeCell ref="A2:Q2"/>
    <mergeCell ref="M3:Q3"/>
    <mergeCell ref="C15:Q15"/>
    <mergeCell ref="F16:F18"/>
    <mergeCell ref="G16:G18"/>
    <mergeCell ref="H16:H18"/>
    <mergeCell ref="M17:M18"/>
    <mergeCell ref="P17:Q18"/>
    <mergeCell ref="E16:E18"/>
    <mergeCell ref="P16:Q16"/>
    <mergeCell ref="M5:M6"/>
    <mergeCell ref="A7:Q7"/>
    <mergeCell ref="A8:Q8"/>
    <mergeCell ref="Q4:Q6"/>
    <mergeCell ref="L5:L6"/>
    <mergeCell ref="B9:L14"/>
    <mergeCell ref="G4:G6"/>
    <mergeCell ref="H4:H6"/>
    <mergeCell ref="I4:I6"/>
    <mergeCell ref="A4:A6"/>
    <mergeCell ref="B4:B6"/>
    <mergeCell ref="C4:C6"/>
  </mergeCells>
  <printOptions horizontalCentered="1"/>
  <pageMargins left="0.31496062992125984" right="0.31496062992125984" top="0.55118110236220474" bottom="0.35433070866141736" header="0.31496062992125984" footer="0.31496062992125984"/>
  <pageSetup paperSize="9" scale="76" orientation="landscape" r:id="rId1"/>
  <rowBreaks count="5" manualBreakCount="5">
    <brk id="18" max="16" man="1"/>
    <brk id="52" max="16" man="1"/>
    <brk id="101" max="16" man="1"/>
    <brk id="123" max="16" man="1"/>
    <brk id="145" max="16" man="1"/>
  </rowBreaks>
  <colBreaks count="1" manualBreakCount="1">
    <brk id="17"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topLeftCell="A108" workbookViewId="0">
      <selection activeCell="I113" sqref="I113"/>
    </sheetView>
  </sheetViews>
  <sheetFormatPr defaultColWidth="9.109375" defaultRowHeight="15.6" x14ac:dyDescent="0.3"/>
  <cols>
    <col min="1" max="1" width="5.109375" style="899" customWidth="1"/>
    <col min="2" max="2" width="36.44140625" style="899" customWidth="1"/>
    <col min="3" max="4" width="13" style="899" customWidth="1"/>
    <col min="5" max="7" width="11.33203125" style="899" customWidth="1"/>
    <col min="8" max="8" width="11.33203125" style="899" hidden="1" customWidth="1"/>
    <col min="9" max="9" width="40.44140625" style="899" customWidth="1"/>
    <col min="10" max="10" width="8.6640625" style="899" customWidth="1"/>
    <col min="11" max="12" width="8.5546875" style="899" customWidth="1"/>
    <col min="13" max="14" width="43.33203125" style="899" customWidth="1"/>
    <col min="15" max="16384" width="9.109375" style="899"/>
  </cols>
  <sheetData>
    <row r="1" spans="1:14" x14ac:dyDescent="0.3">
      <c r="A1" s="1254" t="s">
        <v>255</v>
      </c>
      <c r="B1" s="1251" t="s">
        <v>256</v>
      </c>
      <c r="C1" s="1251" t="s">
        <v>257</v>
      </c>
      <c r="D1" s="1251" t="s">
        <v>258</v>
      </c>
      <c r="E1" s="1251" t="s">
        <v>259</v>
      </c>
      <c r="F1" s="1251" t="s">
        <v>260</v>
      </c>
      <c r="G1" s="1251" t="s">
        <v>261</v>
      </c>
      <c r="H1" s="1251" t="s">
        <v>262</v>
      </c>
      <c r="I1" s="1251" t="s">
        <v>263</v>
      </c>
      <c r="J1" s="1251"/>
      <c r="K1" s="1251"/>
      <c r="L1" s="1251"/>
      <c r="M1" s="1251"/>
      <c r="N1" s="1257"/>
    </row>
    <row r="2" spans="1:14" x14ac:dyDescent="0.3">
      <c r="A2" s="1255"/>
      <c r="B2" s="1252"/>
      <c r="C2" s="1252"/>
      <c r="D2" s="1252"/>
      <c r="E2" s="1252"/>
      <c r="F2" s="1252"/>
      <c r="G2" s="1252"/>
      <c r="H2" s="1252"/>
      <c r="I2" s="1252" t="s">
        <v>264</v>
      </c>
      <c r="J2" s="1252" t="s">
        <v>265</v>
      </c>
      <c r="K2" s="1252" t="s">
        <v>266</v>
      </c>
      <c r="L2" s="1252"/>
      <c r="M2" s="1252" t="s">
        <v>267</v>
      </c>
      <c r="N2" s="1258" t="s">
        <v>268</v>
      </c>
    </row>
    <row r="3" spans="1:14" ht="16.2" thickBot="1" x14ac:dyDescent="0.35">
      <c r="A3" s="1256"/>
      <c r="B3" s="1253"/>
      <c r="C3" s="1253"/>
      <c r="D3" s="1253"/>
      <c r="E3" s="1253"/>
      <c r="F3" s="1253"/>
      <c r="G3" s="1253"/>
      <c r="H3" s="1253"/>
      <c r="I3" s="1253"/>
      <c r="J3" s="1253"/>
      <c r="K3" s="900" t="s">
        <v>13</v>
      </c>
      <c r="L3" s="900" t="s">
        <v>269</v>
      </c>
      <c r="M3" s="1253"/>
      <c r="N3" s="1259"/>
    </row>
    <row r="4" spans="1:14" ht="31.8" thickBot="1" x14ac:dyDescent="0.35">
      <c r="A4" s="901" t="s">
        <v>96</v>
      </c>
      <c r="B4" s="902" t="s">
        <v>270</v>
      </c>
      <c r="C4" s="903"/>
      <c r="D4" s="903"/>
      <c r="E4" s="904">
        <f>SUM(E5:E5)</f>
        <v>12086.599999999999</v>
      </c>
      <c r="F4" s="904">
        <f>SUM(F5:F5)</f>
        <v>16036.9</v>
      </c>
      <c r="G4" s="904">
        <f>SUM(G5:G5)</f>
        <v>14073.000000000002</v>
      </c>
      <c r="H4" s="904">
        <f>SUM(H5:H5)</f>
        <v>1963.9999999999998</v>
      </c>
      <c r="I4" s="903"/>
      <c r="J4" s="905"/>
      <c r="K4" s="906"/>
      <c r="L4" s="906"/>
      <c r="M4" s="903"/>
      <c r="N4" s="907"/>
    </row>
    <row r="5" spans="1:14" ht="265.2" x14ac:dyDescent="0.3">
      <c r="A5" s="908" t="s">
        <v>271</v>
      </c>
      <c r="B5" s="909" t="s">
        <v>20</v>
      </c>
      <c r="C5" s="910"/>
      <c r="D5" s="910"/>
      <c r="E5" s="911">
        <f>E6+E7+E8+E9+E10+E11+E30+E96+E130</f>
        <v>12086.599999999999</v>
      </c>
      <c r="F5" s="911">
        <f>F6+F7+F8+F9+F10+F11+F30+F96+F130</f>
        <v>16036.9</v>
      </c>
      <c r="G5" s="911">
        <f>G6+G7+G8+G9+G10+G11+G30+G96+G130+0.1</f>
        <v>14073.000000000002</v>
      </c>
      <c r="H5" s="911">
        <f>H6+H7+H8+H9+H10+H11+H30+H96+H130</f>
        <v>1963.9999999999998</v>
      </c>
      <c r="I5" s="910" t="s">
        <v>272</v>
      </c>
      <c r="J5" s="912" t="s">
        <v>273</v>
      </c>
      <c r="K5" s="913" t="s">
        <v>274</v>
      </c>
      <c r="L5" s="913" t="s">
        <v>275</v>
      </c>
      <c r="M5" s="910" t="s">
        <v>276</v>
      </c>
      <c r="N5" s="914" t="s">
        <v>277</v>
      </c>
    </row>
    <row r="6" spans="1:14" ht="31.2" x14ac:dyDescent="0.3">
      <c r="A6" s="915"/>
      <c r="B6" s="916"/>
      <c r="C6" s="917"/>
      <c r="D6" s="917"/>
      <c r="E6" s="918">
        <v>0</v>
      </c>
      <c r="F6" s="918">
        <v>0</v>
      </c>
      <c r="G6" s="918">
        <v>0</v>
      </c>
      <c r="H6" s="918">
        <v>0</v>
      </c>
      <c r="I6" s="917" t="s">
        <v>278</v>
      </c>
      <c r="J6" s="919" t="s">
        <v>273</v>
      </c>
      <c r="K6" s="920" t="s">
        <v>279</v>
      </c>
      <c r="L6" s="920">
        <v>518</v>
      </c>
      <c r="M6" s="917"/>
      <c r="N6" s="921"/>
    </row>
    <row r="7" spans="1:14" ht="31.2" x14ac:dyDescent="0.3">
      <c r="A7" s="915"/>
      <c r="B7" s="916"/>
      <c r="C7" s="917"/>
      <c r="D7" s="917"/>
      <c r="E7" s="918">
        <v>0</v>
      </c>
      <c r="F7" s="918">
        <v>0</v>
      </c>
      <c r="G7" s="918">
        <v>0</v>
      </c>
      <c r="H7" s="918">
        <v>0</v>
      </c>
      <c r="I7" s="917" t="s">
        <v>280</v>
      </c>
      <c r="J7" s="919" t="s">
        <v>281</v>
      </c>
      <c r="K7" s="920" t="s">
        <v>282</v>
      </c>
      <c r="L7" s="920" t="s">
        <v>283</v>
      </c>
      <c r="M7" s="917"/>
      <c r="N7" s="921"/>
    </row>
    <row r="8" spans="1:14" x14ac:dyDescent="0.3">
      <c r="A8" s="915"/>
      <c r="B8" s="916"/>
      <c r="C8" s="917"/>
      <c r="D8" s="917"/>
      <c r="E8" s="918">
        <v>0</v>
      </c>
      <c r="F8" s="918">
        <v>0</v>
      </c>
      <c r="G8" s="918">
        <v>0</v>
      </c>
      <c r="H8" s="918">
        <v>0</v>
      </c>
      <c r="I8" s="917" t="s">
        <v>284</v>
      </c>
      <c r="J8" s="919" t="s">
        <v>285</v>
      </c>
      <c r="K8" s="920" t="s">
        <v>286</v>
      </c>
      <c r="L8" s="920" t="s">
        <v>286</v>
      </c>
      <c r="M8" s="917"/>
      <c r="N8" s="921"/>
    </row>
    <row r="9" spans="1:14" ht="62.4" x14ac:dyDescent="0.3">
      <c r="A9" s="915"/>
      <c r="B9" s="916"/>
      <c r="C9" s="917"/>
      <c r="D9" s="917"/>
      <c r="E9" s="918">
        <v>0</v>
      </c>
      <c r="F9" s="918">
        <v>0</v>
      </c>
      <c r="G9" s="918">
        <v>0</v>
      </c>
      <c r="H9" s="918">
        <v>0</v>
      </c>
      <c r="I9" s="917" t="s">
        <v>287</v>
      </c>
      <c r="J9" s="919" t="s">
        <v>285</v>
      </c>
      <c r="K9" s="920" t="s">
        <v>288</v>
      </c>
      <c r="L9" s="920" t="s">
        <v>288</v>
      </c>
      <c r="M9" s="917"/>
      <c r="N9" s="921"/>
    </row>
    <row r="10" spans="1:14" ht="63" thickBot="1" x14ac:dyDescent="0.35">
      <c r="A10" s="915"/>
      <c r="B10" s="916"/>
      <c r="C10" s="917"/>
      <c r="D10" s="917"/>
      <c r="E10" s="918">
        <v>0</v>
      </c>
      <c r="F10" s="918">
        <v>0</v>
      </c>
      <c r="G10" s="918">
        <v>0</v>
      </c>
      <c r="H10" s="918">
        <v>0</v>
      </c>
      <c r="I10" s="917" t="s">
        <v>289</v>
      </c>
      <c r="J10" s="919" t="s">
        <v>285</v>
      </c>
      <c r="K10" s="920" t="s">
        <v>290</v>
      </c>
      <c r="L10" s="920" t="s">
        <v>291</v>
      </c>
      <c r="M10" s="917"/>
      <c r="N10" s="921"/>
    </row>
    <row r="11" spans="1:14" ht="47.4" thickBot="1" x14ac:dyDescent="0.35">
      <c r="A11" s="922" t="s">
        <v>292</v>
      </c>
      <c r="B11" s="923" t="s">
        <v>21</v>
      </c>
      <c r="C11" s="924"/>
      <c r="D11" s="924"/>
      <c r="E11" s="925">
        <f>E12+E15+E20+E22+E25</f>
        <v>284.7</v>
      </c>
      <c r="F11" s="925">
        <f>F12+F15+F20+F22+F25</f>
        <v>272</v>
      </c>
      <c r="G11" s="925">
        <f>G12+G15+G20+G22+G25</f>
        <v>231.39999999999998</v>
      </c>
      <c r="H11" s="925">
        <f>H12+H15+H20+H22+H25</f>
        <v>40.6</v>
      </c>
      <c r="I11" s="924"/>
      <c r="J11" s="926"/>
      <c r="K11" s="927"/>
      <c r="L11" s="927"/>
      <c r="M11" s="924"/>
      <c r="N11" s="928"/>
    </row>
    <row r="12" spans="1:14" ht="47.4" thickBot="1" x14ac:dyDescent="0.35">
      <c r="A12" s="929" t="s">
        <v>293</v>
      </c>
      <c r="B12" s="930" t="s">
        <v>178</v>
      </c>
      <c r="C12" s="931"/>
      <c r="D12" s="931"/>
      <c r="E12" s="932">
        <f>SUM(E13:E13)</f>
        <v>48</v>
      </c>
      <c r="F12" s="932">
        <f>SUM(F13:F13)</f>
        <v>48</v>
      </c>
      <c r="G12" s="932">
        <f>SUM(G13:G13)</f>
        <v>47.8</v>
      </c>
      <c r="H12" s="932">
        <f>SUM(H13:H13)</f>
        <v>0.2</v>
      </c>
      <c r="I12" s="931"/>
      <c r="J12" s="933"/>
      <c r="K12" s="934"/>
      <c r="L12" s="934"/>
      <c r="M12" s="931"/>
      <c r="N12" s="935"/>
    </row>
    <row r="13" spans="1:14" ht="136.5" customHeight="1" x14ac:dyDescent="0.3">
      <c r="A13" s="929" t="s">
        <v>294</v>
      </c>
      <c r="B13" s="930" t="s">
        <v>178</v>
      </c>
      <c r="C13" s="931" t="s">
        <v>295</v>
      </c>
      <c r="D13" s="931" t="s">
        <v>25</v>
      </c>
      <c r="E13" s="932">
        <f>SUM(E14:E14)+48</f>
        <v>48</v>
      </c>
      <c r="F13" s="932">
        <f>SUM(F14:F14)+48</f>
        <v>48</v>
      </c>
      <c r="G13" s="932">
        <f>SUM(G14:G14)+47.8</f>
        <v>47.8</v>
      </c>
      <c r="H13" s="932">
        <f>SUM(H14:H14)+0.2</f>
        <v>0.2</v>
      </c>
      <c r="I13" s="931" t="s">
        <v>296</v>
      </c>
      <c r="J13" s="933" t="s">
        <v>281</v>
      </c>
      <c r="K13" s="934" t="s">
        <v>297</v>
      </c>
      <c r="L13" s="934" t="s">
        <v>297</v>
      </c>
      <c r="M13" s="931" t="s">
        <v>298</v>
      </c>
      <c r="N13" s="935" t="s">
        <v>299</v>
      </c>
    </row>
    <row r="14" spans="1:14" ht="109.8" thickBot="1" x14ac:dyDescent="0.35">
      <c r="A14" s="915"/>
      <c r="B14" s="916"/>
      <c r="C14" s="917"/>
      <c r="D14" s="917"/>
      <c r="E14" s="918">
        <v>0</v>
      </c>
      <c r="F14" s="918">
        <v>0</v>
      </c>
      <c r="G14" s="918">
        <v>0</v>
      </c>
      <c r="H14" s="918">
        <v>0</v>
      </c>
      <c r="I14" s="917" t="s">
        <v>300</v>
      </c>
      <c r="J14" s="919" t="s">
        <v>281</v>
      </c>
      <c r="K14" s="920" t="s">
        <v>301</v>
      </c>
      <c r="L14" s="920" t="s">
        <v>302</v>
      </c>
      <c r="M14" s="917"/>
      <c r="N14" s="921" t="s">
        <v>303</v>
      </c>
    </row>
    <row r="15" spans="1:14" ht="47.4" thickBot="1" x14ac:dyDescent="0.35">
      <c r="A15" s="929" t="s">
        <v>304</v>
      </c>
      <c r="B15" s="930" t="s">
        <v>107</v>
      </c>
      <c r="C15" s="931"/>
      <c r="D15" s="931"/>
      <c r="E15" s="932">
        <f>SUM(E16:E16)</f>
        <v>15</v>
      </c>
      <c r="F15" s="932">
        <f>SUM(F16:F16)</f>
        <v>15</v>
      </c>
      <c r="G15" s="932">
        <f>SUM(G16:G16)</f>
        <v>13.799999999999999</v>
      </c>
      <c r="H15" s="932">
        <f>SUM(H16:H16)</f>
        <v>1.2</v>
      </c>
      <c r="I15" s="931"/>
      <c r="J15" s="933"/>
      <c r="K15" s="934"/>
      <c r="L15" s="934"/>
      <c r="M15" s="931"/>
      <c r="N15" s="935"/>
    </row>
    <row r="16" spans="1:14" ht="265.2" x14ac:dyDescent="0.3">
      <c r="A16" s="929" t="s">
        <v>305</v>
      </c>
      <c r="B16" s="930" t="s">
        <v>107</v>
      </c>
      <c r="C16" s="931"/>
      <c r="D16" s="931"/>
      <c r="E16" s="932">
        <f>SUM(E17:E19)</f>
        <v>15</v>
      </c>
      <c r="F16" s="932">
        <f>SUM(F17:F19)</f>
        <v>15</v>
      </c>
      <c r="G16" s="932">
        <f>SUM(G17:G19)+0.1</f>
        <v>13.799999999999999</v>
      </c>
      <c r="H16" s="932">
        <f>SUM(H17:H19)-0.1</f>
        <v>1.2</v>
      </c>
      <c r="I16" s="931" t="s">
        <v>306</v>
      </c>
      <c r="J16" s="933" t="s">
        <v>281</v>
      </c>
      <c r="K16" s="934" t="s">
        <v>307</v>
      </c>
      <c r="L16" s="934" t="s">
        <v>307</v>
      </c>
      <c r="M16" s="931"/>
      <c r="N16" s="935" t="s">
        <v>308</v>
      </c>
    </row>
    <row r="17" spans="1:14" ht="62.4" x14ac:dyDescent="0.3">
      <c r="A17" s="915"/>
      <c r="B17" s="916"/>
      <c r="C17" s="917"/>
      <c r="D17" s="917"/>
      <c r="E17" s="918">
        <v>0</v>
      </c>
      <c r="F17" s="918">
        <v>0</v>
      </c>
      <c r="G17" s="918">
        <v>0</v>
      </c>
      <c r="H17" s="918">
        <v>0</v>
      </c>
      <c r="I17" s="917" t="s">
        <v>309</v>
      </c>
      <c r="J17" s="919" t="s">
        <v>273</v>
      </c>
      <c r="K17" s="920" t="s">
        <v>310</v>
      </c>
      <c r="L17" s="920" t="s">
        <v>311</v>
      </c>
      <c r="M17" s="917"/>
      <c r="N17" s="921" t="s">
        <v>312</v>
      </c>
    </row>
    <row r="18" spans="1:14" ht="78" x14ac:dyDescent="0.3">
      <c r="A18" s="915"/>
      <c r="B18" s="916"/>
      <c r="C18" s="917" t="s">
        <v>295</v>
      </c>
      <c r="D18" s="917" t="s">
        <v>25</v>
      </c>
      <c r="E18" s="918">
        <v>9</v>
      </c>
      <c r="F18" s="918">
        <v>9</v>
      </c>
      <c r="G18" s="918">
        <v>8.9</v>
      </c>
      <c r="H18" s="918">
        <v>0.1</v>
      </c>
      <c r="I18" s="917"/>
      <c r="J18" s="919"/>
      <c r="K18" s="920"/>
      <c r="L18" s="920"/>
      <c r="M18" s="917"/>
      <c r="N18" s="921"/>
    </row>
    <row r="19" spans="1:14" ht="78.599999999999994" thickBot="1" x14ac:dyDescent="0.35">
      <c r="A19" s="915"/>
      <c r="B19" s="916"/>
      <c r="C19" s="917" t="s">
        <v>295</v>
      </c>
      <c r="D19" s="917" t="s">
        <v>164</v>
      </c>
      <c r="E19" s="918">
        <v>6</v>
      </c>
      <c r="F19" s="918">
        <v>6</v>
      </c>
      <c r="G19" s="918">
        <v>4.8</v>
      </c>
      <c r="H19" s="918">
        <v>1.2</v>
      </c>
      <c r="I19" s="917"/>
      <c r="J19" s="919"/>
      <c r="K19" s="920"/>
      <c r="L19" s="920"/>
      <c r="M19" s="917"/>
      <c r="N19" s="921"/>
    </row>
    <row r="20" spans="1:14" ht="47.4" thickBot="1" x14ac:dyDescent="0.35">
      <c r="A20" s="929" t="s">
        <v>313</v>
      </c>
      <c r="B20" s="930" t="s">
        <v>202</v>
      </c>
      <c r="C20" s="931"/>
      <c r="D20" s="931"/>
      <c r="E20" s="932">
        <f>SUM(E21:E21)</f>
        <v>25</v>
      </c>
      <c r="F20" s="932">
        <f>SUM(F21:F21)</f>
        <v>20.9</v>
      </c>
      <c r="G20" s="932">
        <f>SUM(G21:G21)</f>
        <v>20.9</v>
      </c>
      <c r="H20" s="932">
        <f>SUM(H21:H21)</f>
        <v>0</v>
      </c>
      <c r="I20" s="931"/>
      <c r="J20" s="933"/>
      <c r="K20" s="934"/>
      <c r="L20" s="934"/>
      <c r="M20" s="931"/>
      <c r="N20" s="935"/>
    </row>
    <row r="21" spans="1:14" ht="78.599999999999994" thickBot="1" x14ac:dyDescent="0.35">
      <c r="A21" s="929" t="s">
        <v>314</v>
      </c>
      <c r="B21" s="930" t="s">
        <v>202</v>
      </c>
      <c r="C21" s="931" t="s">
        <v>295</v>
      </c>
      <c r="D21" s="931" t="s">
        <v>25</v>
      </c>
      <c r="E21" s="936">
        <v>25</v>
      </c>
      <c r="F21" s="936">
        <v>20.9</v>
      </c>
      <c r="G21" s="936">
        <v>20.9</v>
      </c>
      <c r="H21" s="936">
        <v>0</v>
      </c>
      <c r="I21" s="931" t="s">
        <v>296</v>
      </c>
      <c r="J21" s="933" t="s">
        <v>281</v>
      </c>
      <c r="K21" s="934" t="s">
        <v>315</v>
      </c>
      <c r="L21" s="934" t="s">
        <v>315</v>
      </c>
      <c r="M21" s="931"/>
      <c r="N21" s="935" t="s">
        <v>316</v>
      </c>
    </row>
    <row r="22" spans="1:14" ht="47.4" thickBot="1" x14ac:dyDescent="0.35">
      <c r="A22" s="929" t="s">
        <v>317</v>
      </c>
      <c r="B22" s="930" t="s">
        <v>318</v>
      </c>
      <c r="C22" s="931"/>
      <c r="D22" s="931"/>
      <c r="E22" s="932">
        <f>SUM(E23:E23)</f>
        <v>33.299999999999997</v>
      </c>
      <c r="F22" s="932">
        <f>SUM(F23:F23)</f>
        <v>62.3</v>
      </c>
      <c r="G22" s="932">
        <f>SUM(G23:G23)</f>
        <v>23.8</v>
      </c>
      <c r="H22" s="932">
        <f>SUM(H23:H23)</f>
        <v>38.5</v>
      </c>
      <c r="I22" s="931"/>
      <c r="J22" s="933"/>
      <c r="K22" s="934"/>
      <c r="L22" s="934"/>
      <c r="M22" s="931"/>
      <c r="N22" s="935"/>
    </row>
    <row r="23" spans="1:14" ht="171.6" x14ac:dyDescent="0.3">
      <c r="A23" s="929" t="s">
        <v>319</v>
      </c>
      <c r="B23" s="930" t="s">
        <v>200</v>
      </c>
      <c r="C23" s="931" t="s">
        <v>295</v>
      </c>
      <c r="D23" s="931" t="s">
        <v>25</v>
      </c>
      <c r="E23" s="932">
        <f>SUM(E24:E24)+33.3</f>
        <v>33.299999999999997</v>
      </c>
      <c r="F23" s="932">
        <f>SUM(F24:F24)+62.3</f>
        <v>62.3</v>
      </c>
      <c r="G23" s="932">
        <f>SUM(G24:G24)+23.8</f>
        <v>23.8</v>
      </c>
      <c r="H23" s="932">
        <f>SUM(H24:H24)+38.5</f>
        <v>38.5</v>
      </c>
      <c r="I23" s="931" t="s">
        <v>320</v>
      </c>
      <c r="J23" s="933" t="s">
        <v>281</v>
      </c>
      <c r="K23" s="934" t="s">
        <v>321</v>
      </c>
      <c r="L23" s="934" t="s">
        <v>322</v>
      </c>
      <c r="M23" s="931"/>
      <c r="N23" s="935" t="s">
        <v>323</v>
      </c>
    </row>
    <row r="24" spans="1:14" ht="375" thickBot="1" x14ac:dyDescent="0.35">
      <c r="A24" s="915"/>
      <c r="B24" s="916"/>
      <c r="C24" s="917"/>
      <c r="D24" s="917"/>
      <c r="E24" s="918">
        <v>0</v>
      </c>
      <c r="F24" s="918">
        <v>0</v>
      </c>
      <c r="G24" s="918">
        <v>0</v>
      </c>
      <c r="H24" s="918">
        <v>0</v>
      </c>
      <c r="I24" s="917" t="s">
        <v>324</v>
      </c>
      <c r="J24" s="919" t="s">
        <v>325</v>
      </c>
      <c r="K24" s="920" t="s">
        <v>326</v>
      </c>
      <c r="L24" s="920" t="s">
        <v>326</v>
      </c>
      <c r="M24" s="917"/>
      <c r="N24" s="921" t="s">
        <v>327</v>
      </c>
    </row>
    <row r="25" spans="1:14" ht="47.4" thickBot="1" x14ac:dyDescent="0.35">
      <c r="A25" s="929" t="s">
        <v>328</v>
      </c>
      <c r="B25" s="930" t="s">
        <v>180</v>
      </c>
      <c r="C25" s="931"/>
      <c r="D25" s="931"/>
      <c r="E25" s="932">
        <f>SUM(E26:E26)</f>
        <v>163.4</v>
      </c>
      <c r="F25" s="932">
        <f>SUM(F26:F26)</f>
        <v>125.80000000000001</v>
      </c>
      <c r="G25" s="932">
        <f>SUM(G26:G26)</f>
        <v>125.1</v>
      </c>
      <c r="H25" s="932">
        <f>SUM(H26:H26)</f>
        <v>0.7</v>
      </c>
      <c r="I25" s="931"/>
      <c r="J25" s="933"/>
      <c r="K25" s="934"/>
      <c r="L25" s="934"/>
      <c r="M25" s="931"/>
      <c r="N25" s="935"/>
    </row>
    <row r="26" spans="1:14" ht="62.4" x14ac:dyDescent="0.3">
      <c r="A26" s="929" t="s">
        <v>329</v>
      </c>
      <c r="B26" s="930" t="s">
        <v>180</v>
      </c>
      <c r="C26" s="931"/>
      <c r="D26" s="931"/>
      <c r="E26" s="932">
        <f>SUM(E27:E29)</f>
        <v>163.4</v>
      </c>
      <c r="F26" s="932">
        <f>SUM(F27:F29)</f>
        <v>125.80000000000001</v>
      </c>
      <c r="G26" s="932">
        <f>SUM(G27:G29)</f>
        <v>125.1</v>
      </c>
      <c r="H26" s="932">
        <f>SUM(H27:H29)</f>
        <v>0.7</v>
      </c>
      <c r="I26" s="931" t="s">
        <v>330</v>
      </c>
      <c r="J26" s="933" t="s">
        <v>281</v>
      </c>
      <c r="K26" s="934" t="s">
        <v>331</v>
      </c>
      <c r="L26" s="934" t="s">
        <v>332</v>
      </c>
      <c r="M26" s="931"/>
      <c r="N26" s="935"/>
    </row>
    <row r="27" spans="1:14" ht="93.6" x14ac:dyDescent="0.3">
      <c r="A27" s="915"/>
      <c r="B27" s="916"/>
      <c r="C27" s="917"/>
      <c r="D27" s="917"/>
      <c r="E27" s="918">
        <v>0</v>
      </c>
      <c r="F27" s="918">
        <v>0</v>
      </c>
      <c r="G27" s="918">
        <v>0</v>
      </c>
      <c r="H27" s="918">
        <v>0</v>
      </c>
      <c r="I27" s="917" t="s">
        <v>333</v>
      </c>
      <c r="J27" s="919" t="s">
        <v>334</v>
      </c>
      <c r="K27" s="920" t="s">
        <v>335</v>
      </c>
      <c r="L27" s="920" t="s">
        <v>336</v>
      </c>
      <c r="M27" s="917"/>
      <c r="N27" s="921" t="s">
        <v>337</v>
      </c>
    </row>
    <row r="28" spans="1:14" ht="78" x14ac:dyDescent="0.3">
      <c r="A28" s="915"/>
      <c r="B28" s="916"/>
      <c r="C28" s="917" t="s">
        <v>295</v>
      </c>
      <c r="D28" s="917" t="s">
        <v>25</v>
      </c>
      <c r="E28" s="918">
        <v>153</v>
      </c>
      <c r="F28" s="918">
        <v>115.4</v>
      </c>
      <c r="G28" s="918">
        <v>114.8</v>
      </c>
      <c r="H28" s="918">
        <v>0.6</v>
      </c>
      <c r="I28" s="917"/>
      <c r="J28" s="919"/>
      <c r="K28" s="920"/>
      <c r="L28" s="920"/>
      <c r="M28" s="917"/>
      <c r="N28" s="921"/>
    </row>
    <row r="29" spans="1:14" ht="78.599999999999994" thickBot="1" x14ac:dyDescent="0.35">
      <c r="A29" s="915"/>
      <c r="B29" s="916"/>
      <c r="C29" s="917" t="s">
        <v>338</v>
      </c>
      <c r="D29" s="917" t="s">
        <v>25</v>
      </c>
      <c r="E29" s="918">
        <v>10.4</v>
      </c>
      <c r="F29" s="918">
        <v>10.4</v>
      </c>
      <c r="G29" s="918">
        <v>10.3</v>
      </c>
      <c r="H29" s="918">
        <v>0.1</v>
      </c>
      <c r="I29" s="917"/>
      <c r="J29" s="919"/>
      <c r="K29" s="920"/>
      <c r="L29" s="920"/>
      <c r="M29" s="917"/>
      <c r="N29" s="921"/>
    </row>
    <row r="30" spans="1:14" ht="63" thickBot="1" x14ac:dyDescent="0.35">
      <c r="A30" s="922" t="s">
        <v>339</v>
      </c>
      <c r="B30" s="923" t="s">
        <v>34</v>
      </c>
      <c r="C30" s="924"/>
      <c r="D30" s="924"/>
      <c r="E30" s="925">
        <f>E31+E77+E85+E87+E91+E93</f>
        <v>6582.0999999999995</v>
      </c>
      <c r="F30" s="925">
        <f>F31+F77+F85+F87+F91+F93</f>
        <v>6801.8</v>
      </c>
      <c r="G30" s="925">
        <f>G31+G77+G85+G87+G91+G93-0.1</f>
        <v>6600.4</v>
      </c>
      <c r="H30" s="925">
        <f>H31+H77+H85+H87+H91+H93+0.1</f>
        <v>201.39999999999998</v>
      </c>
      <c r="I30" s="924"/>
      <c r="J30" s="926"/>
      <c r="K30" s="927"/>
      <c r="L30" s="927"/>
      <c r="M30" s="924"/>
      <c r="N30" s="928"/>
    </row>
    <row r="31" spans="1:14" ht="46.8" x14ac:dyDescent="0.3">
      <c r="A31" s="929" t="s">
        <v>340</v>
      </c>
      <c r="B31" s="930" t="s">
        <v>341</v>
      </c>
      <c r="C31" s="931"/>
      <c r="D31" s="931"/>
      <c r="E31" s="932">
        <f>E32+E33+E34+E35+E36+E37+E45+E50+E56+E61+E68+E75+E76</f>
        <v>5199.2</v>
      </c>
      <c r="F31" s="932">
        <f>F32+F33+F34+F35+F36+F37+F45+F50+F56+F61+F68+F75+F76</f>
        <v>5404.4</v>
      </c>
      <c r="G31" s="932">
        <f>G32+G33+G34+G35+G36+G37+G45+G50+G56+G61+G68+G75+G76-0.1</f>
        <v>5203.5999999999995</v>
      </c>
      <c r="H31" s="932">
        <f>H32+H33+H34+H35+H36+H37+H45+H50+H56+H61+H68+H75+H76+0.1</f>
        <v>200.79999999999998</v>
      </c>
      <c r="I31" s="931" t="s">
        <v>342</v>
      </c>
      <c r="J31" s="933" t="s">
        <v>281</v>
      </c>
      <c r="K31" s="934" t="s">
        <v>343</v>
      </c>
      <c r="L31" s="934" t="s">
        <v>344</v>
      </c>
      <c r="M31" s="931"/>
      <c r="N31" s="935"/>
    </row>
    <row r="32" spans="1:14" ht="31.2" x14ac:dyDescent="0.3">
      <c r="A32" s="915"/>
      <c r="B32" s="916"/>
      <c r="C32" s="917"/>
      <c r="D32" s="917"/>
      <c r="E32" s="918">
        <v>0</v>
      </c>
      <c r="F32" s="918">
        <v>0</v>
      </c>
      <c r="G32" s="918">
        <v>0</v>
      </c>
      <c r="H32" s="918">
        <v>0</v>
      </c>
      <c r="I32" s="917" t="s">
        <v>345</v>
      </c>
      <c r="J32" s="919" t="s">
        <v>281</v>
      </c>
      <c r="K32" s="920" t="s">
        <v>346</v>
      </c>
      <c r="L32" s="920" t="s">
        <v>347</v>
      </c>
      <c r="M32" s="917"/>
      <c r="N32" s="921"/>
    </row>
    <row r="33" spans="1:14" ht="78" x14ac:dyDescent="0.3">
      <c r="A33" s="915"/>
      <c r="B33" s="916"/>
      <c r="C33" s="917"/>
      <c r="D33" s="917"/>
      <c r="E33" s="918">
        <v>0</v>
      </c>
      <c r="F33" s="918">
        <v>0</v>
      </c>
      <c r="G33" s="918">
        <v>0</v>
      </c>
      <c r="H33" s="918">
        <v>0</v>
      </c>
      <c r="I33" s="917" t="s">
        <v>348</v>
      </c>
      <c r="J33" s="919" t="s">
        <v>325</v>
      </c>
      <c r="K33" s="920" t="s">
        <v>349</v>
      </c>
      <c r="L33" s="920" t="s">
        <v>350</v>
      </c>
      <c r="M33" s="917"/>
      <c r="N33" s="921" t="s">
        <v>351</v>
      </c>
    </row>
    <row r="34" spans="1:14" ht="31.2" x14ac:dyDescent="0.3">
      <c r="A34" s="915"/>
      <c r="B34" s="916"/>
      <c r="C34" s="917"/>
      <c r="D34" s="917"/>
      <c r="E34" s="918">
        <v>0</v>
      </c>
      <c r="F34" s="918">
        <v>0</v>
      </c>
      <c r="G34" s="918">
        <v>0</v>
      </c>
      <c r="H34" s="918">
        <v>0</v>
      </c>
      <c r="I34" s="917" t="s">
        <v>352</v>
      </c>
      <c r="J34" s="919" t="s">
        <v>281</v>
      </c>
      <c r="K34" s="920" t="s">
        <v>353</v>
      </c>
      <c r="L34" s="920" t="s">
        <v>354</v>
      </c>
      <c r="M34" s="917"/>
      <c r="N34" s="921"/>
    </row>
    <row r="35" spans="1:14" x14ac:dyDescent="0.3">
      <c r="A35" s="915"/>
      <c r="B35" s="916"/>
      <c r="C35" s="917"/>
      <c r="D35" s="917"/>
      <c r="E35" s="918">
        <v>0</v>
      </c>
      <c r="F35" s="918">
        <v>0</v>
      </c>
      <c r="G35" s="918">
        <v>0</v>
      </c>
      <c r="H35" s="918">
        <v>0</v>
      </c>
      <c r="I35" s="917" t="s">
        <v>355</v>
      </c>
      <c r="J35" s="919" t="s">
        <v>281</v>
      </c>
      <c r="K35" s="920" t="s">
        <v>356</v>
      </c>
      <c r="L35" s="920" t="s">
        <v>357</v>
      </c>
      <c r="M35" s="917"/>
      <c r="N35" s="921"/>
    </row>
    <row r="36" spans="1:14" ht="16.2" thickBot="1" x14ac:dyDescent="0.35">
      <c r="A36" s="915"/>
      <c r="B36" s="916"/>
      <c r="C36" s="917"/>
      <c r="D36" s="917"/>
      <c r="E36" s="918">
        <v>0</v>
      </c>
      <c r="F36" s="918">
        <v>0</v>
      </c>
      <c r="G36" s="918">
        <v>0</v>
      </c>
      <c r="H36" s="918">
        <v>0</v>
      </c>
      <c r="I36" s="917" t="s">
        <v>358</v>
      </c>
      <c r="J36" s="919" t="s">
        <v>281</v>
      </c>
      <c r="K36" s="920" t="s">
        <v>359</v>
      </c>
      <c r="L36" s="920" t="s">
        <v>360</v>
      </c>
      <c r="M36" s="917"/>
      <c r="N36" s="921"/>
    </row>
    <row r="37" spans="1:14" ht="62.4" x14ac:dyDescent="0.3">
      <c r="A37" s="929" t="s">
        <v>361</v>
      </c>
      <c r="B37" s="930" t="s">
        <v>38</v>
      </c>
      <c r="C37" s="931"/>
      <c r="D37" s="931"/>
      <c r="E37" s="932">
        <f>SUM(E38:E44)</f>
        <v>1608.7</v>
      </c>
      <c r="F37" s="932">
        <f>SUM(F38:F44)</f>
        <v>1609.3</v>
      </c>
      <c r="G37" s="932">
        <f>SUM(G38:G44)</f>
        <v>1609.3</v>
      </c>
      <c r="H37" s="932">
        <f>SUM(H38:H44)</f>
        <v>0</v>
      </c>
      <c r="I37" s="931" t="s">
        <v>362</v>
      </c>
      <c r="J37" s="933" t="s">
        <v>273</v>
      </c>
      <c r="K37" s="934" t="s">
        <v>363</v>
      </c>
      <c r="L37" s="934" t="s">
        <v>363</v>
      </c>
      <c r="M37" s="931"/>
      <c r="N37" s="935"/>
    </row>
    <row r="38" spans="1:14" x14ac:dyDescent="0.3">
      <c r="A38" s="915"/>
      <c r="B38" s="916"/>
      <c r="C38" s="917"/>
      <c r="D38" s="917"/>
      <c r="E38" s="918">
        <v>0</v>
      </c>
      <c r="F38" s="918">
        <v>0</v>
      </c>
      <c r="G38" s="918">
        <v>0</v>
      </c>
      <c r="H38" s="918">
        <v>0</v>
      </c>
      <c r="I38" s="917" t="s">
        <v>364</v>
      </c>
      <c r="J38" s="919" t="s">
        <v>273</v>
      </c>
      <c r="K38" s="920" t="s">
        <v>315</v>
      </c>
      <c r="L38" s="920" t="s">
        <v>315</v>
      </c>
      <c r="M38" s="917"/>
      <c r="N38" s="921"/>
    </row>
    <row r="39" spans="1:14" ht="31.2" x14ac:dyDescent="0.3">
      <c r="A39" s="915"/>
      <c r="B39" s="916"/>
      <c r="C39" s="917"/>
      <c r="D39" s="917"/>
      <c r="E39" s="918">
        <v>0</v>
      </c>
      <c r="F39" s="918">
        <v>0</v>
      </c>
      <c r="G39" s="918">
        <v>0</v>
      </c>
      <c r="H39" s="918">
        <v>0</v>
      </c>
      <c r="I39" s="917" t="s">
        <v>365</v>
      </c>
      <c r="J39" s="919" t="s">
        <v>273</v>
      </c>
      <c r="K39" s="920" t="s">
        <v>315</v>
      </c>
      <c r="L39" s="920" t="s">
        <v>315</v>
      </c>
      <c r="M39" s="917"/>
      <c r="N39" s="921" t="s">
        <v>366</v>
      </c>
    </row>
    <row r="40" spans="1:14" x14ac:dyDescent="0.3">
      <c r="A40" s="915"/>
      <c r="B40" s="916"/>
      <c r="C40" s="917"/>
      <c r="D40" s="917"/>
      <c r="E40" s="918">
        <v>0</v>
      </c>
      <c r="F40" s="918">
        <v>0</v>
      </c>
      <c r="G40" s="918">
        <v>0</v>
      </c>
      <c r="H40" s="918">
        <v>0</v>
      </c>
      <c r="I40" s="917" t="s">
        <v>367</v>
      </c>
      <c r="J40" s="919" t="s">
        <v>273</v>
      </c>
      <c r="K40" s="920" t="s">
        <v>297</v>
      </c>
      <c r="L40" s="920" t="s">
        <v>297</v>
      </c>
      <c r="M40" s="917"/>
      <c r="N40" s="921" t="s">
        <v>368</v>
      </c>
    </row>
    <row r="41" spans="1:14" ht="78" x14ac:dyDescent="0.3">
      <c r="A41" s="915"/>
      <c r="B41" s="916"/>
      <c r="C41" s="917" t="s">
        <v>295</v>
      </c>
      <c r="D41" s="917" t="s">
        <v>36</v>
      </c>
      <c r="E41" s="918">
        <v>17.399999999999999</v>
      </c>
      <c r="F41" s="918">
        <v>17.399999999999999</v>
      </c>
      <c r="G41" s="918">
        <v>17.399999999999999</v>
      </c>
      <c r="H41" s="918">
        <v>0</v>
      </c>
      <c r="I41" s="917"/>
      <c r="J41" s="919"/>
      <c r="K41" s="920"/>
      <c r="L41" s="920"/>
      <c r="M41" s="917"/>
      <c r="N41" s="921"/>
    </row>
    <row r="42" spans="1:14" ht="78" x14ac:dyDescent="0.3">
      <c r="A42" s="915"/>
      <c r="B42" s="916"/>
      <c r="C42" s="917" t="s">
        <v>295</v>
      </c>
      <c r="D42" s="917" t="s">
        <v>106</v>
      </c>
      <c r="E42" s="918">
        <v>1.6</v>
      </c>
      <c r="F42" s="918">
        <v>1.6</v>
      </c>
      <c r="G42" s="918">
        <v>1.6</v>
      </c>
      <c r="H42" s="918">
        <v>0</v>
      </c>
      <c r="I42" s="917"/>
      <c r="J42" s="919"/>
      <c r="K42" s="920"/>
      <c r="L42" s="920"/>
      <c r="M42" s="917"/>
      <c r="N42" s="921"/>
    </row>
    <row r="43" spans="1:14" ht="78" x14ac:dyDescent="0.3">
      <c r="A43" s="915"/>
      <c r="B43" s="916"/>
      <c r="C43" s="917" t="s">
        <v>295</v>
      </c>
      <c r="D43" s="917" t="s">
        <v>25</v>
      </c>
      <c r="E43" s="918">
        <v>1589.7</v>
      </c>
      <c r="F43" s="918">
        <v>1589.7</v>
      </c>
      <c r="G43" s="918">
        <v>1589.7</v>
      </c>
      <c r="H43" s="918">
        <v>0</v>
      </c>
      <c r="I43" s="917"/>
      <c r="J43" s="919"/>
      <c r="K43" s="920"/>
      <c r="L43" s="920"/>
      <c r="M43" s="917"/>
      <c r="N43" s="921"/>
    </row>
    <row r="44" spans="1:14" ht="78.599999999999994" thickBot="1" x14ac:dyDescent="0.35">
      <c r="A44" s="915"/>
      <c r="B44" s="916"/>
      <c r="C44" s="917" t="s">
        <v>295</v>
      </c>
      <c r="D44" s="917" t="s">
        <v>67</v>
      </c>
      <c r="E44" s="918">
        <v>0</v>
      </c>
      <c r="F44" s="918">
        <v>0.6</v>
      </c>
      <c r="G44" s="918">
        <v>0.6</v>
      </c>
      <c r="H44" s="918">
        <v>0</v>
      </c>
      <c r="I44" s="917"/>
      <c r="J44" s="919"/>
      <c r="K44" s="920"/>
      <c r="L44" s="920"/>
      <c r="M44" s="917"/>
      <c r="N44" s="921"/>
    </row>
    <row r="45" spans="1:14" ht="62.4" x14ac:dyDescent="0.3">
      <c r="A45" s="929" t="s">
        <v>369</v>
      </c>
      <c r="B45" s="930" t="s">
        <v>39</v>
      </c>
      <c r="C45" s="931"/>
      <c r="D45" s="931"/>
      <c r="E45" s="932">
        <f>SUM(E46:E49)</f>
        <v>774.5</v>
      </c>
      <c r="F45" s="932">
        <f>SUM(F46:F49)</f>
        <v>782.4</v>
      </c>
      <c r="G45" s="932">
        <f>SUM(G46:G49)-0.1</f>
        <v>735.4</v>
      </c>
      <c r="H45" s="932">
        <f>SUM(H46:H49)</f>
        <v>47</v>
      </c>
      <c r="I45" s="931" t="s">
        <v>370</v>
      </c>
      <c r="J45" s="933" t="s">
        <v>273</v>
      </c>
      <c r="K45" s="934" t="s">
        <v>371</v>
      </c>
      <c r="L45" s="934" t="s">
        <v>371</v>
      </c>
      <c r="M45" s="931"/>
      <c r="N45" s="935" t="s">
        <v>372</v>
      </c>
    </row>
    <row r="46" spans="1:14" ht="78" x14ac:dyDescent="0.3">
      <c r="A46" s="915"/>
      <c r="B46" s="916"/>
      <c r="C46" s="917" t="s">
        <v>295</v>
      </c>
      <c r="D46" s="917" t="s">
        <v>36</v>
      </c>
      <c r="E46" s="918">
        <v>90</v>
      </c>
      <c r="F46" s="918">
        <v>90</v>
      </c>
      <c r="G46" s="918">
        <v>45.2</v>
      </c>
      <c r="H46" s="918">
        <v>44.8</v>
      </c>
      <c r="I46" s="917"/>
      <c r="J46" s="919"/>
      <c r="K46" s="920"/>
      <c r="L46" s="920"/>
      <c r="M46" s="917"/>
      <c r="N46" s="921"/>
    </row>
    <row r="47" spans="1:14" ht="78" x14ac:dyDescent="0.3">
      <c r="A47" s="915"/>
      <c r="B47" s="916"/>
      <c r="C47" s="917" t="s">
        <v>295</v>
      </c>
      <c r="D47" s="917" t="s">
        <v>106</v>
      </c>
      <c r="E47" s="918">
        <v>20</v>
      </c>
      <c r="F47" s="918">
        <v>20</v>
      </c>
      <c r="G47" s="918">
        <v>20</v>
      </c>
      <c r="H47" s="918">
        <v>0</v>
      </c>
      <c r="I47" s="917"/>
      <c r="J47" s="919"/>
      <c r="K47" s="920"/>
      <c r="L47" s="920"/>
      <c r="M47" s="917"/>
      <c r="N47" s="921"/>
    </row>
    <row r="48" spans="1:14" ht="78" x14ac:dyDescent="0.3">
      <c r="A48" s="915"/>
      <c r="B48" s="916"/>
      <c r="C48" s="917" t="s">
        <v>295</v>
      </c>
      <c r="D48" s="917" t="s">
        <v>25</v>
      </c>
      <c r="E48" s="918">
        <v>664.5</v>
      </c>
      <c r="F48" s="918">
        <v>669.5</v>
      </c>
      <c r="G48" s="918">
        <v>669.5</v>
      </c>
      <c r="H48" s="918">
        <v>0</v>
      </c>
      <c r="I48" s="917"/>
      <c r="J48" s="919"/>
      <c r="K48" s="920"/>
      <c r="L48" s="920"/>
      <c r="M48" s="917"/>
      <c r="N48" s="921"/>
    </row>
    <row r="49" spans="1:14" ht="78.599999999999994" thickBot="1" x14ac:dyDescent="0.35">
      <c r="A49" s="915"/>
      <c r="B49" s="916"/>
      <c r="C49" s="917" t="s">
        <v>295</v>
      </c>
      <c r="D49" s="917" t="s">
        <v>67</v>
      </c>
      <c r="E49" s="918">
        <v>0</v>
      </c>
      <c r="F49" s="918">
        <v>2.9</v>
      </c>
      <c r="G49" s="918">
        <v>0.8</v>
      </c>
      <c r="H49" s="918">
        <v>2.2000000000000002</v>
      </c>
      <c r="I49" s="917"/>
      <c r="J49" s="919"/>
      <c r="K49" s="920"/>
      <c r="L49" s="920"/>
      <c r="M49" s="917"/>
      <c r="N49" s="921"/>
    </row>
    <row r="50" spans="1:14" ht="62.4" x14ac:dyDescent="0.3">
      <c r="A50" s="929" t="s">
        <v>373</v>
      </c>
      <c r="B50" s="930" t="s">
        <v>40</v>
      </c>
      <c r="C50" s="931"/>
      <c r="D50" s="931"/>
      <c r="E50" s="932">
        <f>SUM(E51:E55)</f>
        <v>506.5</v>
      </c>
      <c r="F50" s="932">
        <f>SUM(F51:F55)</f>
        <v>543.69999999999993</v>
      </c>
      <c r="G50" s="932">
        <f>SUM(G51:G55)</f>
        <v>508.2</v>
      </c>
      <c r="H50" s="932">
        <f>SUM(H51:H55)</f>
        <v>35.5</v>
      </c>
      <c r="I50" s="931" t="s">
        <v>370</v>
      </c>
      <c r="J50" s="933" t="s">
        <v>273</v>
      </c>
      <c r="K50" s="934" t="s">
        <v>297</v>
      </c>
      <c r="L50" s="934" t="s">
        <v>297</v>
      </c>
      <c r="M50" s="931"/>
      <c r="N50" s="935" t="s">
        <v>374</v>
      </c>
    </row>
    <row r="51" spans="1:14" x14ac:dyDescent="0.3">
      <c r="A51" s="915"/>
      <c r="B51" s="916"/>
      <c r="C51" s="917"/>
      <c r="D51" s="917"/>
      <c r="E51" s="918">
        <v>0</v>
      </c>
      <c r="F51" s="918">
        <v>0</v>
      </c>
      <c r="G51" s="918">
        <v>0</v>
      </c>
      <c r="H51" s="918">
        <v>0</v>
      </c>
      <c r="I51" s="917" t="s">
        <v>375</v>
      </c>
      <c r="J51" s="919" t="s">
        <v>273</v>
      </c>
      <c r="K51" s="920" t="s">
        <v>297</v>
      </c>
      <c r="L51" s="920" t="s">
        <v>297</v>
      </c>
      <c r="M51" s="917"/>
      <c r="N51" s="921" t="s">
        <v>376</v>
      </c>
    </row>
    <row r="52" spans="1:14" ht="78" x14ac:dyDescent="0.3">
      <c r="A52" s="915"/>
      <c r="B52" s="916"/>
      <c r="C52" s="917" t="s">
        <v>295</v>
      </c>
      <c r="D52" s="917" t="s">
        <v>25</v>
      </c>
      <c r="E52" s="918">
        <v>467.6</v>
      </c>
      <c r="F52" s="918">
        <v>471.5</v>
      </c>
      <c r="G52" s="918">
        <v>471.5</v>
      </c>
      <c r="H52" s="918">
        <v>0</v>
      </c>
      <c r="I52" s="917"/>
      <c r="J52" s="919"/>
      <c r="K52" s="920"/>
      <c r="L52" s="920"/>
      <c r="M52" s="917"/>
      <c r="N52" s="921"/>
    </row>
    <row r="53" spans="1:14" ht="78" x14ac:dyDescent="0.3">
      <c r="A53" s="915"/>
      <c r="B53" s="916"/>
      <c r="C53" s="917" t="s">
        <v>295</v>
      </c>
      <c r="D53" s="917" t="s">
        <v>106</v>
      </c>
      <c r="E53" s="918">
        <v>9.9</v>
      </c>
      <c r="F53" s="918">
        <v>9.9</v>
      </c>
      <c r="G53" s="918">
        <v>9.9</v>
      </c>
      <c r="H53" s="918">
        <v>0</v>
      </c>
      <c r="I53" s="917"/>
      <c r="J53" s="919"/>
      <c r="K53" s="920"/>
      <c r="L53" s="920"/>
      <c r="M53" s="917"/>
      <c r="N53" s="921"/>
    </row>
    <row r="54" spans="1:14" ht="78" x14ac:dyDescent="0.3">
      <c r="A54" s="915"/>
      <c r="B54" s="916"/>
      <c r="C54" s="917" t="s">
        <v>295</v>
      </c>
      <c r="D54" s="917" t="s">
        <v>36</v>
      </c>
      <c r="E54" s="918">
        <v>29</v>
      </c>
      <c r="F54" s="918">
        <v>29</v>
      </c>
      <c r="G54" s="918">
        <v>18.600000000000001</v>
      </c>
      <c r="H54" s="918">
        <v>10.4</v>
      </c>
      <c r="I54" s="917"/>
      <c r="J54" s="919"/>
      <c r="K54" s="920"/>
      <c r="L54" s="920"/>
      <c r="M54" s="917"/>
      <c r="N54" s="921"/>
    </row>
    <row r="55" spans="1:14" ht="78.599999999999994" thickBot="1" x14ac:dyDescent="0.35">
      <c r="A55" s="915"/>
      <c r="B55" s="916"/>
      <c r="C55" s="917" t="s">
        <v>295</v>
      </c>
      <c r="D55" s="917" t="s">
        <v>67</v>
      </c>
      <c r="E55" s="918">
        <v>0</v>
      </c>
      <c r="F55" s="918">
        <v>33.299999999999997</v>
      </c>
      <c r="G55" s="918">
        <v>8.1999999999999993</v>
      </c>
      <c r="H55" s="918">
        <v>25.1</v>
      </c>
      <c r="I55" s="917"/>
      <c r="J55" s="919"/>
      <c r="K55" s="920"/>
      <c r="L55" s="920"/>
      <c r="M55" s="917"/>
      <c r="N55" s="921"/>
    </row>
    <row r="56" spans="1:14" ht="62.4" x14ac:dyDescent="0.3">
      <c r="A56" s="929" t="s">
        <v>377</v>
      </c>
      <c r="B56" s="930" t="s">
        <v>41</v>
      </c>
      <c r="C56" s="931"/>
      <c r="D56" s="931"/>
      <c r="E56" s="932">
        <f>SUM(E57:E60)</f>
        <v>553.6</v>
      </c>
      <c r="F56" s="932">
        <f>SUM(F57:F60)</f>
        <v>585.80000000000007</v>
      </c>
      <c r="G56" s="932">
        <f>SUM(G57:G60)</f>
        <v>566.70000000000005</v>
      </c>
      <c r="H56" s="932">
        <f>SUM(H57:H60)</f>
        <v>19.100000000000001</v>
      </c>
      <c r="I56" s="931"/>
      <c r="J56" s="933"/>
      <c r="K56" s="934"/>
      <c r="L56" s="934"/>
      <c r="M56" s="931"/>
      <c r="N56" s="935"/>
    </row>
    <row r="57" spans="1:14" ht="78" x14ac:dyDescent="0.3">
      <c r="A57" s="915"/>
      <c r="B57" s="916"/>
      <c r="C57" s="917" t="s">
        <v>295</v>
      </c>
      <c r="D57" s="917" t="s">
        <v>106</v>
      </c>
      <c r="E57" s="918">
        <v>8.1999999999999993</v>
      </c>
      <c r="F57" s="918">
        <v>8.1999999999999993</v>
      </c>
      <c r="G57" s="918">
        <v>8.1999999999999993</v>
      </c>
      <c r="H57" s="918">
        <v>0</v>
      </c>
      <c r="I57" s="917"/>
      <c r="J57" s="919"/>
      <c r="K57" s="920"/>
      <c r="L57" s="920"/>
      <c r="M57" s="917"/>
      <c r="N57" s="921"/>
    </row>
    <row r="58" spans="1:14" ht="78" x14ac:dyDescent="0.3">
      <c r="A58" s="915"/>
      <c r="B58" s="916"/>
      <c r="C58" s="917" t="s">
        <v>295</v>
      </c>
      <c r="D58" s="917" t="s">
        <v>36</v>
      </c>
      <c r="E58" s="918">
        <v>14</v>
      </c>
      <c r="F58" s="918">
        <v>14</v>
      </c>
      <c r="G58" s="918">
        <v>4.5</v>
      </c>
      <c r="H58" s="918">
        <v>9.5</v>
      </c>
      <c r="I58" s="917"/>
      <c r="J58" s="919"/>
      <c r="K58" s="920"/>
      <c r="L58" s="920"/>
      <c r="M58" s="917"/>
      <c r="N58" s="921"/>
    </row>
    <row r="59" spans="1:14" ht="78" x14ac:dyDescent="0.3">
      <c r="A59" s="915"/>
      <c r="B59" s="916"/>
      <c r="C59" s="917" t="s">
        <v>295</v>
      </c>
      <c r="D59" s="917" t="s">
        <v>25</v>
      </c>
      <c r="E59" s="918">
        <v>531.4</v>
      </c>
      <c r="F59" s="918">
        <v>536.4</v>
      </c>
      <c r="G59" s="918">
        <v>536.4</v>
      </c>
      <c r="H59" s="918">
        <v>0</v>
      </c>
      <c r="I59" s="917"/>
      <c r="J59" s="919"/>
      <c r="K59" s="920"/>
      <c r="L59" s="920"/>
      <c r="M59" s="917"/>
      <c r="N59" s="921"/>
    </row>
    <row r="60" spans="1:14" ht="78.599999999999994" thickBot="1" x14ac:dyDescent="0.35">
      <c r="A60" s="915"/>
      <c r="B60" s="916"/>
      <c r="C60" s="917" t="s">
        <v>295</v>
      </c>
      <c r="D60" s="917" t="s">
        <v>67</v>
      </c>
      <c r="E60" s="918">
        <v>0</v>
      </c>
      <c r="F60" s="918">
        <v>27.2</v>
      </c>
      <c r="G60" s="918">
        <v>17.600000000000001</v>
      </c>
      <c r="H60" s="918">
        <v>9.6</v>
      </c>
      <c r="I60" s="917"/>
      <c r="J60" s="919"/>
      <c r="K60" s="920"/>
      <c r="L60" s="920"/>
      <c r="M60" s="917"/>
      <c r="N60" s="921"/>
    </row>
    <row r="61" spans="1:14" ht="62.4" x14ac:dyDescent="0.3">
      <c r="A61" s="929" t="s">
        <v>378</v>
      </c>
      <c r="B61" s="930" t="s">
        <v>379</v>
      </c>
      <c r="C61" s="931"/>
      <c r="D61" s="931"/>
      <c r="E61" s="932">
        <f>SUM(E62:E67)</f>
        <v>801.69999999999993</v>
      </c>
      <c r="F61" s="932">
        <f>SUM(F62:F67)</f>
        <v>802.49999999999989</v>
      </c>
      <c r="G61" s="932">
        <f>SUM(G62:G67)</f>
        <v>798.6</v>
      </c>
      <c r="H61" s="932">
        <f>SUM(H62:H67)+0.1</f>
        <v>4</v>
      </c>
      <c r="I61" s="931" t="s">
        <v>380</v>
      </c>
      <c r="J61" s="933" t="s">
        <v>273</v>
      </c>
      <c r="K61" s="934" t="s">
        <v>297</v>
      </c>
      <c r="L61" s="934" t="s">
        <v>297</v>
      </c>
      <c r="M61" s="931"/>
      <c r="N61" s="935" t="s">
        <v>381</v>
      </c>
    </row>
    <row r="62" spans="1:14" ht="46.8" x14ac:dyDescent="0.3">
      <c r="A62" s="915"/>
      <c r="B62" s="916"/>
      <c r="C62" s="917"/>
      <c r="D62" s="917"/>
      <c r="E62" s="918">
        <v>0</v>
      </c>
      <c r="F62" s="918">
        <v>0</v>
      </c>
      <c r="G62" s="918">
        <v>0</v>
      </c>
      <c r="H62" s="918">
        <v>0</v>
      </c>
      <c r="I62" s="917" t="s">
        <v>382</v>
      </c>
      <c r="J62" s="919" t="s">
        <v>273</v>
      </c>
      <c r="K62" s="920" t="s">
        <v>371</v>
      </c>
      <c r="L62" s="920" t="s">
        <v>371</v>
      </c>
      <c r="M62" s="917"/>
      <c r="N62" s="921" t="s">
        <v>383</v>
      </c>
    </row>
    <row r="63" spans="1:14" x14ac:dyDescent="0.3">
      <c r="A63" s="915"/>
      <c r="B63" s="916"/>
      <c r="C63" s="917"/>
      <c r="D63" s="917"/>
      <c r="E63" s="918">
        <v>0</v>
      </c>
      <c r="F63" s="918">
        <v>0</v>
      </c>
      <c r="G63" s="918">
        <v>0</v>
      </c>
      <c r="H63" s="918">
        <v>0</v>
      </c>
      <c r="I63" s="917" t="s">
        <v>384</v>
      </c>
      <c r="J63" s="919" t="s">
        <v>273</v>
      </c>
      <c r="K63" s="920" t="s">
        <v>315</v>
      </c>
      <c r="L63" s="920" t="s">
        <v>315</v>
      </c>
      <c r="M63" s="917"/>
      <c r="N63" s="921"/>
    </row>
    <row r="64" spans="1:14" ht="78" x14ac:dyDescent="0.3">
      <c r="A64" s="915"/>
      <c r="B64" s="916"/>
      <c r="C64" s="917" t="s">
        <v>295</v>
      </c>
      <c r="D64" s="917" t="s">
        <v>25</v>
      </c>
      <c r="E64" s="918">
        <v>763.1</v>
      </c>
      <c r="F64" s="918">
        <v>763.3</v>
      </c>
      <c r="G64" s="918">
        <v>762.1</v>
      </c>
      <c r="H64" s="918">
        <v>1.2</v>
      </c>
      <c r="I64" s="917"/>
      <c r="J64" s="919"/>
      <c r="K64" s="920"/>
      <c r="L64" s="920"/>
      <c r="M64" s="917"/>
      <c r="N64" s="921"/>
    </row>
    <row r="65" spans="1:14" ht="78" x14ac:dyDescent="0.3">
      <c r="A65" s="915"/>
      <c r="B65" s="916"/>
      <c r="C65" s="917" t="s">
        <v>295</v>
      </c>
      <c r="D65" s="917" t="s">
        <v>106</v>
      </c>
      <c r="E65" s="918">
        <v>5.3</v>
      </c>
      <c r="F65" s="918">
        <v>5.3</v>
      </c>
      <c r="G65" s="918">
        <v>5.3</v>
      </c>
      <c r="H65" s="918">
        <v>0</v>
      </c>
      <c r="I65" s="917"/>
      <c r="J65" s="919"/>
      <c r="K65" s="920"/>
      <c r="L65" s="920"/>
      <c r="M65" s="917"/>
      <c r="N65" s="921"/>
    </row>
    <row r="66" spans="1:14" ht="78" x14ac:dyDescent="0.3">
      <c r="A66" s="915"/>
      <c r="B66" s="916"/>
      <c r="C66" s="917" t="s">
        <v>295</v>
      </c>
      <c r="D66" s="917" t="s">
        <v>36</v>
      </c>
      <c r="E66" s="918">
        <v>33.299999999999997</v>
      </c>
      <c r="F66" s="918">
        <v>33.299999999999997</v>
      </c>
      <c r="G66" s="918">
        <v>31.1</v>
      </c>
      <c r="H66" s="918">
        <v>2.2000000000000002</v>
      </c>
      <c r="I66" s="917"/>
      <c r="J66" s="919"/>
      <c r="K66" s="920"/>
      <c r="L66" s="920"/>
      <c r="M66" s="917"/>
      <c r="N66" s="921"/>
    </row>
    <row r="67" spans="1:14" ht="78.599999999999994" thickBot="1" x14ac:dyDescent="0.35">
      <c r="A67" s="915"/>
      <c r="B67" s="916"/>
      <c r="C67" s="917" t="s">
        <v>295</v>
      </c>
      <c r="D67" s="917" t="s">
        <v>67</v>
      </c>
      <c r="E67" s="918">
        <v>0</v>
      </c>
      <c r="F67" s="918">
        <v>0.6</v>
      </c>
      <c r="G67" s="918">
        <v>0.1</v>
      </c>
      <c r="H67" s="918">
        <v>0.5</v>
      </c>
      <c r="I67" s="917"/>
      <c r="J67" s="919"/>
      <c r="K67" s="920"/>
      <c r="L67" s="920"/>
      <c r="M67" s="917"/>
      <c r="N67" s="921"/>
    </row>
    <row r="68" spans="1:14" ht="62.4" x14ac:dyDescent="0.3">
      <c r="A68" s="929" t="s">
        <v>385</v>
      </c>
      <c r="B68" s="930" t="s">
        <v>159</v>
      </c>
      <c r="C68" s="931"/>
      <c r="D68" s="931"/>
      <c r="E68" s="932">
        <f>SUM(E69:E74)</f>
        <v>844.2</v>
      </c>
      <c r="F68" s="932">
        <f>SUM(F69:F74)</f>
        <v>845.7</v>
      </c>
      <c r="G68" s="932">
        <f>SUM(G69:G74)-0.1</f>
        <v>766</v>
      </c>
      <c r="H68" s="932">
        <f>SUM(H69:H74)</f>
        <v>79.600000000000009</v>
      </c>
      <c r="I68" s="931" t="s">
        <v>386</v>
      </c>
      <c r="J68" s="933" t="s">
        <v>281</v>
      </c>
      <c r="K68" s="934" t="s">
        <v>387</v>
      </c>
      <c r="L68" s="934" t="s">
        <v>387</v>
      </c>
      <c r="M68" s="931"/>
      <c r="N68" s="935"/>
    </row>
    <row r="69" spans="1:14" ht="31.2" x14ac:dyDescent="0.3">
      <c r="A69" s="915"/>
      <c r="B69" s="916"/>
      <c r="C69" s="917"/>
      <c r="D69" s="917"/>
      <c r="E69" s="918">
        <v>0</v>
      </c>
      <c r="F69" s="918">
        <v>0</v>
      </c>
      <c r="G69" s="918">
        <v>0</v>
      </c>
      <c r="H69" s="918">
        <v>0</v>
      </c>
      <c r="I69" s="917" t="s">
        <v>382</v>
      </c>
      <c r="J69" s="919" t="s">
        <v>273</v>
      </c>
      <c r="K69" s="920" t="s">
        <v>315</v>
      </c>
      <c r="L69" s="920" t="s">
        <v>315</v>
      </c>
      <c r="M69" s="917"/>
      <c r="N69" s="921" t="s">
        <v>388</v>
      </c>
    </row>
    <row r="70" spans="1:14" x14ac:dyDescent="0.3">
      <c r="A70" s="915"/>
      <c r="B70" s="916"/>
      <c r="C70" s="917"/>
      <c r="D70" s="917"/>
      <c r="E70" s="918">
        <v>0</v>
      </c>
      <c r="F70" s="918">
        <v>0</v>
      </c>
      <c r="G70" s="918">
        <v>0</v>
      </c>
      <c r="H70" s="918">
        <v>0</v>
      </c>
      <c r="I70" s="917" t="s">
        <v>389</v>
      </c>
      <c r="J70" s="919" t="s">
        <v>273</v>
      </c>
      <c r="K70" s="920" t="s">
        <v>315</v>
      </c>
      <c r="L70" s="920" t="s">
        <v>315</v>
      </c>
      <c r="M70" s="917"/>
      <c r="N70" s="921" t="s">
        <v>390</v>
      </c>
    </row>
    <row r="71" spans="1:14" ht="78" x14ac:dyDescent="0.3">
      <c r="A71" s="915"/>
      <c r="B71" s="916"/>
      <c r="C71" s="917" t="s">
        <v>295</v>
      </c>
      <c r="D71" s="917" t="s">
        <v>25</v>
      </c>
      <c r="E71" s="918">
        <v>657</v>
      </c>
      <c r="F71" s="918">
        <v>657</v>
      </c>
      <c r="G71" s="918">
        <v>656.1</v>
      </c>
      <c r="H71" s="918">
        <v>0.9</v>
      </c>
      <c r="I71" s="917"/>
      <c r="J71" s="919"/>
      <c r="K71" s="920"/>
      <c r="L71" s="920"/>
      <c r="M71" s="917"/>
      <c r="N71" s="921"/>
    </row>
    <row r="72" spans="1:14" ht="78" x14ac:dyDescent="0.3">
      <c r="A72" s="915"/>
      <c r="B72" s="916"/>
      <c r="C72" s="917" t="s">
        <v>295</v>
      </c>
      <c r="D72" s="917" t="s">
        <v>36</v>
      </c>
      <c r="E72" s="918">
        <v>166.6</v>
      </c>
      <c r="F72" s="918">
        <v>166.6</v>
      </c>
      <c r="G72" s="918">
        <v>87.9</v>
      </c>
      <c r="H72" s="918">
        <v>78.7</v>
      </c>
      <c r="I72" s="917"/>
      <c r="J72" s="919"/>
      <c r="K72" s="920"/>
      <c r="L72" s="920"/>
      <c r="M72" s="917"/>
      <c r="N72" s="921"/>
    </row>
    <row r="73" spans="1:14" ht="78" x14ac:dyDescent="0.3">
      <c r="A73" s="915"/>
      <c r="B73" s="916"/>
      <c r="C73" s="917" t="s">
        <v>295</v>
      </c>
      <c r="D73" s="917" t="s">
        <v>106</v>
      </c>
      <c r="E73" s="918">
        <v>20.6</v>
      </c>
      <c r="F73" s="918">
        <v>20.6</v>
      </c>
      <c r="G73" s="918">
        <v>20.6</v>
      </c>
      <c r="H73" s="918">
        <v>0</v>
      </c>
      <c r="I73" s="917"/>
      <c r="J73" s="919"/>
      <c r="K73" s="920"/>
      <c r="L73" s="920"/>
      <c r="M73" s="917"/>
      <c r="N73" s="921"/>
    </row>
    <row r="74" spans="1:14" ht="78.599999999999994" thickBot="1" x14ac:dyDescent="0.35">
      <c r="A74" s="915"/>
      <c r="B74" s="916"/>
      <c r="C74" s="917" t="s">
        <v>295</v>
      </c>
      <c r="D74" s="917" t="s">
        <v>67</v>
      </c>
      <c r="E74" s="918">
        <v>0</v>
      </c>
      <c r="F74" s="918">
        <v>1.5</v>
      </c>
      <c r="G74" s="918">
        <v>1.5</v>
      </c>
      <c r="H74" s="918">
        <v>0</v>
      </c>
      <c r="I74" s="917"/>
      <c r="J74" s="919"/>
      <c r="K74" s="920"/>
      <c r="L74" s="920"/>
      <c r="M74" s="917"/>
      <c r="N74" s="921"/>
    </row>
    <row r="75" spans="1:14" ht="94.2" thickBot="1" x14ac:dyDescent="0.35">
      <c r="A75" s="929" t="s">
        <v>391</v>
      </c>
      <c r="B75" s="930" t="s">
        <v>392</v>
      </c>
      <c r="C75" s="931" t="s">
        <v>295</v>
      </c>
      <c r="D75" s="931" t="s">
        <v>25</v>
      </c>
      <c r="E75" s="936">
        <v>100</v>
      </c>
      <c r="F75" s="936">
        <v>225</v>
      </c>
      <c r="G75" s="936">
        <v>211.6</v>
      </c>
      <c r="H75" s="936">
        <v>13.4</v>
      </c>
      <c r="I75" s="931" t="s">
        <v>333</v>
      </c>
      <c r="J75" s="933" t="s">
        <v>334</v>
      </c>
      <c r="K75" s="934" t="s">
        <v>371</v>
      </c>
      <c r="L75" s="934" t="s">
        <v>393</v>
      </c>
      <c r="M75" s="931"/>
      <c r="N75" s="935" t="s">
        <v>394</v>
      </c>
    </row>
    <row r="76" spans="1:14" ht="78.599999999999994" thickBot="1" x14ac:dyDescent="0.35">
      <c r="A76" s="929" t="s">
        <v>395</v>
      </c>
      <c r="B76" s="930" t="s">
        <v>160</v>
      </c>
      <c r="C76" s="931" t="s">
        <v>295</v>
      </c>
      <c r="D76" s="931" t="s">
        <v>25</v>
      </c>
      <c r="E76" s="936">
        <v>10</v>
      </c>
      <c r="F76" s="936">
        <v>10</v>
      </c>
      <c r="G76" s="936">
        <v>7.9</v>
      </c>
      <c r="H76" s="936">
        <v>2.1</v>
      </c>
      <c r="I76" s="931" t="s">
        <v>396</v>
      </c>
      <c r="J76" s="933" t="s">
        <v>281</v>
      </c>
      <c r="K76" s="934" t="s">
        <v>397</v>
      </c>
      <c r="L76" s="934" t="s">
        <v>275</v>
      </c>
      <c r="M76" s="931"/>
      <c r="N76" s="935"/>
    </row>
    <row r="77" spans="1:14" ht="47.4" thickBot="1" x14ac:dyDescent="0.35">
      <c r="A77" s="929" t="s">
        <v>398</v>
      </c>
      <c r="B77" s="930" t="s">
        <v>399</v>
      </c>
      <c r="C77" s="931"/>
      <c r="D77" s="931"/>
      <c r="E77" s="932">
        <f>E78+E79+E80+E81+E84</f>
        <v>670.4</v>
      </c>
      <c r="F77" s="932">
        <f>F78+F79+F80+F81+F84</f>
        <v>689</v>
      </c>
      <c r="G77" s="932">
        <f>G78+G79+G80+G81+G84</f>
        <v>688.50000000000011</v>
      </c>
      <c r="H77" s="932">
        <f>H78+H79+H80+H81+H84</f>
        <v>0.5</v>
      </c>
      <c r="I77" s="931" t="s">
        <v>210</v>
      </c>
      <c r="J77" s="933" t="s">
        <v>281</v>
      </c>
      <c r="K77" s="934" t="s">
        <v>400</v>
      </c>
      <c r="L77" s="934" t="s">
        <v>401</v>
      </c>
      <c r="M77" s="931"/>
      <c r="N77" s="935" t="s">
        <v>402</v>
      </c>
    </row>
    <row r="78" spans="1:14" ht="78.599999999999994" thickBot="1" x14ac:dyDescent="0.35">
      <c r="A78" s="929" t="s">
        <v>403</v>
      </c>
      <c r="B78" s="930" t="s">
        <v>404</v>
      </c>
      <c r="C78" s="931" t="s">
        <v>295</v>
      </c>
      <c r="D78" s="931" t="s">
        <v>25</v>
      </c>
      <c r="E78" s="936">
        <v>433.4</v>
      </c>
      <c r="F78" s="936">
        <v>433.4</v>
      </c>
      <c r="G78" s="936">
        <v>433.4</v>
      </c>
      <c r="H78" s="936">
        <v>0</v>
      </c>
      <c r="I78" s="931" t="s">
        <v>405</v>
      </c>
      <c r="J78" s="933" t="s">
        <v>281</v>
      </c>
      <c r="K78" s="934" t="s">
        <v>406</v>
      </c>
      <c r="L78" s="934">
        <v>219</v>
      </c>
      <c r="M78" s="931"/>
      <c r="N78" s="935"/>
    </row>
    <row r="79" spans="1:14" ht="78.599999999999994" thickBot="1" x14ac:dyDescent="0.35">
      <c r="A79" s="929" t="s">
        <v>407</v>
      </c>
      <c r="B79" s="930" t="s">
        <v>408</v>
      </c>
      <c r="C79" s="931" t="s">
        <v>295</v>
      </c>
      <c r="D79" s="931" t="s">
        <v>25</v>
      </c>
      <c r="E79" s="936">
        <v>70</v>
      </c>
      <c r="F79" s="936">
        <v>87.8</v>
      </c>
      <c r="G79" s="936">
        <v>87.7</v>
      </c>
      <c r="H79" s="936">
        <v>0.1</v>
      </c>
      <c r="I79" s="931" t="s">
        <v>296</v>
      </c>
      <c r="J79" s="933" t="s">
        <v>273</v>
      </c>
      <c r="K79" s="934" t="s">
        <v>409</v>
      </c>
      <c r="L79" s="934">
        <v>29</v>
      </c>
      <c r="M79" s="931"/>
      <c r="N79" s="935" t="s">
        <v>411</v>
      </c>
    </row>
    <row r="80" spans="1:14" ht="156.6" thickBot="1" x14ac:dyDescent="0.35">
      <c r="A80" s="929" t="s">
        <v>412</v>
      </c>
      <c r="B80" s="930" t="s">
        <v>413</v>
      </c>
      <c r="C80" s="931" t="s">
        <v>295</v>
      </c>
      <c r="D80" s="931" t="s">
        <v>25</v>
      </c>
      <c r="E80" s="936">
        <v>90</v>
      </c>
      <c r="F80" s="936">
        <v>76.2</v>
      </c>
      <c r="G80" s="936">
        <v>76.2</v>
      </c>
      <c r="H80" s="936">
        <v>0</v>
      </c>
      <c r="I80" s="931" t="s">
        <v>414</v>
      </c>
      <c r="J80" s="933" t="s">
        <v>281</v>
      </c>
      <c r="K80" s="934" t="s">
        <v>415</v>
      </c>
      <c r="L80" s="934" t="s">
        <v>288</v>
      </c>
      <c r="M80" s="931"/>
      <c r="N80" s="935" t="s">
        <v>416</v>
      </c>
    </row>
    <row r="81" spans="1:14" ht="62.4" x14ac:dyDescent="0.3">
      <c r="A81" s="929" t="s">
        <v>417</v>
      </c>
      <c r="B81" s="930" t="s">
        <v>418</v>
      </c>
      <c r="C81" s="931"/>
      <c r="D81" s="931"/>
      <c r="E81" s="932">
        <f>SUM(E82:E83)</f>
        <v>27</v>
      </c>
      <c r="F81" s="932">
        <f>SUM(F82:F83)</f>
        <v>45.6</v>
      </c>
      <c r="G81" s="932">
        <f>SUM(G82:G83)</f>
        <v>45.5</v>
      </c>
      <c r="H81" s="932">
        <f>SUM(H82:H83)</f>
        <v>0.1</v>
      </c>
      <c r="I81" s="931" t="s">
        <v>405</v>
      </c>
      <c r="J81" s="933" t="s">
        <v>281</v>
      </c>
      <c r="K81" s="934" t="s">
        <v>419</v>
      </c>
      <c r="L81" s="934" t="s">
        <v>420</v>
      </c>
      <c r="M81" s="931"/>
      <c r="N81" s="935" t="s">
        <v>421</v>
      </c>
    </row>
    <row r="82" spans="1:14" ht="78" x14ac:dyDescent="0.3">
      <c r="A82" s="915"/>
      <c r="B82" s="916"/>
      <c r="C82" s="917" t="s">
        <v>295</v>
      </c>
      <c r="D82" s="917" t="s">
        <v>25</v>
      </c>
      <c r="E82" s="918">
        <v>27</v>
      </c>
      <c r="F82" s="918">
        <v>27</v>
      </c>
      <c r="G82" s="918">
        <v>27</v>
      </c>
      <c r="H82" s="918">
        <v>0</v>
      </c>
      <c r="I82" s="917"/>
      <c r="J82" s="919"/>
      <c r="K82" s="920"/>
      <c r="L82" s="920"/>
      <c r="M82" s="917"/>
      <c r="N82" s="921"/>
    </row>
    <row r="83" spans="1:14" ht="78.599999999999994" thickBot="1" x14ac:dyDescent="0.35">
      <c r="A83" s="915"/>
      <c r="B83" s="916"/>
      <c r="C83" s="917" t="s">
        <v>295</v>
      </c>
      <c r="D83" s="917" t="s">
        <v>76</v>
      </c>
      <c r="E83" s="918">
        <v>0</v>
      </c>
      <c r="F83" s="918">
        <v>18.600000000000001</v>
      </c>
      <c r="G83" s="918">
        <v>18.5</v>
      </c>
      <c r="H83" s="918">
        <v>0.1</v>
      </c>
      <c r="I83" s="917"/>
      <c r="J83" s="919"/>
      <c r="K83" s="920"/>
      <c r="L83" s="920"/>
      <c r="M83" s="917"/>
      <c r="N83" s="921"/>
    </row>
    <row r="84" spans="1:14" ht="78.599999999999994" thickBot="1" x14ac:dyDescent="0.35">
      <c r="A84" s="929" t="s">
        <v>422</v>
      </c>
      <c r="B84" s="930" t="s">
        <v>423</v>
      </c>
      <c r="C84" s="931" t="s">
        <v>295</v>
      </c>
      <c r="D84" s="931" t="s">
        <v>25</v>
      </c>
      <c r="E84" s="936">
        <v>50</v>
      </c>
      <c r="F84" s="936">
        <v>46</v>
      </c>
      <c r="G84" s="936">
        <v>45.7</v>
      </c>
      <c r="H84" s="936">
        <v>0.3</v>
      </c>
      <c r="I84" s="931" t="s">
        <v>296</v>
      </c>
      <c r="J84" s="933" t="s">
        <v>281</v>
      </c>
      <c r="K84" s="934" t="s">
        <v>290</v>
      </c>
      <c r="L84" s="934" t="s">
        <v>424</v>
      </c>
      <c r="M84" s="931"/>
      <c r="N84" s="935" t="s">
        <v>425</v>
      </c>
    </row>
    <row r="85" spans="1:14" ht="47.4" thickBot="1" x14ac:dyDescent="0.35">
      <c r="A85" s="929" t="s">
        <v>426</v>
      </c>
      <c r="B85" s="930" t="s">
        <v>218</v>
      </c>
      <c r="C85" s="931"/>
      <c r="D85" s="931"/>
      <c r="E85" s="932">
        <f>SUM(E86:E86)</f>
        <v>93</v>
      </c>
      <c r="F85" s="932">
        <f>SUM(F86:F86)</f>
        <v>93</v>
      </c>
      <c r="G85" s="932">
        <f>SUM(G86:G86)</f>
        <v>93</v>
      </c>
      <c r="H85" s="932">
        <f>SUM(H86:H86)</f>
        <v>0</v>
      </c>
      <c r="I85" s="931"/>
      <c r="J85" s="933"/>
      <c r="K85" s="934"/>
      <c r="L85" s="934"/>
      <c r="M85" s="931"/>
      <c r="N85" s="935"/>
    </row>
    <row r="86" spans="1:14" ht="78.599999999999994" thickBot="1" x14ac:dyDescent="0.35">
      <c r="A86" s="929" t="s">
        <v>427</v>
      </c>
      <c r="B86" s="930" t="s">
        <v>218</v>
      </c>
      <c r="C86" s="931" t="s">
        <v>295</v>
      </c>
      <c r="D86" s="931" t="s">
        <v>25</v>
      </c>
      <c r="E86" s="936">
        <v>93</v>
      </c>
      <c r="F86" s="936">
        <v>93</v>
      </c>
      <c r="G86" s="936">
        <v>93</v>
      </c>
      <c r="H86" s="936">
        <v>0</v>
      </c>
      <c r="I86" s="931" t="s">
        <v>428</v>
      </c>
      <c r="J86" s="933" t="s">
        <v>281</v>
      </c>
      <c r="K86" s="934" t="s">
        <v>429</v>
      </c>
      <c r="L86" s="934" t="s">
        <v>430</v>
      </c>
      <c r="M86" s="931"/>
      <c r="N86" s="935"/>
    </row>
    <row r="87" spans="1:14" ht="47.4" thickBot="1" x14ac:dyDescent="0.35">
      <c r="A87" s="929" t="s">
        <v>431</v>
      </c>
      <c r="B87" s="930" t="s">
        <v>163</v>
      </c>
      <c r="C87" s="931"/>
      <c r="D87" s="931"/>
      <c r="E87" s="932">
        <f>SUM(E88:E89)</f>
        <v>30.299999999999997</v>
      </c>
      <c r="F87" s="932">
        <f>SUM(F88:F89)</f>
        <v>30.299999999999997</v>
      </c>
      <c r="G87" s="932">
        <f>SUM(G88:G89)</f>
        <v>30.299999999999997</v>
      </c>
      <c r="H87" s="932">
        <f>SUM(H88:H89)</f>
        <v>0</v>
      </c>
      <c r="I87" s="931"/>
      <c r="J87" s="933"/>
      <c r="K87" s="934"/>
      <c r="L87" s="934"/>
      <c r="M87" s="931"/>
      <c r="N87" s="935"/>
    </row>
    <row r="88" spans="1:14" ht="94.2" thickBot="1" x14ac:dyDescent="0.35">
      <c r="A88" s="929" t="s">
        <v>432</v>
      </c>
      <c r="B88" s="930" t="s">
        <v>163</v>
      </c>
      <c r="C88" s="931" t="s">
        <v>433</v>
      </c>
      <c r="D88" s="931" t="s">
        <v>25</v>
      </c>
      <c r="E88" s="936">
        <v>12.6</v>
      </c>
      <c r="F88" s="936">
        <v>12.6</v>
      </c>
      <c r="G88" s="936">
        <v>12.6</v>
      </c>
      <c r="H88" s="936">
        <v>0</v>
      </c>
      <c r="I88" s="931" t="s">
        <v>434</v>
      </c>
      <c r="J88" s="933" t="s">
        <v>285</v>
      </c>
      <c r="K88" s="934" t="s">
        <v>400</v>
      </c>
      <c r="L88" s="934" t="s">
        <v>400</v>
      </c>
      <c r="M88" s="931"/>
      <c r="N88" s="935" t="s">
        <v>435</v>
      </c>
    </row>
    <row r="89" spans="1:14" ht="93.6" x14ac:dyDescent="0.3">
      <c r="A89" s="929" t="s">
        <v>436</v>
      </c>
      <c r="B89" s="930" t="s">
        <v>187</v>
      </c>
      <c r="C89" s="931"/>
      <c r="D89" s="931"/>
      <c r="E89" s="932">
        <f>SUM(E90:E90)</f>
        <v>17.7</v>
      </c>
      <c r="F89" s="932">
        <f>SUM(F90:F90)</f>
        <v>17.7</v>
      </c>
      <c r="G89" s="932">
        <f>SUM(G90:G90)</f>
        <v>17.7</v>
      </c>
      <c r="H89" s="932">
        <f>SUM(H90:H90)</f>
        <v>0</v>
      </c>
      <c r="I89" s="931" t="s">
        <v>437</v>
      </c>
      <c r="J89" s="933" t="s">
        <v>273</v>
      </c>
      <c r="K89" s="934" t="s">
        <v>315</v>
      </c>
      <c r="L89" s="934" t="s">
        <v>315</v>
      </c>
      <c r="M89" s="931"/>
      <c r="N89" s="935"/>
    </row>
    <row r="90" spans="1:14" ht="78.599999999999994" thickBot="1" x14ac:dyDescent="0.35">
      <c r="A90" s="915"/>
      <c r="B90" s="916"/>
      <c r="C90" s="917" t="s">
        <v>295</v>
      </c>
      <c r="D90" s="917" t="s">
        <v>164</v>
      </c>
      <c r="E90" s="918">
        <v>17.7</v>
      </c>
      <c r="F90" s="918">
        <v>17.7</v>
      </c>
      <c r="G90" s="918">
        <v>17.7</v>
      </c>
      <c r="H90" s="918">
        <v>0</v>
      </c>
      <c r="I90" s="917"/>
      <c r="J90" s="919"/>
      <c r="K90" s="920"/>
      <c r="L90" s="920"/>
      <c r="M90" s="917"/>
      <c r="N90" s="921"/>
    </row>
    <row r="91" spans="1:14" ht="47.4" thickBot="1" x14ac:dyDescent="0.35">
      <c r="A91" s="929" t="s">
        <v>438</v>
      </c>
      <c r="B91" s="930" t="s">
        <v>53</v>
      </c>
      <c r="C91" s="931"/>
      <c r="D91" s="931"/>
      <c r="E91" s="932">
        <f>SUM(E92:E92)</f>
        <v>583.79999999999995</v>
      </c>
      <c r="F91" s="932">
        <f>SUM(F92:F92)</f>
        <v>581.1</v>
      </c>
      <c r="G91" s="932">
        <f>SUM(G92:G92)</f>
        <v>581.1</v>
      </c>
      <c r="H91" s="932">
        <f>SUM(H92:H92)</f>
        <v>0</v>
      </c>
      <c r="I91" s="931"/>
      <c r="J91" s="933"/>
      <c r="K91" s="934"/>
      <c r="L91" s="934"/>
      <c r="M91" s="931"/>
      <c r="N91" s="935"/>
    </row>
    <row r="92" spans="1:14" ht="78.599999999999994" thickBot="1" x14ac:dyDescent="0.35">
      <c r="A92" s="929" t="s">
        <v>439</v>
      </c>
      <c r="B92" s="930" t="s">
        <v>440</v>
      </c>
      <c r="C92" s="931" t="s">
        <v>295</v>
      </c>
      <c r="D92" s="931" t="s">
        <v>25</v>
      </c>
      <c r="E92" s="936">
        <v>583.79999999999995</v>
      </c>
      <c r="F92" s="936">
        <v>581.1</v>
      </c>
      <c r="G92" s="936">
        <v>581.1</v>
      </c>
      <c r="H92" s="936">
        <v>0</v>
      </c>
      <c r="I92" s="931" t="s">
        <v>54</v>
      </c>
      <c r="J92" s="933" t="s">
        <v>281</v>
      </c>
      <c r="K92" s="934" t="s">
        <v>441</v>
      </c>
      <c r="L92" s="934" t="s">
        <v>442</v>
      </c>
      <c r="M92" s="931"/>
      <c r="N92" s="935" t="s">
        <v>443</v>
      </c>
    </row>
    <row r="93" spans="1:14" ht="47.4" thickBot="1" x14ac:dyDescent="0.35">
      <c r="A93" s="929" t="s">
        <v>444</v>
      </c>
      <c r="B93" s="930" t="s">
        <v>219</v>
      </c>
      <c r="C93" s="931"/>
      <c r="D93" s="931"/>
      <c r="E93" s="932">
        <f>SUM(E94:E94)</f>
        <v>5.4</v>
      </c>
      <c r="F93" s="932">
        <f>SUM(F94:F94)</f>
        <v>4</v>
      </c>
      <c r="G93" s="932">
        <f>SUM(G94:G94)</f>
        <v>4</v>
      </c>
      <c r="H93" s="932">
        <f>SUM(H94:H94)</f>
        <v>0</v>
      </c>
      <c r="I93" s="931"/>
      <c r="J93" s="933"/>
      <c r="K93" s="934"/>
      <c r="L93" s="934"/>
      <c r="M93" s="931"/>
      <c r="N93" s="935"/>
    </row>
    <row r="94" spans="1:14" ht="78" x14ac:dyDescent="0.3">
      <c r="A94" s="929" t="s">
        <v>445</v>
      </c>
      <c r="B94" s="930" t="s">
        <v>219</v>
      </c>
      <c r="C94" s="931" t="s">
        <v>295</v>
      </c>
      <c r="D94" s="931" t="s">
        <v>25</v>
      </c>
      <c r="E94" s="932">
        <f>SUM(E95:E95)+5.4</f>
        <v>5.4</v>
      </c>
      <c r="F94" s="932">
        <f>SUM(F95:F95)+4</f>
        <v>4</v>
      </c>
      <c r="G94" s="932">
        <f>SUM(G95:G95)+4</f>
        <v>4</v>
      </c>
      <c r="H94" s="932">
        <f>SUM(H95:H95)</f>
        <v>0</v>
      </c>
      <c r="I94" s="931" t="s">
        <v>446</v>
      </c>
      <c r="J94" s="933" t="s">
        <v>273</v>
      </c>
      <c r="K94" s="934" t="s">
        <v>447</v>
      </c>
      <c r="L94" s="934" t="s">
        <v>447</v>
      </c>
      <c r="M94" s="931"/>
      <c r="N94" s="935" t="s">
        <v>448</v>
      </c>
    </row>
    <row r="95" spans="1:14" ht="63" thickBot="1" x14ac:dyDescent="0.35">
      <c r="A95" s="915"/>
      <c r="B95" s="916"/>
      <c r="C95" s="917"/>
      <c r="D95" s="917"/>
      <c r="E95" s="918">
        <v>0</v>
      </c>
      <c r="F95" s="918">
        <v>0</v>
      </c>
      <c r="G95" s="918">
        <v>0</v>
      </c>
      <c r="H95" s="918">
        <v>0</v>
      </c>
      <c r="I95" s="917" t="s">
        <v>220</v>
      </c>
      <c r="J95" s="919" t="s">
        <v>273</v>
      </c>
      <c r="K95" s="920" t="s">
        <v>449</v>
      </c>
      <c r="L95" s="920" t="s">
        <v>450</v>
      </c>
      <c r="M95" s="917"/>
      <c r="N95" s="921" t="s">
        <v>451</v>
      </c>
    </row>
    <row r="96" spans="1:14" ht="47.4" thickBot="1" x14ac:dyDescent="0.35">
      <c r="A96" s="922" t="s">
        <v>452</v>
      </c>
      <c r="B96" s="923" t="s">
        <v>453</v>
      </c>
      <c r="C96" s="924"/>
      <c r="D96" s="924"/>
      <c r="E96" s="925">
        <f>E97+E113+E116+E128</f>
        <v>4194.5</v>
      </c>
      <c r="F96" s="925">
        <f>F97+F113+F116+F128</f>
        <v>7655.2000000000007</v>
      </c>
      <c r="G96" s="925">
        <f>G97+G113+G116+G128</f>
        <v>5950.9000000000005</v>
      </c>
      <c r="H96" s="925">
        <f>H97+H113+H116+H128</f>
        <v>1704.2999999999997</v>
      </c>
      <c r="I96" s="924"/>
      <c r="J96" s="926"/>
      <c r="K96" s="927"/>
      <c r="L96" s="927"/>
      <c r="M96" s="924"/>
      <c r="N96" s="928"/>
    </row>
    <row r="97" spans="1:14" ht="47.4" thickBot="1" x14ac:dyDescent="0.35">
      <c r="A97" s="929" t="s">
        <v>454</v>
      </c>
      <c r="B97" s="930" t="s">
        <v>455</v>
      </c>
      <c r="C97" s="931"/>
      <c r="D97" s="931"/>
      <c r="E97" s="932">
        <f>E98+E100+E105+E108+E111+E112</f>
        <v>3473.3999999999996</v>
      </c>
      <c r="F97" s="932">
        <f>F98+F100+F105+F108+F111+F112</f>
        <v>6791.2000000000007</v>
      </c>
      <c r="G97" s="932">
        <f>G98+G100+G105+G108+G111+G112+0.1</f>
        <v>5251.3000000000011</v>
      </c>
      <c r="H97" s="932">
        <f>H98+H100+H105+H108+H111+H112-0.1</f>
        <v>1539.8999999999999</v>
      </c>
      <c r="I97" s="931"/>
      <c r="J97" s="933"/>
      <c r="K97" s="934"/>
      <c r="L97" s="934"/>
      <c r="M97" s="931"/>
      <c r="N97" s="935"/>
    </row>
    <row r="98" spans="1:14" ht="62.4" x14ac:dyDescent="0.3">
      <c r="A98" s="929" t="s">
        <v>456</v>
      </c>
      <c r="B98" s="930" t="s">
        <v>457</v>
      </c>
      <c r="C98" s="931"/>
      <c r="D98" s="931"/>
      <c r="E98" s="932">
        <f>SUM(E99:E99)</f>
        <v>0</v>
      </c>
      <c r="F98" s="932">
        <f>SUM(F99:F99)</f>
        <v>100</v>
      </c>
      <c r="G98" s="932">
        <f>SUM(G99:G99)</f>
        <v>100</v>
      </c>
      <c r="H98" s="932">
        <f>SUM(H99:H99)</f>
        <v>0</v>
      </c>
      <c r="I98" s="931" t="s">
        <v>458</v>
      </c>
      <c r="J98" s="933" t="s">
        <v>285</v>
      </c>
      <c r="K98" s="934" t="s">
        <v>275</v>
      </c>
      <c r="L98" s="934" t="s">
        <v>275</v>
      </c>
      <c r="M98" s="931"/>
      <c r="N98" s="935"/>
    </row>
    <row r="99" spans="1:14" ht="78.599999999999994" thickBot="1" x14ac:dyDescent="0.35">
      <c r="A99" s="915"/>
      <c r="B99" s="916"/>
      <c r="C99" s="917" t="s">
        <v>459</v>
      </c>
      <c r="D99" s="917" t="s">
        <v>67</v>
      </c>
      <c r="E99" s="918">
        <v>0</v>
      </c>
      <c r="F99" s="918">
        <v>100</v>
      </c>
      <c r="G99" s="918">
        <v>100</v>
      </c>
      <c r="H99" s="918">
        <v>0</v>
      </c>
      <c r="I99" s="917"/>
      <c r="J99" s="919"/>
      <c r="K99" s="920"/>
      <c r="L99" s="920"/>
      <c r="M99" s="917"/>
      <c r="N99" s="921"/>
    </row>
    <row r="100" spans="1:14" ht="140.4" x14ac:dyDescent="0.3">
      <c r="A100" s="929" t="s">
        <v>460</v>
      </c>
      <c r="B100" s="930" t="s">
        <v>461</v>
      </c>
      <c r="C100" s="931"/>
      <c r="D100" s="931"/>
      <c r="E100" s="932">
        <f>SUM(E101:E104)</f>
        <v>2544.2999999999997</v>
      </c>
      <c r="F100" s="932">
        <f>SUM(F101:F104)</f>
        <v>1839.7</v>
      </c>
      <c r="G100" s="932">
        <f>SUM(G101:G104)</f>
        <v>1284.3</v>
      </c>
      <c r="H100" s="932">
        <f>SUM(H101:H104)</f>
        <v>555.39999999999986</v>
      </c>
      <c r="I100" s="931" t="s">
        <v>458</v>
      </c>
      <c r="J100" s="933" t="s">
        <v>285</v>
      </c>
      <c r="K100" s="934" t="s">
        <v>462</v>
      </c>
      <c r="L100" s="934" t="s">
        <v>410</v>
      </c>
      <c r="M100" s="931"/>
      <c r="N100" s="935" t="s">
        <v>463</v>
      </c>
    </row>
    <row r="101" spans="1:14" ht="78" x14ac:dyDescent="0.3">
      <c r="A101" s="915"/>
      <c r="B101" s="916"/>
      <c r="C101" s="917" t="s">
        <v>459</v>
      </c>
      <c r="D101" s="917" t="s">
        <v>164</v>
      </c>
      <c r="E101" s="918">
        <v>1500</v>
      </c>
      <c r="F101" s="918">
        <v>200.4</v>
      </c>
      <c r="G101" s="918">
        <v>5.2</v>
      </c>
      <c r="H101" s="918">
        <v>195.2</v>
      </c>
      <c r="I101" s="917"/>
      <c r="J101" s="919"/>
      <c r="K101" s="920"/>
      <c r="L101" s="920"/>
      <c r="M101" s="917"/>
      <c r="N101" s="921"/>
    </row>
    <row r="102" spans="1:14" ht="78" x14ac:dyDescent="0.3">
      <c r="A102" s="915"/>
      <c r="B102" s="916"/>
      <c r="C102" s="917" t="s">
        <v>459</v>
      </c>
      <c r="D102" s="917" t="s">
        <v>69</v>
      </c>
      <c r="E102" s="918">
        <v>0</v>
      </c>
      <c r="F102" s="918">
        <v>1001.8</v>
      </c>
      <c r="G102" s="918">
        <v>1001.8</v>
      </c>
      <c r="H102" s="918">
        <v>0</v>
      </c>
      <c r="I102" s="917"/>
      <c r="J102" s="919"/>
      <c r="K102" s="920"/>
      <c r="L102" s="920"/>
      <c r="M102" s="917"/>
      <c r="N102" s="921"/>
    </row>
    <row r="103" spans="1:14" ht="78" x14ac:dyDescent="0.3">
      <c r="A103" s="915"/>
      <c r="B103" s="916"/>
      <c r="C103" s="917" t="s">
        <v>459</v>
      </c>
      <c r="D103" s="917" t="s">
        <v>165</v>
      </c>
      <c r="E103" s="918">
        <v>634.70000000000005</v>
      </c>
      <c r="F103" s="918">
        <v>634.70000000000005</v>
      </c>
      <c r="G103" s="918">
        <v>277.3</v>
      </c>
      <c r="H103" s="918">
        <v>357.4</v>
      </c>
      <c r="I103" s="917"/>
      <c r="J103" s="919"/>
      <c r="K103" s="920"/>
      <c r="L103" s="920"/>
      <c r="M103" s="917"/>
      <c r="N103" s="921"/>
    </row>
    <row r="104" spans="1:14" ht="78.599999999999994" thickBot="1" x14ac:dyDescent="0.35">
      <c r="A104" s="915"/>
      <c r="B104" s="916"/>
      <c r="C104" s="917" t="s">
        <v>459</v>
      </c>
      <c r="D104" s="917" t="s">
        <v>25</v>
      </c>
      <c r="E104" s="918">
        <v>409.6</v>
      </c>
      <c r="F104" s="918">
        <v>2.8</v>
      </c>
      <c r="G104" s="918">
        <v>0</v>
      </c>
      <c r="H104" s="918">
        <v>2.8</v>
      </c>
      <c r="I104" s="917"/>
      <c r="J104" s="919"/>
      <c r="K104" s="920"/>
      <c r="L104" s="920"/>
      <c r="M104" s="917"/>
      <c r="N104" s="921"/>
    </row>
    <row r="105" spans="1:14" ht="78" x14ac:dyDescent="0.3">
      <c r="A105" s="929" t="s">
        <v>464</v>
      </c>
      <c r="B105" s="930" t="s">
        <v>465</v>
      </c>
      <c r="C105" s="931"/>
      <c r="D105" s="931"/>
      <c r="E105" s="932">
        <f>SUM(E106:E107)</f>
        <v>0</v>
      </c>
      <c r="F105" s="932">
        <f>SUM(F106:F107)</f>
        <v>3207.8</v>
      </c>
      <c r="G105" s="932">
        <f>SUM(G106:G107)</f>
        <v>2497.8000000000002</v>
      </c>
      <c r="H105" s="932">
        <f>SUM(H106:H107)</f>
        <v>710</v>
      </c>
      <c r="I105" s="931" t="s">
        <v>458</v>
      </c>
      <c r="J105" s="933" t="s">
        <v>285</v>
      </c>
      <c r="K105" s="934" t="s">
        <v>409</v>
      </c>
      <c r="L105" s="934" t="s">
        <v>466</v>
      </c>
      <c r="M105" s="931"/>
      <c r="N105" s="935" t="s">
        <v>467</v>
      </c>
    </row>
    <row r="106" spans="1:14" ht="78" x14ac:dyDescent="0.3">
      <c r="A106" s="915"/>
      <c r="B106" s="916"/>
      <c r="C106" s="917" t="s">
        <v>459</v>
      </c>
      <c r="D106" s="917" t="s">
        <v>69</v>
      </c>
      <c r="E106" s="918">
        <v>0</v>
      </c>
      <c r="F106" s="918">
        <v>1802</v>
      </c>
      <c r="G106" s="918">
        <v>1802</v>
      </c>
      <c r="H106" s="918">
        <v>0</v>
      </c>
      <c r="I106" s="917"/>
      <c r="J106" s="919"/>
      <c r="K106" s="920"/>
      <c r="L106" s="920"/>
      <c r="M106" s="917"/>
      <c r="N106" s="921"/>
    </row>
    <row r="107" spans="1:14" ht="78.599999999999994" thickBot="1" x14ac:dyDescent="0.35">
      <c r="A107" s="915"/>
      <c r="B107" s="916"/>
      <c r="C107" s="917" t="s">
        <v>459</v>
      </c>
      <c r="D107" s="917" t="s">
        <v>164</v>
      </c>
      <c r="E107" s="918">
        <v>0</v>
      </c>
      <c r="F107" s="918">
        <v>1405.8</v>
      </c>
      <c r="G107" s="918">
        <v>695.8</v>
      </c>
      <c r="H107" s="918">
        <v>710</v>
      </c>
      <c r="I107" s="917"/>
      <c r="J107" s="919"/>
      <c r="K107" s="920"/>
      <c r="L107" s="920"/>
      <c r="M107" s="917"/>
      <c r="N107" s="921"/>
    </row>
    <row r="108" spans="1:14" ht="78" x14ac:dyDescent="0.3">
      <c r="A108" s="929" t="s">
        <v>468</v>
      </c>
      <c r="B108" s="930" t="s">
        <v>469</v>
      </c>
      <c r="C108" s="931"/>
      <c r="D108" s="931"/>
      <c r="E108" s="932">
        <f>SUM(E109:E110)</f>
        <v>929.09999999999991</v>
      </c>
      <c r="F108" s="932">
        <f>SUM(F109:F110)</f>
        <v>1529.1</v>
      </c>
      <c r="G108" s="932">
        <f>SUM(G109:G110)</f>
        <v>1260.5999999999999</v>
      </c>
      <c r="H108" s="932">
        <f>SUM(H109:H110)</f>
        <v>268.5</v>
      </c>
      <c r="I108" s="931" t="s">
        <v>470</v>
      </c>
      <c r="J108" s="933" t="s">
        <v>285</v>
      </c>
      <c r="K108" s="934" t="s">
        <v>400</v>
      </c>
      <c r="L108" s="934" t="s">
        <v>471</v>
      </c>
      <c r="M108" s="931"/>
      <c r="N108" s="935" t="s">
        <v>472</v>
      </c>
    </row>
    <row r="109" spans="1:14" ht="78" x14ac:dyDescent="0.3">
      <c r="A109" s="915"/>
      <c r="B109" s="916"/>
      <c r="C109" s="917" t="s">
        <v>459</v>
      </c>
      <c r="D109" s="917" t="s">
        <v>164</v>
      </c>
      <c r="E109" s="918">
        <v>544.79999999999995</v>
      </c>
      <c r="F109" s="918">
        <v>1044.8</v>
      </c>
      <c r="G109" s="918">
        <v>1044.8</v>
      </c>
      <c r="H109" s="918">
        <v>0</v>
      </c>
      <c r="I109" s="917"/>
      <c r="J109" s="919"/>
      <c r="K109" s="920"/>
      <c r="L109" s="920"/>
      <c r="M109" s="917"/>
      <c r="N109" s="921"/>
    </row>
    <row r="110" spans="1:14" ht="78.599999999999994" thickBot="1" x14ac:dyDescent="0.35">
      <c r="A110" s="915"/>
      <c r="B110" s="916"/>
      <c r="C110" s="917" t="s">
        <v>459</v>
      </c>
      <c r="D110" s="917" t="s">
        <v>25</v>
      </c>
      <c r="E110" s="918">
        <v>384.3</v>
      </c>
      <c r="F110" s="918">
        <v>484.3</v>
      </c>
      <c r="G110" s="918">
        <v>215.8</v>
      </c>
      <c r="H110" s="918">
        <v>268.5</v>
      </c>
      <c r="I110" s="917"/>
      <c r="J110" s="919"/>
      <c r="K110" s="920"/>
      <c r="L110" s="920"/>
      <c r="M110" s="917"/>
      <c r="N110" s="921"/>
    </row>
    <row r="111" spans="1:14" ht="78.599999999999994" thickBot="1" x14ac:dyDescent="0.35">
      <c r="A111" s="929" t="s">
        <v>473</v>
      </c>
      <c r="B111" s="930" t="s">
        <v>224</v>
      </c>
      <c r="C111" s="931" t="s">
        <v>295</v>
      </c>
      <c r="D111" s="931" t="s">
        <v>25</v>
      </c>
      <c r="E111" s="936">
        <v>0</v>
      </c>
      <c r="F111" s="936">
        <v>14.6</v>
      </c>
      <c r="G111" s="936">
        <v>8.5</v>
      </c>
      <c r="H111" s="936">
        <v>6.1</v>
      </c>
      <c r="I111" s="931"/>
      <c r="J111" s="933"/>
      <c r="K111" s="934"/>
      <c r="L111" s="934"/>
      <c r="M111" s="931"/>
      <c r="N111" s="935"/>
    </row>
    <row r="112" spans="1:14" ht="94.2" thickBot="1" x14ac:dyDescent="0.35">
      <c r="A112" s="929" t="s">
        <v>474</v>
      </c>
      <c r="B112" s="930" t="s">
        <v>226</v>
      </c>
      <c r="C112" s="931" t="s">
        <v>433</v>
      </c>
      <c r="D112" s="931" t="s">
        <v>25</v>
      </c>
      <c r="E112" s="936">
        <v>0</v>
      </c>
      <c r="F112" s="936">
        <v>100</v>
      </c>
      <c r="G112" s="936">
        <v>100</v>
      </c>
      <c r="H112" s="936">
        <v>0</v>
      </c>
      <c r="I112" s="931"/>
      <c r="J112" s="933"/>
      <c r="K112" s="934"/>
      <c r="L112" s="934"/>
      <c r="M112" s="931"/>
      <c r="N112" s="935"/>
    </row>
    <row r="113" spans="1:14" ht="47.4" thickBot="1" x14ac:dyDescent="0.35">
      <c r="A113" s="929" t="s">
        <v>475</v>
      </c>
      <c r="B113" s="930" t="s">
        <v>191</v>
      </c>
      <c r="C113" s="931"/>
      <c r="D113" s="931"/>
      <c r="E113" s="932">
        <f t="shared" ref="E113:H114" si="0">SUM(E114:E114)</f>
        <v>250.3</v>
      </c>
      <c r="F113" s="932">
        <f t="shared" si="0"/>
        <v>321.7</v>
      </c>
      <c r="G113" s="932">
        <f t="shared" si="0"/>
        <v>201.9</v>
      </c>
      <c r="H113" s="932">
        <f t="shared" si="0"/>
        <v>119.8</v>
      </c>
      <c r="I113" s="931"/>
      <c r="J113" s="933"/>
      <c r="K113" s="934"/>
      <c r="L113" s="934"/>
      <c r="M113" s="931"/>
      <c r="N113" s="935"/>
    </row>
    <row r="114" spans="1:14" ht="62.4" x14ac:dyDescent="0.3">
      <c r="A114" s="929" t="s">
        <v>476</v>
      </c>
      <c r="B114" s="930" t="s">
        <v>191</v>
      </c>
      <c r="C114" s="931"/>
      <c r="D114" s="931"/>
      <c r="E114" s="932">
        <f t="shared" si="0"/>
        <v>250.3</v>
      </c>
      <c r="F114" s="932">
        <f t="shared" si="0"/>
        <v>321.7</v>
      </c>
      <c r="G114" s="932">
        <f t="shared" si="0"/>
        <v>201.9</v>
      </c>
      <c r="H114" s="932">
        <f t="shared" si="0"/>
        <v>119.8</v>
      </c>
      <c r="I114" s="931" t="s">
        <v>477</v>
      </c>
      <c r="J114" s="933" t="s">
        <v>285</v>
      </c>
      <c r="K114" s="934" t="s">
        <v>400</v>
      </c>
      <c r="L114" s="934" t="s">
        <v>478</v>
      </c>
      <c r="M114" s="931"/>
      <c r="N114" s="935" t="s">
        <v>479</v>
      </c>
    </row>
    <row r="115" spans="1:14" ht="94.2" thickBot="1" x14ac:dyDescent="0.35">
      <c r="A115" s="915"/>
      <c r="B115" s="916"/>
      <c r="C115" s="917" t="s">
        <v>433</v>
      </c>
      <c r="D115" s="917" t="s">
        <v>164</v>
      </c>
      <c r="E115" s="918">
        <v>250.3</v>
      </c>
      <c r="F115" s="918">
        <v>321.7</v>
      </c>
      <c r="G115" s="918">
        <v>201.9</v>
      </c>
      <c r="H115" s="918">
        <v>119.8</v>
      </c>
      <c r="I115" s="917"/>
      <c r="J115" s="919"/>
      <c r="K115" s="920"/>
      <c r="L115" s="920"/>
      <c r="M115" s="917"/>
      <c r="N115" s="921"/>
    </row>
    <row r="116" spans="1:14" ht="47.4" thickBot="1" x14ac:dyDescent="0.35">
      <c r="A116" s="929" t="s">
        <v>480</v>
      </c>
      <c r="B116" s="930" t="s">
        <v>481</v>
      </c>
      <c r="C116" s="931"/>
      <c r="D116" s="931"/>
      <c r="E116" s="932">
        <f>E117+E122+E124+E125</f>
        <v>452.79999999999995</v>
      </c>
      <c r="F116" s="932">
        <f>F117+F122+F124+F125</f>
        <v>525.69999999999993</v>
      </c>
      <c r="G116" s="932">
        <f>G117+G122+G124+G125+0.1</f>
        <v>497.70000000000005</v>
      </c>
      <c r="H116" s="932">
        <f>H117+H122+H124+H125-0.1</f>
        <v>28</v>
      </c>
      <c r="I116" s="931"/>
      <c r="J116" s="933"/>
      <c r="K116" s="934"/>
      <c r="L116" s="934"/>
      <c r="M116" s="931"/>
      <c r="N116" s="935"/>
    </row>
    <row r="117" spans="1:14" ht="62.4" x14ac:dyDescent="0.3">
      <c r="A117" s="929" t="s">
        <v>482</v>
      </c>
      <c r="B117" s="930" t="s">
        <v>166</v>
      </c>
      <c r="C117" s="931"/>
      <c r="D117" s="931"/>
      <c r="E117" s="932">
        <f>SUM(E118:E121)</f>
        <v>161.6</v>
      </c>
      <c r="F117" s="932">
        <f>SUM(F118:F121)</f>
        <v>234.5</v>
      </c>
      <c r="G117" s="932">
        <f>SUM(G118:G121)</f>
        <v>226.5</v>
      </c>
      <c r="H117" s="932">
        <f>SUM(H118:H121)</f>
        <v>8</v>
      </c>
      <c r="I117" s="931" t="s">
        <v>483</v>
      </c>
      <c r="J117" s="933" t="s">
        <v>281</v>
      </c>
      <c r="K117" s="934" t="s">
        <v>397</v>
      </c>
      <c r="L117" s="934" t="s">
        <v>297</v>
      </c>
      <c r="M117" s="931"/>
      <c r="N117" s="935" t="s">
        <v>484</v>
      </c>
    </row>
    <row r="118" spans="1:14" ht="31.2" x14ac:dyDescent="0.3">
      <c r="A118" s="915"/>
      <c r="B118" s="916"/>
      <c r="C118" s="917"/>
      <c r="D118" s="917"/>
      <c r="E118" s="918">
        <v>0</v>
      </c>
      <c r="F118" s="918">
        <v>0</v>
      </c>
      <c r="G118" s="918">
        <v>0</v>
      </c>
      <c r="H118" s="918">
        <v>0</v>
      </c>
      <c r="I118" s="917" t="s">
        <v>485</v>
      </c>
      <c r="J118" s="919" t="s">
        <v>285</v>
      </c>
      <c r="K118" s="920" t="s">
        <v>400</v>
      </c>
      <c r="L118" s="920" t="s">
        <v>297</v>
      </c>
      <c r="M118" s="917"/>
      <c r="N118" s="921" t="s">
        <v>486</v>
      </c>
    </row>
    <row r="119" spans="1:14" ht="78" x14ac:dyDescent="0.3">
      <c r="A119" s="915"/>
      <c r="B119" s="916"/>
      <c r="C119" s="917" t="s">
        <v>295</v>
      </c>
      <c r="D119" s="917" t="s">
        <v>25</v>
      </c>
      <c r="E119" s="918">
        <v>96</v>
      </c>
      <c r="F119" s="918">
        <v>138.9</v>
      </c>
      <c r="G119" s="918">
        <v>138.9</v>
      </c>
      <c r="H119" s="918">
        <v>0</v>
      </c>
      <c r="I119" s="917"/>
      <c r="J119" s="919"/>
      <c r="K119" s="920"/>
      <c r="L119" s="920"/>
      <c r="M119" s="917"/>
      <c r="N119" s="921"/>
    </row>
    <row r="120" spans="1:14" ht="78" x14ac:dyDescent="0.3">
      <c r="A120" s="915"/>
      <c r="B120" s="916"/>
      <c r="C120" s="917" t="s">
        <v>295</v>
      </c>
      <c r="D120" s="917" t="s">
        <v>164</v>
      </c>
      <c r="E120" s="918">
        <v>0</v>
      </c>
      <c r="F120" s="918">
        <v>35</v>
      </c>
      <c r="G120" s="918">
        <v>35</v>
      </c>
      <c r="H120" s="918">
        <v>0</v>
      </c>
      <c r="I120" s="917"/>
      <c r="J120" s="919"/>
      <c r="K120" s="920"/>
      <c r="L120" s="920"/>
      <c r="M120" s="917"/>
      <c r="N120" s="921"/>
    </row>
    <row r="121" spans="1:14" ht="63" thickBot="1" x14ac:dyDescent="0.35">
      <c r="A121" s="915"/>
      <c r="B121" s="916"/>
      <c r="C121" s="917" t="s">
        <v>487</v>
      </c>
      <c r="D121" s="917" t="s">
        <v>25</v>
      </c>
      <c r="E121" s="918">
        <v>65.599999999999994</v>
      </c>
      <c r="F121" s="918">
        <v>60.6</v>
      </c>
      <c r="G121" s="918">
        <v>52.6</v>
      </c>
      <c r="H121" s="918">
        <v>8</v>
      </c>
      <c r="I121" s="917"/>
      <c r="J121" s="919"/>
      <c r="K121" s="920"/>
      <c r="L121" s="920"/>
      <c r="M121" s="917"/>
      <c r="N121" s="921"/>
    </row>
    <row r="122" spans="1:14" ht="78" x14ac:dyDescent="0.3">
      <c r="A122" s="929" t="s">
        <v>488</v>
      </c>
      <c r="B122" s="930" t="s">
        <v>192</v>
      </c>
      <c r="C122" s="931" t="s">
        <v>295</v>
      </c>
      <c r="D122" s="931" t="s">
        <v>25</v>
      </c>
      <c r="E122" s="932">
        <f>SUM(E123:E123)+9.4</f>
        <v>9.4</v>
      </c>
      <c r="F122" s="932">
        <f>SUM(F123:F123)+9.4</f>
        <v>9.4</v>
      </c>
      <c r="G122" s="932">
        <f>SUM(G123:G123)+9.3</f>
        <v>9.3000000000000007</v>
      </c>
      <c r="H122" s="932">
        <f>SUM(H123:H123)+0.1</f>
        <v>0.1</v>
      </c>
      <c r="I122" s="931" t="s">
        <v>489</v>
      </c>
      <c r="J122" s="933" t="s">
        <v>285</v>
      </c>
      <c r="K122" s="934" t="s">
        <v>400</v>
      </c>
      <c r="L122" s="934" t="s">
        <v>400</v>
      </c>
      <c r="M122" s="931"/>
      <c r="N122" s="935" t="s">
        <v>484</v>
      </c>
    </row>
    <row r="123" spans="1:14" ht="16.2" thickBot="1" x14ac:dyDescent="0.35">
      <c r="A123" s="915"/>
      <c r="B123" s="916"/>
      <c r="C123" s="917"/>
      <c r="D123" s="917"/>
      <c r="E123" s="918">
        <v>0</v>
      </c>
      <c r="F123" s="918">
        <v>0</v>
      </c>
      <c r="G123" s="918">
        <v>0</v>
      </c>
      <c r="H123" s="918">
        <v>0</v>
      </c>
      <c r="I123" s="917" t="s">
        <v>490</v>
      </c>
      <c r="J123" s="919" t="s">
        <v>285</v>
      </c>
      <c r="K123" s="920" t="s">
        <v>400</v>
      </c>
      <c r="L123" s="920" t="s">
        <v>400</v>
      </c>
      <c r="M123" s="917"/>
      <c r="N123" s="921" t="s">
        <v>484</v>
      </c>
    </row>
    <row r="124" spans="1:14" ht="78.599999999999994" thickBot="1" x14ac:dyDescent="0.35">
      <c r="A124" s="929" t="s">
        <v>491</v>
      </c>
      <c r="B124" s="930" t="s">
        <v>229</v>
      </c>
      <c r="C124" s="931" t="s">
        <v>295</v>
      </c>
      <c r="D124" s="931" t="s">
        <v>25</v>
      </c>
      <c r="E124" s="936">
        <v>100</v>
      </c>
      <c r="F124" s="936">
        <v>100</v>
      </c>
      <c r="G124" s="936">
        <v>100</v>
      </c>
      <c r="H124" s="936">
        <v>0</v>
      </c>
      <c r="I124" s="931" t="s">
        <v>492</v>
      </c>
      <c r="J124" s="933" t="s">
        <v>285</v>
      </c>
      <c r="K124" s="934" t="s">
        <v>462</v>
      </c>
      <c r="L124" s="934" t="s">
        <v>462</v>
      </c>
      <c r="M124" s="931"/>
      <c r="N124" s="935" t="s">
        <v>493</v>
      </c>
    </row>
    <row r="125" spans="1:14" ht="62.4" x14ac:dyDescent="0.3">
      <c r="A125" s="929" t="s">
        <v>494</v>
      </c>
      <c r="B125" s="930" t="s">
        <v>495</v>
      </c>
      <c r="C125" s="931"/>
      <c r="D125" s="931"/>
      <c r="E125" s="932">
        <f>SUM(E126:E127)</f>
        <v>181.79999999999998</v>
      </c>
      <c r="F125" s="932">
        <f>SUM(F126:F127)</f>
        <v>181.79999999999998</v>
      </c>
      <c r="G125" s="932">
        <f>SUM(G126:G127)</f>
        <v>161.79999999999998</v>
      </c>
      <c r="H125" s="932">
        <f>SUM(H126:H127)</f>
        <v>20</v>
      </c>
      <c r="I125" s="931" t="s">
        <v>496</v>
      </c>
      <c r="J125" s="933" t="s">
        <v>281</v>
      </c>
      <c r="K125" s="934" t="s">
        <v>397</v>
      </c>
      <c r="L125" s="934" t="s">
        <v>397</v>
      </c>
      <c r="M125" s="931"/>
      <c r="N125" s="935" t="s">
        <v>497</v>
      </c>
    </row>
    <row r="126" spans="1:14" ht="62.4" x14ac:dyDescent="0.3">
      <c r="A126" s="915"/>
      <c r="B126" s="916"/>
      <c r="C126" s="917" t="s">
        <v>487</v>
      </c>
      <c r="D126" s="917" t="s">
        <v>164</v>
      </c>
      <c r="E126" s="918">
        <v>28.7</v>
      </c>
      <c r="F126" s="918">
        <v>28.7</v>
      </c>
      <c r="G126" s="918">
        <v>28.7</v>
      </c>
      <c r="H126" s="918">
        <v>0</v>
      </c>
      <c r="I126" s="917"/>
      <c r="J126" s="919"/>
      <c r="K126" s="920"/>
      <c r="L126" s="920"/>
      <c r="M126" s="917"/>
      <c r="N126" s="921"/>
    </row>
    <row r="127" spans="1:14" ht="63" thickBot="1" x14ac:dyDescent="0.35">
      <c r="A127" s="915"/>
      <c r="B127" s="916"/>
      <c r="C127" s="917" t="s">
        <v>487</v>
      </c>
      <c r="D127" s="917" t="s">
        <v>25</v>
      </c>
      <c r="E127" s="918">
        <v>153.1</v>
      </c>
      <c r="F127" s="918">
        <v>153.1</v>
      </c>
      <c r="G127" s="918">
        <v>133.1</v>
      </c>
      <c r="H127" s="918">
        <v>20</v>
      </c>
      <c r="I127" s="917"/>
      <c r="J127" s="919"/>
      <c r="K127" s="920"/>
      <c r="L127" s="920"/>
      <c r="M127" s="917"/>
      <c r="N127" s="921"/>
    </row>
    <row r="128" spans="1:14" ht="47.4" thickBot="1" x14ac:dyDescent="0.35">
      <c r="A128" s="929" t="s">
        <v>498</v>
      </c>
      <c r="B128" s="930" t="s">
        <v>223</v>
      </c>
      <c r="C128" s="931"/>
      <c r="D128" s="931"/>
      <c r="E128" s="932">
        <f>SUM(E129:E129)</f>
        <v>18</v>
      </c>
      <c r="F128" s="932">
        <f>SUM(F129:F129)</f>
        <v>16.600000000000001</v>
      </c>
      <c r="G128" s="932">
        <f>SUM(G129:G129)</f>
        <v>0</v>
      </c>
      <c r="H128" s="932">
        <f>SUM(H129:H129)</f>
        <v>16.600000000000001</v>
      </c>
      <c r="I128" s="931"/>
      <c r="J128" s="933"/>
      <c r="K128" s="934"/>
      <c r="L128" s="934"/>
      <c r="M128" s="931"/>
      <c r="N128" s="935"/>
    </row>
    <row r="129" spans="1:14" ht="78.599999999999994" thickBot="1" x14ac:dyDescent="0.35">
      <c r="A129" s="929" t="s">
        <v>499</v>
      </c>
      <c r="B129" s="930" t="s">
        <v>223</v>
      </c>
      <c r="C129" s="931" t="s">
        <v>295</v>
      </c>
      <c r="D129" s="931" t="s">
        <v>25</v>
      </c>
      <c r="E129" s="936">
        <v>18</v>
      </c>
      <c r="F129" s="936">
        <v>16.600000000000001</v>
      </c>
      <c r="G129" s="936">
        <v>0</v>
      </c>
      <c r="H129" s="936">
        <v>16.600000000000001</v>
      </c>
      <c r="I129" s="931" t="s">
        <v>500</v>
      </c>
      <c r="J129" s="933" t="s">
        <v>273</v>
      </c>
      <c r="K129" s="934" t="s">
        <v>297</v>
      </c>
      <c r="L129" s="934" t="s">
        <v>275</v>
      </c>
      <c r="M129" s="931"/>
      <c r="N129" s="935" t="s">
        <v>501</v>
      </c>
    </row>
    <row r="130" spans="1:14" ht="47.4" thickBot="1" x14ac:dyDescent="0.35">
      <c r="A130" s="922" t="s">
        <v>502</v>
      </c>
      <c r="B130" s="923" t="s">
        <v>90</v>
      </c>
      <c r="C130" s="924"/>
      <c r="D130" s="924"/>
      <c r="E130" s="925">
        <f>E131+E134</f>
        <v>1025.3</v>
      </c>
      <c r="F130" s="925">
        <f>F131+F134</f>
        <v>1307.9000000000001</v>
      </c>
      <c r="G130" s="925">
        <f>G131+G134</f>
        <v>1290.2</v>
      </c>
      <c r="H130" s="925">
        <f>H131+H134</f>
        <v>17.7</v>
      </c>
      <c r="I130" s="924"/>
      <c r="J130" s="926"/>
      <c r="K130" s="927"/>
      <c r="L130" s="927"/>
      <c r="M130" s="924"/>
      <c r="N130" s="928"/>
    </row>
    <row r="131" spans="1:14" ht="47.4" thickBot="1" x14ac:dyDescent="0.35">
      <c r="A131" s="929" t="s">
        <v>503</v>
      </c>
      <c r="B131" s="930" t="s">
        <v>91</v>
      </c>
      <c r="C131" s="931"/>
      <c r="D131" s="931"/>
      <c r="E131" s="932">
        <f>SUM(E132:E132)</f>
        <v>975.3</v>
      </c>
      <c r="F131" s="932">
        <f>SUM(F132:F132)</f>
        <v>1257.9000000000001</v>
      </c>
      <c r="G131" s="932">
        <f>SUM(G132:G132)</f>
        <v>1240.5</v>
      </c>
      <c r="H131" s="932">
        <f>SUM(H132:H132)</f>
        <v>17.399999999999999</v>
      </c>
      <c r="I131" s="931"/>
      <c r="J131" s="933"/>
      <c r="K131" s="934"/>
      <c r="L131" s="934"/>
      <c r="M131" s="931"/>
      <c r="N131" s="935"/>
    </row>
    <row r="132" spans="1:14" ht="93.6" x14ac:dyDescent="0.3">
      <c r="A132" s="929" t="s">
        <v>504</v>
      </c>
      <c r="B132" s="930" t="s">
        <v>505</v>
      </c>
      <c r="C132" s="931" t="s">
        <v>295</v>
      </c>
      <c r="D132" s="931" t="s">
        <v>25</v>
      </c>
      <c r="E132" s="932">
        <f>SUM(E133:E133)+975.3</f>
        <v>975.3</v>
      </c>
      <c r="F132" s="932">
        <f>SUM(F133:F133)+1257.9</f>
        <v>1257.9000000000001</v>
      </c>
      <c r="G132" s="932">
        <f>SUM(G133:G133)+1240.5</f>
        <v>1240.5</v>
      </c>
      <c r="H132" s="932">
        <f>SUM(H133:H133)+17.4</f>
        <v>17.399999999999999</v>
      </c>
      <c r="I132" s="931" t="s">
        <v>506</v>
      </c>
      <c r="J132" s="933" t="s">
        <v>281</v>
      </c>
      <c r="K132" s="934" t="s">
        <v>397</v>
      </c>
      <c r="L132" s="934" t="s">
        <v>371</v>
      </c>
      <c r="M132" s="931"/>
      <c r="N132" s="935" t="s">
        <v>507</v>
      </c>
    </row>
    <row r="133" spans="1:14" ht="31.8" thickBot="1" x14ac:dyDescent="0.35">
      <c r="A133" s="915"/>
      <c r="B133" s="916"/>
      <c r="C133" s="917"/>
      <c r="D133" s="917"/>
      <c r="E133" s="918">
        <v>0</v>
      </c>
      <c r="F133" s="918">
        <v>0</v>
      </c>
      <c r="G133" s="918">
        <v>0</v>
      </c>
      <c r="H133" s="918">
        <v>0</v>
      </c>
      <c r="I133" s="917" t="s">
        <v>508</v>
      </c>
      <c r="J133" s="919" t="s">
        <v>281</v>
      </c>
      <c r="K133" s="920" t="s">
        <v>275</v>
      </c>
      <c r="L133" s="920" t="s">
        <v>275</v>
      </c>
      <c r="M133" s="917"/>
      <c r="N133" s="921"/>
    </row>
    <row r="134" spans="1:14" ht="63" thickBot="1" x14ac:dyDescent="0.35">
      <c r="A134" s="929" t="s">
        <v>509</v>
      </c>
      <c r="B134" s="930" t="s">
        <v>93</v>
      </c>
      <c r="C134" s="931"/>
      <c r="D134" s="931"/>
      <c r="E134" s="932">
        <f>SUM(E135:E135)</f>
        <v>50</v>
      </c>
      <c r="F134" s="932">
        <f>SUM(F135:F135)</f>
        <v>50</v>
      </c>
      <c r="G134" s="932">
        <f>SUM(G135:G135)</f>
        <v>49.7</v>
      </c>
      <c r="H134" s="932">
        <f>SUM(H135:H135)</f>
        <v>0.3</v>
      </c>
      <c r="I134" s="931"/>
      <c r="J134" s="933"/>
      <c r="K134" s="934"/>
      <c r="L134" s="934"/>
      <c r="M134" s="931"/>
      <c r="N134" s="935"/>
    </row>
    <row r="135" spans="1:14" ht="78.599999999999994" thickBot="1" x14ac:dyDescent="0.35">
      <c r="A135" s="937" t="s">
        <v>510</v>
      </c>
      <c r="B135" s="938" t="s">
        <v>511</v>
      </c>
      <c r="C135" s="939" t="s">
        <v>295</v>
      </c>
      <c r="D135" s="939" t="s">
        <v>25</v>
      </c>
      <c r="E135" s="940">
        <v>50</v>
      </c>
      <c r="F135" s="940">
        <v>50</v>
      </c>
      <c r="G135" s="940">
        <v>49.7</v>
      </c>
      <c r="H135" s="940">
        <v>0.3</v>
      </c>
      <c r="I135" s="939" t="s">
        <v>512</v>
      </c>
      <c r="J135" s="941" t="s">
        <v>281</v>
      </c>
      <c r="K135" s="942" t="s">
        <v>513</v>
      </c>
      <c r="L135" s="942" t="s">
        <v>363</v>
      </c>
      <c r="M135" s="939"/>
      <c r="N135" s="943" t="s">
        <v>514</v>
      </c>
    </row>
    <row r="136" spans="1:14" x14ac:dyDescent="0.3">
      <c r="A136" s="944"/>
      <c r="B136" s="944"/>
      <c r="C136" s="945"/>
      <c r="D136" s="945"/>
      <c r="E136" s="946"/>
      <c r="F136" s="946"/>
      <c r="G136" s="946"/>
      <c r="H136" s="946"/>
      <c r="I136" s="945"/>
      <c r="J136" s="947"/>
      <c r="K136" s="948"/>
      <c r="L136" s="948"/>
      <c r="M136" s="945"/>
      <c r="N136" s="945"/>
    </row>
    <row r="137" spans="1:14" x14ac:dyDescent="0.3">
      <c r="A137" s="944"/>
      <c r="B137" s="944"/>
      <c r="C137" s="945"/>
      <c r="D137" s="945"/>
      <c r="E137" s="946"/>
      <c r="F137" s="946"/>
      <c r="G137" s="946"/>
      <c r="H137" s="946"/>
      <c r="I137" s="945"/>
      <c r="J137" s="947"/>
      <c r="K137" s="948"/>
      <c r="L137" s="948"/>
      <c r="M137" s="945"/>
      <c r="N137" s="945"/>
    </row>
    <row r="138" spans="1:14" x14ac:dyDescent="0.3">
      <c r="A138" s="944"/>
      <c r="B138" s="944"/>
      <c r="C138" s="945"/>
      <c r="D138" s="945"/>
      <c r="E138" s="946"/>
      <c r="F138" s="946"/>
      <c r="G138" s="946"/>
      <c r="H138" s="946"/>
      <c r="I138" s="945"/>
      <c r="J138" s="947"/>
      <c r="K138" s="948"/>
      <c r="L138" s="948"/>
      <c r="M138" s="945"/>
      <c r="N138" s="945"/>
    </row>
    <row r="139" spans="1:14" x14ac:dyDescent="0.3">
      <c r="A139" s="944"/>
      <c r="B139" s="944"/>
      <c r="C139" s="945"/>
      <c r="D139" s="945"/>
      <c r="E139" s="946"/>
      <c r="F139" s="946"/>
      <c r="G139" s="946"/>
      <c r="H139" s="946"/>
      <c r="I139" s="945"/>
      <c r="J139" s="947"/>
      <c r="K139" s="948"/>
      <c r="L139" s="948"/>
      <c r="M139" s="945"/>
      <c r="N139" s="945"/>
    </row>
    <row r="140" spans="1:14" x14ac:dyDescent="0.3">
      <c r="A140" s="944"/>
      <c r="B140" s="944"/>
      <c r="C140" s="945"/>
      <c r="D140" s="945"/>
      <c r="E140" s="946"/>
      <c r="F140" s="946"/>
      <c r="G140" s="946"/>
      <c r="H140" s="946"/>
      <c r="I140" s="945"/>
      <c r="J140" s="947"/>
      <c r="K140" s="948"/>
      <c r="L140" s="948"/>
      <c r="M140" s="945"/>
      <c r="N140" s="945"/>
    </row>
    <row r="141" spans="1:14" ht="46.8" x14ac:dyDescent="0.3">
      <c r="A141" s="949" t="s">
        <v>255</v>
      </c>
      <c r="B141" s="949" t="s">
        <v>256</v>
      </c>
      <c r="C141" s="949" t="s">
        <v>259</v>
      </c>
      <c r="D141" s="949" t="s">
        <v>260</v>
      </c>
      <c r="E141" s="949" t="s">
        <v>261</v>
      </c>
      <c r="F141" s="949" t="s">
        <v>262</v>
      </c>
    </row>
    <row r="142" spans="1:14" ht="31.2" x14ac:dyDescent="0.3">
      <c r="A142" s="916" t="s">
        <v>164</v>
      </c>
      <c r="B142" s="916" t="s">
        <v>515</v>
      </c>
      <c r="C142" s="918">
        <v>2347.5</v>
      </c>
      <c r="D142" s="918">
        <v>3060.1</v>
      </c>
      <c r="E142" s="918">
        <v>2034</v>
      </c>
      <c r="F142" s="918">
        <v>1026.0999999999999</v>
      </c>
    </row>
    <row r="143" spans="1:14" ht="31.2" x14ac:dyDescent="0.3">
      <c r="A143" s="916" t="s">
        <v>69</v>
      </c>
      <c r="B143" s="916" t="s">
        <v>516</v>
      </c>
      <c r="C143" s="918">
        <v>0</v>
      </c>
      <c r="D143" s="918">
        <v>2803.8</v>
      </c>
      <c r="E143" s="918">
        <v>2803.8</v>
      </c>
      <c r="F143" s="918">
        <v>0</v>
      </c>
    </row>
    <row r="144" spans="1:14" ht="31.2" x14ac:dyDescent="0.3">
      <c r="A144" s="916" t="s">
        <v>36</v>
      </c>
      <c r="B144" s="916" t="s">
        <v>517</v>
      </c>
      <c r="C144" s="918">
        <v>350.3</v>
      </c>
      <c r="D144" s="918">
        <v>350.3</v>
      </c>
      <c r="E144" s="918">
        <v>204.7</v>
      </c>
      <c r="F144" s="918">
        <v>145.6</v>
      </c>
    </row>
    <row r="145" spans="1:6" ht="46.8" x14ac:dyDescent="0.3">
      <c r="A145" s="916" t="s">
        <v>106</v>
      </c>
      <c r="B145" s="916" t="s">
        <v>518</v>
      </c>
      <c r="C145" s="918">
        <v>65.599999999999994</v>
      </c>
      <c r="D145" s="918">
        <v>65.599999999999994</v>
      </c>
      <c r="E145" s="918">
        <v>65.599999999999994</v>
      </c>
      <c r="F145" s="918">
        <v>0</v>
      </c>
    </row>
    <row r="146" spans="1:6" x14ac:dyDescent="0.3">
      <c r="A146" s="916" t="s">
        <v>67</v>
      </c>
      <c r="B146" s="916" t="s">
        <v>519</v>
      </c>
      <c r="C146" s="918">
        <v>0</v>
      </c>
      <c r="D146" s="918">
        <v>166.1</v>
      </c>
      <c r="E146" s="918">
        <v>128.69999999999999</v>
      </c>
      <c r="F146" s="918">
        <v>37.4</v>
      </c>
    </row>
    <row r="147" spans="1:6" ht="31.2" x14ac:dyDescent="0.3">
      <c r="A147" s="916" t="s">
        <v>76</v>
      </c>
      <c r="B147" s="916" t="s">
        <v>520</v>
      </c>
      <c r="C147" s="918">
        <v>0</v>
      </c>
      <c r="D147" s="918">
        <v>18.600000000000001</v>
      </c>
      <c r="E147" s="918">
        <v>18.5</v>
      </c>
      <c r="F147" s="918">
        <v>0.1</v>
      </c>
    </row>
    <row r="148" spans="1:6" x14ac:dyDescent="0.3">
      <c r="A148" s="916" t="s">
        <v>25</v>
      </c>
      <c r="B148" s="916" t="s">
        <v>521</v>
      </c>
      <c r="C148" s="918">
        <v>8688.5</v>
      </c>
      <c r="D148" s="918">
        <v>8937.7000000000007</v>
      </c>
      <c r="E148" s="918">
        <v>8540.2999999999993</v>
      </c>
      <c r="F148" s="918">
        <v>397.4</v>
      </c>
    </row>
    <row r="149" spans="1:6" ht="31.2" x14ac:dyDescent="0.3">
      <c r="A149" s="916" t="s">
        <v>165</v>
      </c>
      <c r="B149" s="916" t="s">
        <v>522</v>
      </c>
      <c r="C149" s="918">
        <v>634.70000000000005</v>
      </c>
      <c r="D149" s="918">
        <v>634.70000000000005</v>
      </c>
      <c r="E149" s="918">
        <v>277.3</v>
      </c>
      <c r="F149" s="918">
        <v>357.4</v>
      </c>
    </row>
    <row r="150" spans="1:6" x14ac:dyDescent="0.3">
      <c r="A150" s="950"/>
      <c r="B150" s="951" t="s">
        <v>523</v>
      </c>
      <c r="C150" s="952">
        <f>SUM(C142:C149)</f>
        <v>12086.6</v>
      </c>
      <c r="D150" s="952">
        <f>SUM(D142:D149)</f>
        <v>16036.900000000001</v>
      </c>
      <c r="E150" s="952">
        <f>SUM(E142:E149)</f>
        <v>14072.899999999998</v>
      </c>
      <c r="F150" s="952">
        <f>SUM(F142:F149)</f>
        <v>1964</v>
      </c>
    </row>
  </sheetData>
  <mergeCells count="14">
    <mergeCell ref="G1:G3"/>
    <mergeCell ref="H1:H3"/>
    <mergeCell ref="I1:N1"/>
    <mergeCell ref="I2:I3"/>
    <mergeCell ref="J2:J3"/>
    <mergeCell ref="K2:L2"/>
    <mergeCell ref="M2:M3"/>
    <mergeCell ref="N2:N3"/>
    <mergeCell ref="F1:F3"/>
    <mergeCell ref="A1:A3"/>
    <mergeCell ref="B1:B3"/>
    <mergeCell ref="C1:C3"/>
    <mergeCell ref="D1:D3"/>
    <mergeCell ref="E1:E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13"/>
  <sheetViews>
    <sheetView zoomScaleNormal="100" zoomScaleSheetLayoutView="70" workbookViewId="0"/>
  </sheetViews>
  <sheetFormatPr defaultRowHeight="14.4" x14ac:dyDescent="0.3"/>
  <cols>
    <col min="1" max="3" width="3.109375" customWidth="1"/>
    <col min="4" max="4" width="28.6640625" customWidth="1"/>
    <col min="5" max="6" width="3" customWidth="1"/>
    <col min="7" max="7" width="7" customWidth="1"/>
    <col min="8" max="9" width="8.6640625" customWidth="1"/>
    <col min="10" max="10" width="7.88671875" customWidth="1"/>
    <col min="11" max="12" width="8.6640625" customWidth="1"/>
    <col min="13" max="13" width="7.88671875" customWidth="1"/>
    <col min="14" max="15" width="8.5546875" customWidth="1"/>
    <col min="16" max="16" width="7.88671875" customWidth="1"/>
    <col min="17" max="17" width="24.6640625" customWidth="1"/>
    <col min="18" max="20" width="4.88671875" customWidth="1"/>
    <col min="21" max="21" width="38" customWidth="1"/>
  </cols>
  <sheetData>
    <row r="1" spans="1:23" x14ac:dyDescent="0.3">
      <c r="A1" s="327"/>
      <c r="B1" s="327"/>
      <c r="C1" s="327"/>
      <c r="D1" s="327"/>
      <c r="E1" s="327"/>
      <c r="F1" s="327"/>
      <c r="G1" s="327"/>
      <c r="H1" s="327"/>
      <c r="I1" s="327"/>
      <c r="J1" s="327"/>
      <c r="K1" s="327"/>
      <c r="L1" s="327"/>
      <c r="M1" s="327"/>
      <c r="N1" s="327"/>
      <c r="O1" s="327"/>
      <c r="P1" s="327"/>
      <c r="Q1" s="1347" t="s">
        <v>114</v>
      </c>
      <c r="R1" s="1347"/>
      <c r="S1" s="1347"/>
      <c r="T1" s="1347"/>
      <c r="U1" s="1347"/>
    </row>
    <row r="2" spans="1:23" s="171" customFormat="1" ht="15.75" customHeight="1" x14ac:dyDescent="0.25">
      <c r="A2" s="1369" t="s">
        <v>0</v>
      </c>
      <c r="B2" s="1369"/>
      <c r="C2" s="1369"/>
      <c r="D2" s="1369"/>
      <c r="E2" s="1369"/>
      <c r="F2" s="1369"/>
      <c r="G2" s="1369"/>
      <c r="H2" s="1369"/>
      <c r="I2" s="1369"/>
      <c r="J2" s="1369"/>
      <c r="K2" s="1369"/>
      <c r="L2" s="1369"/>
      <c r="M2" s="1369"/>
      <c r="N2" s="1369"/>
      <c r="O2" s="1369"/>
      <c r="P2" s="1369"/>
      <c r="Q2" s="1369"/>
      <c r="R2" s="1369"/>
      <c r="S2" s="1369"/>
      <c r="T2" s="1369"/>
      <c r="U2" s="1369"/>
      <c r="V2" s="170"/>
    </row>
    <row r="3" spans="1:23" s="171" customFormat="1" ht="15.75" customHeight="1" x14ac:dyDescent="0.25">
      <c r="A3" s="1370" t="s">
        <v>1</v>
      </c>
      <c r="B3" s="1370"/>
      <c r="C3" s="1370"/>
      <c r="D3" s="1370"/>
      <c r="E3" s="1370"/>
      <c r="F3" s="1370"/>
      <c r="G3" s="1370"/>
      <c r="H3" s="1370"/>
      <c r="I3" s="1370"/>
      <c r="J3" s="1370"/>
      <c r="K3" s="1370"/>
      <c r="L3" s="1370"/>
      <c r="M3" s="1370"/>
      <c r="N3" s="1370"/>
      <c r="O3" s="1370"/>
      <c r="P3" s="1370"/>
      <c r="Q3" s="1370"/>
      <c r="R3" s="1370"/>
      <c r="S3" s="1370"/>
      <c r="T3" s="1370"/>
      <c r="U3" s="1370"/>
      <c r="V3" s="170"/>
    </row>
    <row r="4" spans="1:23" s="171" customFormat="1" ht="15.6" x14ac:dyDescent="0.25">
      <c r="A4" s="1371" t="s">
        <v>2</v>
      </c>
      <c r="B4" s="1371"/>
      <c r="C4" s="1371"/>
      <c r="D4" s="1371"/>
      <c r="E4" s="1371"/>
      <c r="F4" s="1371"/>
      <c r="G4" s="1371"/>
      <c r="H4" s="1371"/>
      <c r="I4" s="1371"/>
      <c r="J4" s="1371"/>
      <c r="K4" s="1371"/>
      <c r="L4" s="1371"/>
      <c r="M4" s="1371"/>
      <c r="N4" s="1371"/>
      <c r="O4" s="1371"/>
      <c r="P4" s="1371"/>
      <c r="Q4" s="1371"/>
      <c r="R4" s="1371"/>
      <c r="S4" s="1371"/>
      <c r="T4" s="1371"/>
      <c r="U4" s="1371"/>
      <c r="V4" s="172"/>
    </row>
    <row r="5" spans="1:23" s="1" customFormat="1" ht="18" customHeight="1" thickBot="1" x14ac:dyDescent="0.3">
      <c r="A5" s="2"/>
      <c r="B5" s="2"/>
      <c r="C5" s="2"/>
      <c r="D5" s="3"/>
      <c r="E5" s="3"/>
      <c r="F5" s="3"/>
      <c r="G5" s="3"/>
      <c r="H5" s="4"/>
      <c r="I5" s="4"/>
      <c r="J5" s="4"/>
      <c r="K5" s="4"/>
      <c r="L5" s="4"/>
      <c r="M5" s="4"/>
      <c r="N5" s="4"/>
      <c r="O5" s="4"/>
      <c r="P5" s="4"/>
      <c r="Q5" s="1368" t="s">
        <v>3</v>
      </c>
      <c r="R5" s="1368"/>
      <c r="S5" s="1368"/>
      <c r="T5" s="1368"/>
      <c r="U5" s="1368"/>
      <c r="V5" s="3"/>
    </row>
    <row r="6" spans="1:23" s="1" customFormat="1" ht="15" customHeight="1" x14ac:dyDescent="0.25">
      <c r="A6" s="1063" t="s">
        <v>4</v>
      </c>
      <c r="B6" s="1066" t="s">
        <v>5</v>
      </c>
      <c r="C6" s="1066" t="s">
        <v>6</v>
      </c>
      <c r="D6" s="1378" t="s">
        <v>7</v>
      </c>
      <c r="E6" s="1055" t="s">
        <v>8</v>
      </c>
      <c r="F6" s="1060" t="s">
        <v>9</v>
      </c>
      <c r="G6" s="1060" t="s">
        <v>10</v>
      </c>
      <c r="H6" s="1296" t="s">
        <v>11</v>
      </c>
      <c r="I6" s="1296" t="s">
        <v>113</v>
      </c>
      <c r="J6" s="1296" t="s">
        <v>112</v>
      </c>
      <c r="K6" s="1296" t="s">
        <v>132</v>
      </c>
      <c r="L6" s="1296" t="s">
        <v>133</v>
      </c>
      <c r="M6" s="1296" t="s">
        <v>112</v>
      </c>
      <c r="N6" s="1296" t="s">
        <v>134</v>
      </c>
      <c r="O6" s="1296" t="s">
        <v>135</v>
      </c>
      <c r="P6" s="1296" t="s">
        <v>112</v>
      </c>
      <c r="Q6" s="1181" t="s">
        <v>12</v>
      </c>
      <c r="R6" s="1182"/>
      <c r="S6" s="1182"/>
      <c r="T6" s="1182"/>
      <c r="U6" s="1305" t="s">
        <v>122</v>
      </c>
    </row>
    <row r="7" spans="1:23" s="1" customFormat="1" ht="15" customHeight="1" x14ac:dyDescent="0.25">
      <c r="A7" s="1064"/>
      <c r="B7" s="1067"/>
      <c r="C7" s="1067"/>
      <c r="D7" s="1379"/>
      <c r="E7" s="1056"/>
      <c r="F7" s="1061"/>
      <c r="G7" s="1061"/>
      <c r="H7" s="1297"/>
      <c r="I7" s="1297"/>
      <c r="J7" s="1297"/>
      <c r="K7" s="1297"/>
      <c r="L7" s="1297"/>
      <c r="M7" s="1297"/>
      <c r="N7" s="1297"/>
      <c r="O7" s="1297"/>
      <c r="P7" s="1297"/>
      <c r="Q7" s="1359" t="s">
        <v>7</v>
      </c>
      <c r="R7" s="1186" t="s">
        <v>13</v>
      </c>
      <c r="S7" s="1358"/>
      <c r="T7" s="1358"/>
      <c r="U7" s="1306"/>
    </row>
    <row r="8" spans="1:23" s="1" customFormat="1" ht="93" customHeight="1" thickBot="1" x14ac:dyDescent="0.3">
      <c r="A8" s="1377"/>
      <c r="B8" s="1310"/>
      <c r="C8" s="1310"/>
      <c r="D8" s="1380"/>
      <c r="E8" s="1057"/>
      <c r="F8" s="1062"/>
      <c r="G8" s="1062"/>
      <c r="H8" s="1298"/>
      <c r="I8" s="1298"/>
      <c r="J8" s="1298"/>
      <c r="K8" s="1298"/>
      <c r="L8" s="1298"/>
      <c r="M8" s="1298"/>
      <c r="N8" s="1298"/>
      <c r="O8" s="1298"/>
      <c r="P8" s="1298"/>
      <c r="Q8" s="1360"/>
      <c r="R8" s="5" t="s">
        <v>14</v>
      </c>
      <c r="S8" s="5" t="s">
        <v>15</v>
      </c>
      <c r="T8" s="490" t="s">
        <v>16</v>
      </c>
      <c r="U8" s="1307"/>
    </row>
    <row r="9" spans="1:23" s="1" customFormat="1" ht="16.5" customHeight="1" thickBot="1" x14ac:dyDescent="0.3">
      <c r="A9" s="1374" t="s">
        <v>17</v>
      </c>
      <c r="B9" s="1375"/>
      <c r="C9" s="1375"/>
      <c r="D9" s="1375"/>
      <c r="E9" s="1375"/>
      <c r="F9" s="1375"/>
      <c r="G9" s="1375"/>
      <c r="H9" s="1375"/>
      <c r="I9" s="1375"/>
      <c r="J9" s="1375"/>
      <c r="K9" s="1375"/>
      <c r="L9" s="1375"/>
      <c r="M9" s="1375"/>
      <c r="N9" s="1375"/>
      <c r="O9" s="1375"/>
      <c r="P9" s="1375"/>
      <c r="Q9" s="1375"/>
      <c r="R9" s="1375"/>
      <c r="S9" s="1375"/>
      <c r="T9" s="1375"/>
      <c r="U9" s="1376"/>
    </row>
    <row r="10" spans="1:23" s="1" customFormat="1" ht="13.5" customHeight="1" thickBot="1" x14ac:dyDescent="0.3">
      <c r="A10" s="1269" t="s">
        <v>18</v>
      </c>
      <c r="B10" s="1270"/>
      <c r="C10" s="1270"/>
      <c r="D10" s="1270"/>
      <c r="E10" s="1270"/>
      <c r="F10" s="1270"/>
      <c r="G10" s="1270"/>
      <c r="H10" s="1270"/>
      <c r="I10" s="1270"/>
      <c r="J10" s="1270"/>
      <c r="K10" s="1270"/>
      <c r="L10" s="1270"/>
      <c r="M10" s="1270"/>
      <c r="N10" s="1270"/>
      <c r="O10" s="1270"/>
      <c r="P10" s="1270"/>
      <c r="Q10" s="1270"/>
      <c r="R10" s="1270"/>
      <c r="S10" s="1270"/>
      <c r="T10" s="1270"/>
      <c r="U10" s="1271"/>
    </row>
    <row r="11" spans="1:23" s="1" customFormat="1" ht="15" customHeight="1" thickBot="1" x14ac:dyDescent="0.3">
      <c r="A11" s="228" t="s">
        <v>19</v>
      </c>
      <c r="B11" s="1272" t="s">
        <v>20</v>
      </c>
      <c r="C11" s="1273"/>
      <c r="D11" s="1273"/>
      <c r="E11" s="1273"/>
      <c r="F11" s="1273"/>
      <c r="G11" s="1273"/>
      <c r="H11" s="1273"/>
      <c r="I11" s="1273"/>
      <c r="J11" s="1273"/>
      <c r="K11" s="1273"/>
      <c r="L11" s="1273"/>
      <c r="M11" s="1273"/>
      <c r="N11" s="1273"/>
      <c r="O11" s="1273"/>
      <c r="P11" s="1273"/>
      <c r="Q11" s="1273"/>
      <c r="R11" s="1273"/>
      <c r="S11" s="1273"/>
      <c r="T11" s="1273"/>
      <c r="U11" s="1274"/>
      <c r="W11" s="29"/>
    </row>
    <row r="12" spans="1:23" s="1" customFormat="1" ht="13.5" customHeight="1" thickBot="1" x14ac:dyDescent="0.3">
      <c r="A12" s="310" t="s">
        <v>19</v>
      </c>
      <c r="B12" s="229" t="s">
        <v>19</v>
      </c>
      <c r="C12" s="1275" t="s">
        <v>21</v>
      </c>
      <c r="D12" s="1013"/>
      <c r="E12" s="1013"/>
      <c r="F12" s="1013"/>
      <c r="G12" s="1013"/>
      <c r="H12" s="1013"/>
      <c r="I12" s="1013"/>
      <c r="J12" s="1013"/>
      <c r="K12" s="1013"/>
      <c r="L12" s="1013"/>
      <c r="M12" s="1013"/>
      <c r="N12" s="1013"/>
      <c r="O12" s="1013"/>
      <c r="P12" s="1013"/>
      <c r="Q12" s="1013"/>
      <c r="R12" s="1013"/>
      <c r="S12" s="1013"/>
      <c r="T12" s="1013"/>
      <c r="U12" s="1014"/>
    </row>
    <row r="13" spans="1:23" s="1" customFormat="1" ht="27.75" customHeight="1" x14ac:dyDescent="0.25">
      <c r="A13" s="1281" t="s">
        <v>19</v>
      </c>
      <c r="B13" s="1081" t="s">
        <v>19</v>
      </c>
      <c r="C13" s="1084" t="s">
        <v>19</v>
      </c>
      <c r="D13" s="1030" t="s">
        <v>22</v>
      </c>
      <c r="E13" s="1015" t="s">
        <v>23</v>
      </c>
      <c r="F13" s="1021" t="s">
        <v>24</v>
      </c>
      <c r="G13" s="41" t="s">
        <v>25</v>
      </c>
      <c r="H13" s="6">
        <v>4</v>
      </c>
      <c r="I13" s="196">
        <v>4</v>
      </c>
      <c r="J13" s="124"/>
      <c r="K13" s="6">
        <v>4</v>
      </c>
      <c r="L13" s="196">
        <v>4</v>
      </c>
      <c r="M13" s="124"/>
      <c r="N13" s="6">
        <v>4</v>
      </c>
      <c r="O13" s="196">
        <v>4</v>
      </c>
      <c r="P13" s="124"/>
      <c r="Q13" s="1268" t="s">
        <v>26</v>
      </c>
      <c r="R13" s="306">
        <v>3</v>
      </c>
      <c r="S13" s="306">
        <v>3</v>
      </c>
      <c r="T13" s="306">
        <v>3</v>
      </c>
      <c r="U13" s="318"/>
    </row>
    <row r="14" spans="1:23" s="1" customFormat="1" ht="13.8" thickBot="1" x14ac:dyDescent="0.3">
      <c r="A14" s="1282"/>
      <c r="B14" s="1083"/>
      <c r="C14" s="1283"/>
      <c r="D14" s="1032"/>
      <c r="E14" s="1017"/>
      <c r="F14" s="1023"/>
      <c r="G14" s="328" t="s">
        <v>27</v>
      </c>
      <c r="H14" s="7">
        <f t="shared" ref="H14:J14" si="0">+H13</f>
        <v>4</v>
      </c>
      <c r="I14" s="197">
        <f t="shared" si="0"/>
        <v>4</v>
      </c>
      <c r="J14" s="194">
        <f t="shared" si="0"/>
        <v>0</v>
      </c>
      <c r="K14" s="7">
        <f t="shared" ref="K14:M14" si="1">+K13</f>
        <v>4</v>
      </c>
      <c r="L14" s="197">
        <f t="shared" si="1"/>
        <v>4</v>
      </c>
      <c r="M14" s="194">
        <f t="shared" si="1"/>
        <v>0</v>
      </c>
      <c r="N14" s="7">
        <f t="shared" ref="N14:P14" si="2">+N13</f>
        <v>4</v>
      </c>
      <c r="O14" s="197">
        <f t="shared" si="2"/>
        <v>4</v>
      </c>
      <c r="P14" s="194">
        <f t="shared" si="2"/>
        <v>0</v>
      </c>
      <c r="Q14" s="1088"/>
      <c r="R14" s="8"/>
      <c r="S14" s="8"/>
      <c r="T14" s="8"/>
      <c r="U14" s="49"/>
    </row>
    <row r="15" spans="1:23" s="1" customFormat="1" ht="41.25" customHeight="1" x14ac:dyDescent="0.25">
      <c r="A15" s="1281" t="s">
        <v>19</v>
      </c>
      <c r="B15" s="1081" t="s">
        <v>19</v>
      </c>
      <c r="C15" s="1084" t="s">
        <v>28</v>
      </c>
      <c r="D15" s="1030" t="s">
        <v>107</v>
      </c>
      <c r="E15" s="1015"/>
      <c r="F15" s="1021" t="s">
        <v>24</v>
      </c>
      <c r="G15" s="160" t="s">
        <v>25</v>
      </c>
      <c r="H15" s="6">
        <v>2.9</v>
      </c>
      <c r="I15" s="196">
        <v>2.9</v>
      </c>
      <c r="J15" s="124"/>
      <c r="K15" s="6">
        <v>2.9</v>
      </c>
      <c r="L15" s="196">
        <v>2.9</v>
      </c>
      <c r="M15" s="124"/>
      <c r="N15" s="6">
        <v>2.9</v>
      </c>
      <c r="O15" s="196">
        <v>2.9</v>
      </c>
      <c r="P15" s="124"/>
      <c r="Q15" s="43" t="s">
        <v>29</v>
      </c>
      <c r="R15" s="306">
        <v>10</v>
      </c>
      <c r="S15" s="306">
        <v>10</v>
      </c>
      <c r="T15" s="306">
        <v>10</v>
      </c>
      <c r="U15" s="318"/>
    </row>
    <row r="16" spans="1:23" s="1" customFormat="1" ht="13.8" thickBot="1" x14ac:dyDescent="0.3">
      <c r="A16" s="1282"/>
      <c r="B16" s="1083"/>
      <c r="C16" s="1283"/>
      <c r="D16" s="1032"/>
      <c r="E16" s="1017"/>
      <c r="F16" s="1023"/>
      <c r="G16" s="329" t="s">
        <v>27</v>
      </c>
      <c r="H16" s="10">
        <f t="shared" ref="H16:J16" si="3">+H15</f>
        <v>2.9</v>
      </c>
      <c r="I16" s="198">
        <f t="shared" si="3"/>
        <v>2.9</v>
      </c>
      <c r="J16" s="195">
        <f t="shared" si="3"/>
        <v>0</v>
      </c>
      <c r="K16" s="10">
        <f t="shared" ref="K16:M16" si="4">+K15</f>
        <v>2.9</v>
      </c>
      <c r="L16" s="198">
        <f t="shared" si="4"/>
        <v>2.9</v>
      </c>
      <c r="M16" s="195">
        <f t="shared" si="4"/>
        <v>0</v>
      </c>
      <c r="N16" s="10">
        <f t="shared" ref="N16:P16" si="5">+N15</f>
        <v>2.9</v>
      </c>
      <c r="O16" s="198">
        <f t="shared" si="5"/>
        <v>2.9</v>
      </c>
      <c r="P16" s="195">
        <f t="shared" si="5"/>
        <v>0</v>
      </c>
      <c r="Q16" s="59"/>
      <c r="R16" s="307"/>
      <c r="S16" s="307"/>
      <c r="T16" s="307"/>
      <c r="U16" s="319"/>
    </row>
    <row r="17" spans="1:28" s="1" customFormat="1" ht="41.25" customHeight="1" x14ac:dyDescent="0.25">
      <c r="A17" s="1281" t="s">
        <v>19</v>
      </c>
      <c r="B17" s="1081" t="s">
        <v>19</v>
      </c>
      <c r="C17" s="1084" t="s">
        <v>30</v>
      </c>
      <c r="D17" s="1030" t="s">
        <v>31</v>
      </c>
      <c r="E17" s="1284"/>
      <c r="F17" s="1286" t="s">
        <v>24</v>
      </c>
      <c r="G17" s="41" t="s">
        <v>25</v>
      </c>
      <c r="H17" s="6">
        <v>8.6</v>
      </c>
      <c r="I17" s="196">
        <v>8.6</v>
      </c>
      <c r="J17" s="124"/>
      <c r="K17" s="6">
        <v>8.6</v>
      </c>
      <c r="L17" s="196">
        <v>8.6</v>
      </c>
      <c r="M17" s="124"/>
      <c r="N17" s="6">
        <v>8.6</v>
      </c>
      <c r="O17" s="196">
        <v>8.6</v>
      </c>
      <c r="P17" s="124"/>
      <c r="Q17" s="1268" t="s">
        <v>32</v>
      </c>
      <c r="R17" s="1288">
        <v>3</v>
      </c>
      <c r="S17" s="306">
        <v>4</v>
      </c>
      <c r="T17" s="306">
        <v>4</v>
      </c>
      <c r="U17" s="1276"/>
    </row>
    <row r="18" spans="1:28" s="1" customFormat="1" ht="13.8" thickBot="1" x14ac:dyDescent="0.3">
      <c r="A18" s="1282"/>
      <c r="B18" s="1083"/>
      <c r="C18" s="1283"/>
      <c r="D18" s="1032"/>
      <c r="E18" s="1285"/>
      <c r="F18" s="1287"/>
      <c r="G18" s="301" t="s">
        <v>27</v>
      </c>
      <c r="H18" s="7">
        <f>H17</f>
        <v>8.6</v>
      </c>
      <c r="I18" s="197">
        <f>+I17</f>
        <v>8.6</v>
      </c>
      <c r="J18" s="194">
        <f>+J17</f>
        <v>0</v>
      </c>
      <c r="K18" s="7">
        <f>K17</f>
        <v>8.6</v>
      </c>
      <c r="L18" s="197">
        <f>+L17</f>
        <v>8.6</v>
      </c>
      <c r="M18" s="194">
        <f>+M17</f>
        <v>0</v>
      </c>
      <c r="N18" s="7">
        <f>N17</f>
        <v>8.6</v>
      </c>
      <c r="O18" s="197">
        <f>+O17</f>
        <v>8.6</v>
      </c>
      <c r="P18" s="194">
        <f>+P17</f>
        <v>0</v>
      </c>
      <c r="Q18" s="1088"/>
      <c r="R18" s="1289"/>
      <c r="S18" s="307"/>
      <c r="T18" s="307"/>
      <c r="U18" s="1277"/>
    </row>
    <row r="19" spans="1:28" s="1" customFormat="1" ht="15.75" customHeight="1" thickBot="1" x14ac:dyDescent="0.3">
      <c r="A19" s="11" t="s">
        <v>19</v>
      </c>
      <c r="B19" s="12" t="s">
        <v>19</v>
      </c>
      <c r="C19" s="1278" t="s">
        <v>33</v>
      </c>
      <c r="D19" s="1279"/>
      <c r="E19" s="1279"/>
      <c r="F19" s="1279"/>
      <c r="G19" s="1280"/>
      <c r="H19" s="330">
        <f t="shared" ref="H19:J19" si="6">H18+H16+H14</f>
        <v>15.5</v>
      </c>
      <c r="I19" s="220">
        <f t="shared" si="6"/>
        <v>15.5</v>
      </c>
      <c r="J19" s="221">
        <f t="shared" si="6"/>
        <v>0</v>
      </c>
      <c r="K19" s="330">
        <f t="shared" ref="K19:M19" si="7">K18+K16+K14</f>
        <v>15.5</v>
      </c>
      <c r="L19" s="220">
        <f t="shared" si="7"/>
        <v>15.5</v>
      </c>
      <c r="M19" s="221">
        <f t="shared" si="7"/>
        <v>0</v>
      </c>
      <c r="N19" s="330">
        <f t="shared" ref="N19:P19" si="8">N18+N16+N14</f>
        <v>15.5</v>
      </c>
      <c r="O19" s="220">
        <f t="shared" si="8"/>
        <v>15.5</v>
      </c>
      <c r="P19" s="221">
        <f t="shared" si="8"/>
        <v>0</v>
      </c>
      <c r="Q19" s="1348"/>
      <c r="R19" s="1349"/>
      <c r="S19" s="1349"/>
      <c r="T19" s="1349"/>
      <c r="U19" s="1350"/>
    </row>
    <row r="20" spans="1:28" s="1" customFormat="1" ht="13.5" customHeight="1" thickBot="1" x14ac:dyDescent="0.3">
      <c r="A20" s="309" t="s">
        <v>19</v>
      </c>
      <c r="B20" s="180" t="s">
        <v>28</v>
      </c>
      <c r="C20" s="1109" t="s">
        <v>34</v>
      </c>
      <c r="D20" s="1110"/>
      <c r="E20" s="1110"/>
      <c r="F20" s="1110"/>
      <c r="G20" s="1110"/>
      <c r="H20" s="1110"/>
      <c r="I20" s="1110"/>
      <c r="J20" s="1110"/>
      <c r="K20" s="1110"/>
      <c r="L20" s="1110"/>
      <c r="M20" s="1110"/>
      <c r="N20" s="1110"/>
      <c r="O20" s="1110"/>
      <c r="P20" s="1110"/>
      <c r="Q20" s="1110"/>
      <c r="R20" s="1110"/>
      <c r="S20" s="1110"/>
      <c r="T20" s="1110"/>
      <c r="U20" s="1111"/>
    </row>
    <row r="21" spans="1:28" s="1" customFormat="1" ht="16.5" customHeight="1" x14ac:dyDescent="0.25">
      <c r="A21" s="15" t="s">
        <v>19</v>
      </c>
      <c r="B21" s="294" t="s">
        <v>28</v>
      </c>
      <c r="C21" s="16" t="s">
        <v>19</v>
      </c>
      <c r="D21" s="1354" t="s">
        <v>35</v>
      </c>
      <c r="E21" s="17"/>
      <c r="F21" s="298">
        <v>2</v>
      </c>
      <c r="G21" s="181" t="s">
        <v>36</v>
      </c>
      <c r="H21" s="285">
        <v>279</v>
      </c>
      <c r="I21" s="203">
        <v>279</v>
      </c>
      <c r="J21" s="124"/>
      <c r="K21" s="427">
        <v>264.5</v>
      </c>
      <c r="L21" s="196">
        <v>264.5</v>
      </c>
      <c r="M21" s="124"/>
      <c r="N21" s="427">
        <v>264.5</v>
      </c>
      <c r="O21" s="196">
        <v>264.5</v>
      </c>
      <c r="P21" s="124"/>
      <c r="Q21" s="1268" t="s">
        <v>37</v>
      </c>
      <c r="R21" s="306">
        <v>3350</v>
      </c>
      <c r="S21" s="306">
        <v>3350</v>
      </c>
      <c r="T21" s="306">
        <v>3350</v>
      </c>
      <c r="U21" s="1311"/>
      <c r="V21" s="19"/>
    </row>
    <row r="22" spans="1:28" s="1" customFormat="1" ht="14.25" customHeight="1" x14ac:dyDescent="0.25">
      <c r="A22" s="20"/>
      <c r="B22" s="313"/>
      <c r="C22" s="21"/>
      <c r="D22" s="1355"/>
      <c r="E22" s="22"/>
      <c r="F22" s="23"/>
      <c r="G22" s="18" t="s">
        <v>25</v>
      </c>
      <c r="H22" s="24">
        <f>3362+8.2</f>
        <v>3370.2</v>
      </c>
      <c r="I22" s="415">
        <f>3370.2+77.6+28.9+10.9+9.8</f>
        <v>3497.4</v>
      </c>
      <c r="J22" s="416">
        <f>I22-H22</f>
        <v>127.20000000000027</v>
      </c>
      <c r="K22" s="428">
        <v>3440.2</v>
      </c>
      <c r="L22" s="219">
        <v>3440.2</v>
      </c>
      <c r="M22" s="416"/>
      <c r="N22" s="428">
        <v>3421.6</v>
      </c>
      <c r="O22" s="219">
        <v>3421.6</v>
      </c>
      <c r="P22" s="416"/>
      <c r="Q22" s="1170"/>
      <c r="R22" s="253"/>
      <c r="S22" s="253"/>
      <c r="T22" s="150"/>
      <c r="U22" s="1312"/>
      <c r="V22" s="19"/>
    </row>
    <row r="23" spans="1:28" s="1" customFormat="1" ht="14.25" customHeight="1" x14ac:dyDescent="0.25">
      <c r="A23" s="20"/>
      <c r="B23" s="467"/>
      <c r="C23" s="21"/>
      <c r="D23" s="466"/>
      <c r="E23" s="22"/>
      <c r="F23" s="23"/>
      <c r="G23" s="18" t="s">
        <v>63</v>
      </c>
      <c r="H23" s="24"/>
      <c r="I23" s="415">
        <v>29.9</v>
      </c>
      <c r="J23" s="416">
        <f>I23-H23</f>
        <v>29.9</v>
      </c>
      <c r="K23" s="428"/>
      <c r="L23" s="219"/>
      <c r="M23" s="416"/>
      <c r="N23" s="428"/>
      <c r="O23" s="219"/>
      <c r="P23" s="416"/>
      <c r="Q23" s="1087" t="s">
        <v>118</v>
      </c>
      <c r="R23" s="252">
        <v>1</v>
      </c>
      <c r="S23" s="252"/>
      <c r="T23" s="252"/>
      <c r="U23" s="1312"/>
      <c r="V23" s="19"/>
    </row>
    <row r="24" spans="1:28" s="1" customFormat="1" ht="16.5" customHeight="1" x14ac:dyDescent="0.25">
      <c r="A24" s="20"/>
      <c r="B24" s="313"/>
      <c r="C24" s="21"/>
      <c r="D24" s="26" t="s">
        <v>38</v>
      </c>
      <c r="E24" s="22"/>
      <c r="F24" s="23"/>
      <c r="G24" s="18" t="s">
        <v>106</v>
      </c>
      <c r="H24" s="286">
        <v>68.900000000000006</v>
      </c>
      <c r="I24" s="219">
        <v>68.900000000000006</v>
      </c>
      <c r="J24" s="232">
        <f>I24-H24</f>
        <v>0</v>
      </c>
      <c r="K24" s="428"/>
      <c r="L24" s="219"/>
      <c r="M24" s="232"/>
      <c r="N24" s="428"/>
      <c r="O24" s="219"/>
      <c r="P24" s="232"/>
      <c r="Q24" s="1170"/>
      <c r="R24" s="252"/>
      <c r="S24" s="252"/>
      <c r="T24" s="252"/>
      <c r="U24" s="1312"/>
      <c r="V24" s="19"/>
    </row>
    <row r="25" spans="1:28" s="1" customFormat="1" ht="17.25" customHeight="1" x14ac:dyDescent="0.25">
      <c r="A25" s="20"/>
      <c r="B25" s="313"/>
      <c r="C25" s="21"/>
      <c r="D25" s="26" t="s">
        <v>39</v>
      </c>
      <c r="E25" s="22"/>
      <c r="F25" s="23"/>
      <c r="G25" s="463"/>
      <c r="H25" s="464"/>
      <c r="I25" s="288"/>
      <c r="J25" s="416"/>
      <c r="K25" s="428"/>
      <c r="L25" s="219"/>
      <c r="M25" s="232"/>
      <c r="N25" s="428"/>
      <c r="O25" s="219"/>
      <c r="P25" s="232"/>
      <c r="Q25" s="104"/>
      <c r="R25" s="9"/>
      <c r="S25" s="9"/>
      <c r="T25" s="9"/>
      <c r="U25" s="1312"/>
      <c r="V25" s="19"/>
    </row>
    <row r="26" spans="1:28" s="1" customFormat="1" ht="28.5" customHeight="1" x14ac:dyDescent="0.25">
      <c r="A26" s="20"/>
      <c r="B26" s="313"/>
      <c r="C26" s="21"/>
      <c r="D26" s="472" t="s">
        <v>40</v>
      </c>
      <c r="E26" s="22"/>
      <c r="F26" s="23"/>
      <c r="G26" s="31"/>
      <c r="H26" s="109"/>
      <c r="I26" s="204"/>
      <c r="J26" s="200"/>
      <c r="K26" s="53"/>
      <c r="L26" s="204"/>
      <c r="M26" s="200"/>
      <c r="N26" s="53"/>
      <c r="O26" s="204"/>
      <c r="P26" s="200"/>
      <c r="Q26" s="305"/>
      <c r="R26" s="252"/>
      <c r="S26" s="252"/>
      <c r="T26" s="252"/>
      <c r="U26" s="1312"/>
      <c r="V26" s="19"/>
      <c r="W26" s="29"/>
    </row>
    <row r="27" spans="1:28" s="1" customFormat="1" ht="27" customHeight="1" x14ac:dyDescent="0.25">
      <c r="A27" s="20"/>
      <c r="B27" s="421"/>
      <c r="C27" s="143"/>
      <c r="D27" s="173" t="s">
        <v>41</v>
      </c>
      <c r="E27" s="22"/>
      <c r="F27" s="23"/>
      <c r="G27" s="31"/>
      <c r="H27" s="109"/>
      <c r="I27" s="204"/>
      <c r="J27" s="200"/>
      <c r="K27" s="53"/>
      <c r="L27" s="204"/>
      <c r="M27" s="200"/>
      <c r="N27" s="53"/>
      <c r="O27" s="204"/>
      <c r="P27" s="200"/>
      <c r="Q27" s="322"/>
      <c r="R27" s="253"/>
      <c r="S27" s="253"/>
      <c r="T27" s="253"/>
      <c r="U27" s="323"/>
      <c r="V27" s="19"/>
      <c r="AB27" s="29"/>
    </row>
    <row r="28" spans="1:28" s="1" customFormat="1" ht="40.5" customHeight="1" x14ac:dyDescent="0.25">
      <c r="A28" s="20"/>
      <c r="B28" s="479"/>
      <c r="C28" s="143"/>
      <c r="D28" s="418" t="s">
        <v>42</v>
      </c>
      <c r="E28" s="30"/>
      <c r="F28" s="23"/>
      <c r="G28" s="31"/>
      <c r="H28" s="109"/>
      <c r="I28" s="204"/>
      <c r="J28" s="200"/>
      <c r="K28" s="53"/>
      <c r="L28" s="204"/>
      <c r="M28" s="200"/>
      <c r="N28" s="53"/>
      <c r="O28" s="204"/>
      <c r="P28" s="200"/>
      <c r="Q28" s="481" t="s">
        <v>109</v>
      </c>
      <c r="R28" s="413">
        <v>100</v>
      </c>
      <c r="S28" s="284">
        <v>100</v>
      </c>
      <c r="T28" s="253"/>
      <c r="U28" s="1312" t="s">
        <v>142</v>
      </c>
      <c r="V28" s="19"/>
      <c r="W28" s="29"/>
    </row>
    <row r="29" spans="1:28" s="1" customFormat="1" ht="40.5" customHeight="1" x14ac:dyDescent="0.25">
      <c r="A29" s="20"/>
      <c r="B29" s="479"/>
      <c r="C29" s="21"/>
      <c r="D29" s="414" t="s">
        <v>108</v>
      </c>
      <c r="E29" s="30"/>
      <c r="F29" s="23"/>
      <c r="G29" s="31"/>
      <c r="H29" s="109"/>
      <c r="I29" s="204"/>
      <c r="J29" s="200"/>
      <c r="K29" s="53"/>
      <c r="L29" s="204"/>
      <c r="M29" s="200"/>
      <c r="N29" s="53"/>
      <c r="O29" s="204"/>
      <c r="P29" s="200"/>
      <c r="Q29" s="283" t="s">
        <v>130</v>
      </c>
      <c r="R29" s="284">
        <v>100</v>
      </c>
      <c r="S29" s="284"/>
      <c r="T29" s="253"/>
      <c r="U29" s="1312"/>
      <c r="V29" s="19"/>
      <c r="W29" s="29"/>
    </row>
    <row r="30" spans="1:28" s="1" customFormat="1" ht="40.5" customHeight="1" x14ac:dyDescent="0.25">
      <c r="A30" s="165"/>
      <c r="B30" s="166"/>
      <c r="C30" s="482"/>
      <c r="D30" s="167"/>
      <c r="E30" s="483"/>
      <c r="F30" s="484"/>
      <c r="G30" s="156"/>
      <c r="H30" s="199"/>
      <c r="I30" s="226"/>
      <c r="J30" s="227"/>
      <c r="K30" s="427"/>
      <c r="L30" s="226"/>
      <c r="M30" s="227"/>
      <c r="N30" s="427"/>
      <c r="O30" s="226"/>
      <c r="P30" s="227"/>
      <c r="Q30" s="481" t="s">
        <v>43</v>
      </c>
      <c r="R30" s="284"/>
      <c r="S30" s="253">
        <v>50</v>
      </c>
      <c r="T30" s="253">
        <v>100</v>
      </c>
      <c r="U30" s="1264"/>
      <c r="V30" s="19"/>
    </row>
    <row r="31" spans="1:28" s="1" customFormat="1" ht="117" customHeight="1" x14ac:dyDescent="0.25">
      <c r="A31" s="20"/>
      <c r="B31" s="313"/>
      <c r="C31" s="21"/>
      <c r="D31" s="1356" t="s">
        <v>44</v>
      </c>
      <c r="E31" s="22"/>
      <c r="F31" s="23"/>
      <c r="G31" s="31"/>
      <c r="H31" s="199"/>
      <c r="I31" s="204"/>
      <c r="J31" s="200"/>
      <c r="K31" s="53"/>
      <c r="L31" s="204"/>
      <c r="M31" s="200"/>
      <c r="N31" s="53"/>
      <c r="O31" s="204"/>
      <c r="P31" s="200"/>
      <c r="Q31" s="1170" t="s">
        <v>45</v>
      </c>
      <c r="R31" s="417">
        <v>13.5</v>
      </c>
      <c r="S31" s="417" t="s">
        <v>123</v>
      </c>
      <c r="T31" s="417" t="s">
        <v>123</v>
      </c>
      <c r="U31" s="1381" t="s">
        <v>141</v>
      </c>
      <c r="W31" s="29"/>
      <c r="X31" s="29"/>
    </row>
    <row r="32" spans="1:28" s="1" customFormat="1" ht="15.75" customHeight="1" thickBot="1" x14ac:dyDescent="0.3">
      <c r="A32" s="32"/>
      <c r="B32" s="295"/>
      <c r="C32" s="33"/>
      <c r="D32" s="1357"/>
      <c r="E32" s="34"/>
      <c r="F32" s="35"/>
      <c r="G32" s="36" t="s">
        <v>27</v>
      </c>
      <c r="H32" s="7">
        <f>SUM(H21:H31)</f>
        <v>3718.1</v>
      </c>
      <c r="I32" s="213">
        <f t="shared" ref="I32" si="9">SUM(I21:I31)</f>
        <v>3875.2000000000003</v>
      </c>
      <c r="J32" s="462">
        <f>SUM(J21:J31)</f>
        <v>157.10000000000028</v>
      </c>
      <c r="K32" s="7">
        <f t="shared" ref="K32:P32" si="10">SUM(K21:K31)</f>
        <v>3704.7</v>
      </c>
      <c r="L32" s="213">
        <f t="shared" si="10"/>
        <v>3704.7</v>
      </c>
      <c r="M32" s="462">
        <f t="shared" si="10"/>
        <v>0</v>
      </c>
      <c r="N32" s="7">
        <f t="shared" si="10"/>
        <v>3686.1</v>
      </c>
      <c r="O32" s="213">
        <f t="shared" si="10"/>
        <v>3686.1</v>
      </c>
      <c r="P32" s="462">
        <f t="shared" si="10"/>
        <v>0</v>
      </c>
      <c r="Q32" s="1088"/>
      <c r="R32" s="254"/>
      <c r="S32" s="254"/>
      <c r="T32" s="254"/>
      <c r="U32" s="1382"/>
      <c r="V32" s="19"/>
    </row>
    <row r="33" spans="1:27" s="1" customFormat="1" ht="28.5" customHeight="1" x14ac:dyDescent="0.25">
      <c r="A33" s="38" t="s">
        <v>19</v>
      </c>
      <c r="B33" s="39" t="s">
        <v>28</v>
      </c>
      <c r="C33" s="16" t="s">
        <v>28</v>
      </c>
      <c r="D33" s="40" t="s">
        <v>46</v>
      </c>
      <c r="E33" s="1290" t="s">
        <v>23</v>
      </c>
      <c r="F33" s="298" t="s">
        <v>24</v>
      </c>
      <c r="G33" s="41" t="s">
        <v>25</v>
      </c>
      <c r="H33" s="42">
        <v>406.9</v>
      </c>
      <c r="I33" s="205">
        <v>406.9</v>
      </c>
      <c r="J33" s="201"/>
      <c r="K33" s="429">
        <v>406.9</v>
      </c>
      <c r="L33" s="205">
        <v>406.9</v>
      </c>
      <c r="M33" s="201"/>
      <c r="N33" s="429">
        <v>406.9</v>
      </c>
      <c r="O33" s="205">
        <v>406.9</v>
      </c>
      <c r="P33" s="201"/>
      <c r="Q33" s="43" t="s">
        <v>47</v>
      </c>
      <c r="R33" s="306">
        <v>73</v>
      </c>
      <c r="S33" s="300">
        <v>73</v>
      </c>
      <c r="T33" s="300">
        <v>73</v>
      </c>
      <c r="U33" s="275"/>
      <c r="W33" s="29"/>
    </row>
    <row r="34" spans="1:27" s="1" customFormat="1" ht="28.5" customHeight="1" x14ac:dyDescent="0.25">
      <c r="A34" s="44"/>
      <c r="B34" s="45"/>
      <c r="C34" s="46"/>
      <c r="D34" s="47" t="s">
        <v>48</v>
      </c>
      <c r="E34" s="1291"/>
      <c r="F34" s="28"/>
      <c r="G34" s="31"/>
      <c r="H34" s="53"/>
      <c r="I34" s="332"/>
      <c r="J34" s="333"/>
      <c r="K34" s="430"/>
      <c r="L34" s="433"/>
      <c r="M34" s="333"/>
      <c r="N34" s="458"/>
      <c r="O34" s="433"/>
      <c r="P34" s="333"/>
      <c r="Q34" s="189"/>
      <c r="R34" s="8"/>
      <c r="S34" s="48"/>
      <c r="T34" s="48"/>
      <c r="U34" s="276"/>
    </row>
    <row r="35" spans="1:27" s="1" customFormat="1" ht="41.25" customHeight="1" x14ac:dyDescent="0.25">
      <c r="A35" s="50"/>
      <c r="B35" s="51"/>
      <c r="C35" s="52"/>
      <c r="D35" s="47" t="s">
        <v>49</v>
      </c>
      <c r="E35" s="1291"/>
      <c r="F35" s="23"/>
      <c r="G35" s="31"/>
      <c r="H35" s="53"/>
      <c r="I35" s="332"/>
      <c r="J35" s="333"/>
      <c r="K35" s="430"/>
      <c r="L35" s="433"/>
      <c r="M35" s="333"/>
      <c r="N35" s="430"/>
      <c r="O35" s="433"/>
      <c r="P35" s="333"/>
      <c r="Q35" s="189"/>
      <c r="R35" s="8"/>
      <c r="S35" s="48"/>
      <c r="T35" s="48"/>
      <c r="U35" s="276"/>
      <c r="W35" s="29"/>
    </row>
    <row r="36" spans="1:27" s="1" customFormat="1" ht="42.75" customHeight="1" x14ac:dyDescent="0.25">
      <c r="A36" s="50"/>
      <c r="B36" s="51"/>
      <c r="C36" s="21"/>
      <c r="D36" s="47" t="s">
        <v>50</v>
      </c>
      <c r="E36" s="334"/>
      <c r="F36" s="23"/>
      <c r="G36" s="31"/>
      <c r="H36" s="53"/>
      <c r="I36" s="332"/>
      <c r="J36" s="333"/>
      <c r="K36" s="430"/>
      <c r="L36" s="433"/>
      <c r="M36" s="333"/>
      <c r="N36" s="458"/>
      <c r="O36" s="433"/>
      <c r="P36" s="333"/>
      <c r="Q36" s="189"/>
      <c r="R36" s="8"/>
      <c r="S36" s="48"/>
      <c r="T36" s="48"/>
      <c r="U36" s="276"/>
      <c r="W36" s="29"/>
      <c r="X36" s="29"/>
    </row>
    <row r="37" spans="1:27" s="1" customFormat="1" ht="31.5" customHeight="1" x14ac:dyDescent="0.25">
      <c r="A37" s="50"/>
      <c r="B37" s="51"/>
      <c r="C37" s="21"/>
      <c r="D37" s="314" t="s">
        <v>51</v>
      </c>
      <c r="E37" s="335"/>
      <c r="F37" s="23"/>
      <c r="G37" s="31"/>
      <c r="H37" s="53"/>
      <c r="I37" s="332"/>
      <c r="J37" s="333"/>
      <c r="K37" s="430"/>
      <c r="L37" s="433"/>
      <c r="M37" s="333"/>
      <c r="N37" s="458"/>
      <c r="O37" s="433"/>
      <c r="P37" s="333"/>
      <c r="Q37" s="189"/>
      <c r="R37" s="8"/>
      <c r="S37" s="48"/>
      <c r="T37" s="48"/>
      <c r="U37" s="276"/>
      <c r="X37" s="29"/>
    </row>
    <row r="38" spans="1:27" s="1" customFormat="1" ht="16.5" customHeight="1" x14ac:dyDescent="0.25">
      <c r="A38" s="50"/>
      <c r="B38" s="51"/>
      <c r="C38" s="21"/>
      <c r="D38" s="1102" t="s">
        <v>52</v>
      </c>
      <c r="E38" s="334"/>
      <c r="F38" s="23"/>
      <c r="G38" s="336" t="s">
        <v>76</v>
      </c>
      <c r="H38" s="337">
        <v>15.5</v>
      </c>
      <c r="I38" s="338">
        <v>15.5</v>
      </c>
      <c r="J38" s="339">
        <f>I38-H38</f>
        <v>0</v>
      </c>
      <c r="K38" s="185">
        <v>15.5</v>
      </c>
      <c r="L38" s="434">
        <v>15.5</v>
      </c>
      <c r="M38" s="339">
        <f>L38-K38</f>
        <v>0</v>
      </c>
      <c r="N38" s="185">
        <v>15.5</v>
      </c>
      <c r="O38" s="434">
        <v>15.5</v>
      </c>
      <c r="P38" s="339">
        <f>O38-N38</f>
        <v>0</v>
      </c>
      <c r="Q38" s="54"/>
      <c r="R38" s="55"/>
      <c r="S38" s="56"/>
      <c r="T38" s="56"/>
      <c r="U38" s="277"/>
      <c r="V38" s="187"/>
    </row>
    <row r="39" spans="1:27" s="1" customFormat="1" ht="13.8" thickBot="1" x14ac:dyDescent="0.3">
      <c r="A39" s="57"/>
      <c r="B39" s="58"/>
      <c r="C39" s="33"/>
      <c r="D39" s="1106"/>
      <c r="E39" s="340"/>
      <c r="F39" s="35"/>
      <c r="G39" s="301" t="s">
        <v>27</v>
      </c>
      <c r="H39" s="7">
        <f>SUM(H33:H38)</f>
        <v>422.4</v>
      </c>
      <c r="I39" s="213">
        <f>SUM(I33:I38)</f>
        <v>422.4</v>
      </c>
      <c r="J39" s="331">
        <f t="shared" ref="J39:L39" si="11">SUM(J33:J38)</f>
        <v>0</v>
      </c>
      <c r="K39" s="37">
        <f t="shared" si="11"/>
        <v>422.4</v>
      </c>
      <c r="L39" s="432">
        <f t="shared" si="11"/>
        <v>422.4</v>
      </c>
      <c r="M39" s="331">
        <f t="shared" ref="M39:O39" si="12">SUM(M33:M38)</f>
        <v>0</v>
      </c>
      <c r="N39" s="37">
        <f t="shared" si="12"/>
        <v>422.4</v>
      </c>
      <c r="O39" s="432">
        <f t="shared" si="12"/>
        <v>422.4</v>
      </c>
      <c r="P39" s="331">
        <f t="shared" ref="P39" si="13">SUM(P33:P38)</f>
        <v>0</v>
      </c>
      <c r="Q39" s="59"/>
      <c r="R39" s="307"/>
      <c r="S39" s="184"/>
      <c r="T39" s="184"/>
      <c r="U39" s="278"/>
    </row>
    <row r="40" spans="1:27" s="1" customFormat="1" ht="30" customHeight="1" x14ac:dyDescent="0.25">
      <c r="A40" s="60" t="s">
        <v>19</v>
      </c>
      <c r="B40" s="51" t="s">
        <v>28</v>
      </c>
      <c r="C40" s="61" t="s">
        <v>30</v>
      </c>
      <c r="D40" s="1105" t="s">
        <v>53</v>
      </c>
      <c r="E40" s="341"/>
      <c r="F40" s="342" t="s">
        <v>24</v>
      </c>
      <c r="G40" s="41" t="s">
        <v>25</v>
      </c>
      <c r="H40" s="62">
        <v>447</v>
      </c>
      <c r="I40" s="206">
        <v>447</v>
      </c>
      <c r="J40" s="202"/>
      <c r="K40" s="62">
        <v>447</v>
      </c>
      <c r="L40" s="206">
        <v>447</v>
      </c>
      <c r="M40" s="202"/>
      <c r="N40" s="62">
        <v>447</v>
      </c>
      <c r="O40" s="206">
        <v>447</v>
      </c>
      <c r="P40" s="202"/>
      <c r="Q40" s="1268" t="s">
        <v>54</v>
      </c>
      <c r="R40" s="255">
        <v>2296</v>
      </c>
      <c r="S40" s="63">
        <v>2296</v>
      </c>
      <c r="T40" s="63">
        <v>2296</v>
      </c>
      <c r="U40" s="279"/>
    </row>
    <row r="41" spans="1:27" s="1" customFormat="1" ht="13.8" thickBot="1" x14ac:dyDescent="0.3">
      <c r="A41" s="60"/>
      <c r="B41" s="51"/>
      <c r="C41" s="61"/>
      <c r="D41" s="1103"/>
      <c r="E41" s="341"/>
      <c r="F41" s="343"/>
      <c r="G41" s="328" t="s">
        <v>27</v>
      </c>
      <c r="H41" s="344">
        <f>H40</f>
        <v>447</v>
      </c>
      <c r="I41" s="198">
        <f t="shared" ref="I41:P41" si="14">+I40</f>
        <v>447</v>
      </c>
      <c r="J41" s="195">
        <f t="shared" si="14"/>
        <v>0</v>
      </c>
      <c r="K41" s="64">
        <f t="shared" si="14"/>
        <v>447</v>
      </c>
      <c r="L41" s="435">
        <f t="shared" si="14"/>
        <v>447</v>
      </c>
      <c r="M41" s="195">
        <f t="shared" si="14"/>
        <v>0</v>
      </c>
      <c r="N41" s="64">
        <f t="shared" si="14"/>
        <v>447</v>
      </c>
      <c r="O41" s="435">
        <f t="shared" si="14"/>
        <v>447</v>
      </c>
      <c r="P41" s="195">
        <f t="shared" si="14"/>
        <v>0</v>
      </c>
      <c r="Q41" s="1170"/>
      <c r="R41" s="8"/>
      <c r="S41" s="183"/>
      <c r="T41" s="183"/>
      <c r="U41" s="276"/>
    </row>
    <row r="42" spans="1:27" s="1" customFormat="1" ht="32.25" customHeight="1" x14ac:dyDescent="0.25">
      <c r="A42" s="65" t="s">
        <v>19</v>
      </c>
      <c r="B42" s="39" t="s">
        <v>28</v>
      </c>
      <c r="C42" s="311" t="s">
        <v>55</v>
      </c>
      <c r="D42" s="1105" t="s">
        <v>131</v>
      </c>
      <c r="E42" s="345"/>
      <c r="F42" s="342" t="s">
        <v>24</v>
      </c>
      <c r="G42" s="41" t="s">
        <v>25</v>
      </c>
      <c r="H42" s="62">
        <v>93.2</v>
      </c>
      <c r="I42" s="206">
        <f>93.2</f>
        <v>93.2</v>
      </c>
      <c r="J42" s="346">
        <f>I42-H42</f>
        <v>0</v>
      </c>
      <c r="K42" s="431">
        <v>187</v>
      </c>
      <c r="L42" s="436">
        <v>187</v>
      </c>
      <c r="M42" s="346">
        <f>L42-K42</f>
        <v>0</v>
      </c>
      <c r="N42" s="431">
        <v>187</v>
      </c>
      <c r="O42" s="436">
        <v>187</v>
      </c>
      <c r="P42" s="346">
        <f>O42-N42</f>
        <v>0</v>
      </c>
      <c r="Q42" s="1268" t="s">
        <v>56</v>
      </c>
      <c r="R42" s="255">
        <v>792</v>
      </c>
      <c r="S42" s="63">
        <v>1580</v>
      </c>
      <c r="T42" s="63">
        <v>1589</v>
      </c>
      <c r="U42" s="279"/>
      <c r="W42" s="29"/>
      <c r="X42" s="29"/>
    </row>
    <row r="43" spans="1:27" s="1" customFormat="1" ht="13.8" thickBot="1" x14ac:dyDescent="0.3">
      <c r="A43" s="66"/>
      <c r="B43" s="58"/>
      <c r="C43" s="312"/>
      <c r="D43" s="1106"/>
      <c r="E43" s="347"/>
      <c r="F43" s="348"/>
      <c r="G43" s="321" t="s">
        <v>27</v>
      </c>
      <c r="H43" s="131">
        <f>H42</f>
        <v>93.2</v>
      </c>
      <c r="I43" s="197">
        <f t="shared" ref="I43:P43" si="15">+I42</f>
        <v>93.2</v>
      </c>
      <c r="J43" s="194">
        <f t="shared" si="15"/>
        <v>0</v>
      </c>
      <c r="K43" s="67">
        <f t="shared" si="15"/>
        <v>187</v>
      </c>
      <c r="L43" s="437">
        <f t="shared" si="15"/>
        <v>187</v>
      </c>
      <c r="M43" s="194">
        <f t="shared" si="15"/>
        <v>0</v>
      </c>
      <c r="N43" s="67">
        <f t="shared" si="15"/>
        <v>187</v>
      </c>
      <c r="O43" s="437">
        <f t="shared" si="15"/>
        <v>187</v>
      </c>
      <c r="P43" s="194">
        <f t="shared" si="15"/>
        <v>0</v>
      </c>
      <c r="Q43" s="1088"/>
      <c r="R43" s="307"/>
      <c r="S43" s="307"/>
      <c r="T43" s="307"/>
      <c r="U43" s="319"/>
      <c r="AA43" s="29"/>
    </row>
    <row r="44" spans="1:27" s="1" customFormat="1" ht="15.75" customHeight="1" thickBot="1" x14ac:dyDescent="0.3">
      <c r="A44" s="310" t="s">
        <v>19</v>
      </c>
      <c r="B44" s="295" t="s">
        <v>28</v>
      </c>
      <c r="C44" s="1280" t="s">
        <v>33</v>
      </c>
      <c r="D44" s="1280"/>
      <c r="E44" s="1280"/>
      <c r="F44" s="1280"/>
      <c r="G44" s="1280"/>
      <c r="H44" s="349">
        <f t="shared" ref="H44:J44" si="16">H41+H39+H32+H43</f>
        <v>4680.7</v>
      </c>
      <c r="I44" s="350">
        <f t="shared" si="16"/>
        <v>4837.8</v>
      </c>
      <c r="J44" s="351">
        <f t="shared" si="16"/>
        <v>157.10000000000028</v>
      </c>
      <c r="K44" s="349">
        <f t="shared" ref="K44:M44" si="17">K41+K39+K32+K43</f>
        <v>4761.0999999999995</v>
      </c>
      <c r="L44" s="438">
        <f t="shared" si="17"/>
        <v>4761.0999999999995</v>
      </c>
      <c r="M44" s="351">
        <f t="shared" si="17"/>
        <v>0</v>
      </c>
      <c r="N44" s="349">
        <f t="shared" ref="N44:P44" si="18">N41+N39+N32+N43</f>
        <v>4742.5</v>
      </c>
      <c r="O44" s="438">
        <f t="shared" si="18"/>
        <v>4742.5</v>
      </c>
      <c r="P44" s="351">
        <f t="shared" si="18"/>
        <v>0</v>
      </c>
      <c r="Q44" s="1351"/>
      <c r="R44" s="1352"/>
      <c r="S44" s="1352"/>
      <c r="T44" s="1352"/>
      <c r="U44" s="1353"/>
    </row>
    <row r="45" spans="1:27" s="1" customFormat="1" ht="13.5" customHeight="1" thickBot="1" x14ac:dyDescent="0.3">
      <c r="A45" s="69" t="s">
        <v>19</v>
      </c>
      <c r="B45" s="223" t="s">
        <v>30</v>
      </c>
      <c r="C45" s="1109" t="s">
        <v>57</v>
      </c>
      <c r="D45" s="1110"/>
      <c r="E45" s="1110"/>
      <c r="F45" s="1110"/>
      <c r="G45" s="1110"/>
      <c r="H45" s="1110"/>
      <c r="I45" s="1110"/>
      <c r="J45" s="1110"/>
      <c r="K45" s="1110"/>
      <c r="L45" s="1110"/>
      <c r="M45" s="1110"/>
      <c r="N45" s="1110"/>
      <c r="O45" s="1110"/>
      <c r="P45" s="1110"/>
      <c r="Q45" s="1110"/>
      <c r="R45" s="1110"/>
      <c r="S45" s="1110"/>
      <c r="T45" s="1110"/>
      <c r="U45" s="1111"/>
      <c r="Y45" s="29"/>
    </row>
    <row r="46" spans="1:27" s="1" customFormat="1" ht="16.5" customHeight="1" x14ac:dyDescent="0.25">
      <c r="A46" s="65" t="s">
        <v>19</v>
      </c>
      <c r="B46" s="39" t="s">
        <v>30</v>
      </c>
      <c r="C46" s="83" t="s">
        <v>19</v>
      </c>
      <c r="D46" s="352" t="s">
        <v>58</v>
      </c>
      <c r="E46" s="246"/>
      <c r="F46" s="353"/>
      <c r="G46" s="269"/>
      <c r="H46" s="114"/>
      <c r="I46" s="247"/>
      <c r="J46" s="248"/>
      <c r="K46" s="114"/>
      <c r="L46" s="247"/>
      <c r="M46" s="248"/>
      <c r="N46" s="114"/>
      <c r="O46" s="247"/>
      <c r="P46" s="248"/>
      <c r="Q46" s="249"/>
      <c r="R46" s="266"/>
      <c r="S46" s="274"/>
      <c r="T46" s="266"/>
      <c r="U46" s="224"/>
    </row>
    <row r="47" spans="1:27" s="1" customFormat="1" ht="19.5" customHeight="1" x14ac:dyDescent="0.25">
      <c r="A47" s="73"/>
      <c r="B47" s="74"/>
      <c r="C47" s="303"/>
      <c r="D47" s="1102" t="s">
        <v>59</v>
      </c>
      <c r="E47" s="75" t="s">
        <v>60</v>
      </c>
      <c r="F47" s="354">
        <v>5</v>
      </c>
      <c r="G47" s="147" t="s">
        <v>25</v>
      </c>
      <c r="H47" s="355">
        <v>339</v>
      </c>
      <c r="I47" s="410">
        <f>339-10</f>
        <v>329</v>
      </c>
      <c r="J47" s="289">
        <f>I47-H47</f>
        <v>-10</v>
      </c>
      <c r="K47" s="355"/>
      <c r="L47" s="410"/>
      <c r="M47" s="289"/>
      <c r="N47" s="355"/>
      <c r="O47" s="410"/>
      <c r="P47" s="289"/>
      <c r="Q47" s="304" t="s">
        <v>61</v>
      </c>
      <c r="R47" s="287">
        <v>100</v>
      </c>
      <c r="S47" s="287"/>
      <c r="T47" s="287"/>
      <c r="U47" s="1260" t="s">
        <v>140</v>
      </c>
      <c r="W47" s="29"/>
      <c r="Y47" s="29"/>
    </row>
    <row r="48" spans="1:27" s="1" customFormat="1" ht="29.25" customHeight="1" x14ac:dyDescent="0.25">
      <c r="A48" s="73"/>
      <c r="B48" s="74"/>
      <c r="C48" s="316"/>
      <c r="D48" s="1265"/>
      <c r="E48" s="245"/>
      <c r="F48" s="357"/>
      <c r="G48" s="156"/>
      <c r="H48" s="117"/>
      <c r="I48" s="212"/>
      <c r="J48" s="358"/>
      <c r="K48" s="117"/>
      <c r="L48" s="212"/>
      <c r="M48" s="358"/>
      <c r="N48" s="117"/>
      <c r="O48" s="212"/>
      <c r="P48" s="358"/>
      <c r="Q48" s="419" t="s">
        <v>129</v>
      </c>
      <c r="R48" s="420">
        <v>2</v>
      </c>
      <c r="S48" s="145"/>
      <c r="T48" s="326"/>
      <c r="U48" s="1261"/>
      <c r="W48" s="29"/>
    </row>
    <row r="49" spans="1:29" s="1" customFormat="1" ht="32.25" customHeight="1" x14ac:dyDescent="0.25">
      <c r="A49" s="73"/>
      <c r="B49" s="74"/>
      <c r="C49" s="316"/>
      <c r="D49" s="1103" t="s">
        <v>62</v>
      </c>
      <c r="E49" s="77" t="s">
        <v>60</v>
      </c>
      <c r="F49" s="136">
        <v>5</v>
      </c>
      <c r="G49" s="31" t="s">
        <v>63</v>
      </c>
      <c r="H49" s="359">
        <v>115.8</v>
      </c>
      <c r="I49" s="360">
        <v>115.8</v>
      </c>
      <c r="J49" s="361">
        <f>I49-H49</f>
        <v>0</v>
      </c>
      <c r="K49" s="359"/>
      <c r="L49" s="360"/>
      <c r="M49" s="361"/>
      <c r="N49" s="454"/>
      <c r="O49" s="360"/>
      <c r="P49" s="361"/>
      <c r="Q49" s="1170" t="s">
        <v>64</v>
      </c>
      <c r="R49" s="252">
        <v>100</v>
      </c>
      <c r="S49" s="252"/>
      <c r="T49" s="252"/>
      <c r="U49" s="1261"/>
    </row>
    <row r="50" spans="1:29" s="1" customFormat="1" ht="17.25" customHeight="1" x14ac:dyDescent="0.25">
      <c r="A50" s="73"/>
      <c r="B50" s="74"/>
      <c r="C50" s="316"/>
      <c r="D50" s="1103"/>
      <c r="E50" s="77"/>
      <c r="F50" s="136"/>
      <c r="G50" s="324" t="s">
        <v>25</v>
      </c>
      <c r="H50" s="411">
        <v>0</v>
      </c>
      <c r="I50" s="412">
        <v>10</v>
      </c>
      <c r="J50" s="325">
        <f>I50-H50</f>
        <v>10</v>
      </c>
      <c r="K50" s="411"/>
      <c r="L50" s="412"/>
      <c r="M50" s="325"/>
      <c r="N50" s="455"/>
      <c r="O50" s="412"/>
      <c r="P50" s="325"/>
      <c r="Q50" s="1170"/>
      <c r="R50" s="252"/>
      <c r="S50" s="252"/>
      <c r="T50" s="252"/>
      <c r="U50" s="1262"/>
      <c r="X50" s="29"/>
    </row>
    <row r="51" spans="1:29" s="1" customFormat="1" ht="33" customHeight="1" x14ac:dyDescent="0.25">
      <c r="A51" s="73"/>
      <c r="B51" s="74"/>
      <c r="C51" s="480"/>
      <c r="D51" s="1102" t="s">
        <v>65</v>
      </c>
      <c r="E51" s="75"/>
      <c r="F51" s="100">
        <v>6</v>
      </c>
      <c r="G51" s="147" t="s">
        <v>25</v>
      </c>
      <c r="H51" s="286">
        <v>245.7</v>
      </c>
      <c r="I51" s="288">
        <f>245.7-77.6</f>
        <v>168.1</v>
      </c>
      <c r="J51" s="289">
        <f>I51-H51</f>
        <v>-77.599999999999994</v>
      </c>
      <c r="K51" s="286"/>
      <c r="L51" s="288"/>
      <c r="M51" s="289"/>
      <c r="N51" s="428"/>
      <c r="O51" s="288"/>
      <c r="P51" s="289"/>
      <c r="Q51" s="158" t="s">
        <v>66</v>
      </c>
      <c r="R51" s="287">
        <v>100</v>
      </c>
      <c r="S51" s="287"/>
      <c r="T51" s="182"/>
      <c r="U51" s="1263" t="s">
        <v>139</v>
      </c>
      <c r="AC51" s="29"/>
    </row>
    <row r="52" spans="1:29" s="1" customFormat="1" ht="33" customHeight="1" x14ac:dyDescent="0.25">
      <c r="A52" s="486"/>
      <c r="B52" s="487"/>
      <c r="C52" s="488"/>
      <c r="D52" s="1265"/>
      <c r="E52" s="245"/>
      <c r="F52" s="357"/>
      <c r="G52" s="336" t="s">
        <v>67</v>
      </c>
      <c r="H52" s="465"/>
      <c r="I52" s="489">
        <v>25</v>
      </c>
      <c r="J52" s="325">
        <f>I52-H52</f>
        <v>25</v>
      </c>
      <c r="K52" s="465"/>
      <c r="L52" s="489"/>
      <c r="M52" s="325"/>
      <c r="N52" s="185"/>
      <c r="O52" s="489"/>
      <c r="P52" s="325"/>
      <c r="Q52" s="91"/>
      <c r="R52" s="253"/>
      <c r="S52" s="253"/>
      <c r="T52" s="253"/>
      <c r="U52" s="1264"/>
      <c r="X52" s="29"/>
      <c r="AC52" s="29"/>
    </row>
    <row r="53" spans="1:29" s="1" customFormat="1" ht="27.75" customHeight="1" x14ac:dyDescent="0.25">
      <c r="A53" s="73"/>
      <c r="B53" s="74"/>
      <c r="C53" s="316"/>
      <c r="D53" s="1103" t="s">
        <v>116</v>
      </c>
      <c r="E53" s="77"/>
      <c r="F53" s="136">
        <v>2</v>
      </c>
      <c r="G53" s="156" t="s">
        <v>67</v>
      </c>
      <c r="H53" s="485">
        <v>25</v>
      </c>
      <c r="I53" s="226">
        <v>25</v>
      </c>
      <c r="J53" s="358">
        <f>I53-H53</f>
        <v>0</v>
      </c>
      <c r="K53" s="485"/>
      <c r="L53" s="226"/>
      <c r="M53" s="358"/>
      <c r="N53" s="427"/>
      <c r="O53" s="226"/>
      <c r="P53" s="358"/>
      <c r="Q53" s="104" t="s">
        <v>117</v>
      </c>
      <c r="R53" s="252">
        <v>100</v>
      </c>
      <c r="S53" s="252"/>
      <c r="T53" s="252"/>
      <c r="U53" s="25"/>
      <c r="V53" s="186"/>
      <c r="Y53" s="29"/>
      <c r="AC53" s="29"/>
    </row>
    <row r="54" spans="1:29" s="1" customFormat="1" ht="15.75" customHeight="1" thickBot="1" x14ac:dyDescent="0.3">
      <c r="A54" s="105"/>
      <c r="B54" s="106"/>
      <c r="C54" s="155"/>
      <c r="D54" s="1106"/>
      <c r="E54" s="267"/>
      <c r="F54" s="362"/>
      <c r="G54" s="159" t="s">
        <v>27</v>
      </c>
      <c r="H54" s="80">
        <f t="shared" ref="H54:P54" si="19">SUM(H47:H53)</f>
        <v>725.5</v>
      </c>
      <c r="I54" s="211">
        <f>SUM(I47:I53)</f>
        <v>672.9</v>
      </c>
      <c r="J54" s="240">
        <f>SUM(J47:J53)</f>
        <v>-52.599999999999994</v>
      </c>
      <c r="K54" s="80">
        <f t="shared" si="19"/>
        <v>0</v>
      </c>
      <c r="L54" s="211">
        <f t="shared" si="19"/>
        <v>0</v>
      </c>
      <c r="M54" s="240">
        <f t="shared" si="19"/>
        <v>0</v>
      </c>
      <c r="N54" s="80">
        <f t="shared" si="19"/>
        <v>0</v>
      </c>
      <c r="O54" s="211">
        <f t="shared" si="19"/>
        <v>0</v>
      </c>
      <c r="P54" s="240">
        <f t="shared" si="19"/>
        <v>0</v>
      </c>
      <c r="Q54" s="68"/>
      <c r="R54" s="256"/>
      <c r="S54" s="256"/>
      <c r="T54" s="256"/>
      <c r="U54" s="424"/>
      <c r="W54" s="29"/>
      <c r="AA54" s="29"/>
    </row>
    <row r="55" spans="1:29" s="1" customFormat="1" ht="29.25" customHeight="1" x14ac:dyDescent="0.25">
      <c r="A55" s="81" t="s">
        <v>19</v>
      </c>
      <c r="B55" s="82" t="s">
        <v>30</v>
      </c>
      <c r="C55" s="83" t="s">
        <v>28</v>
      </c>
      <c r="D55" s="40" t="s">
        <v>68</v>
      </c>
      <c r="E55" s="215"/>
      <c r="F55" s="84"/>
      <c r="G55" s="320"/>
      <c r="H55" s="85"/>
      <c r="I55" s="208"/>
      <c r="J55" s="363"/>
      <c r="K55" s="85"/>
      <c r="L55" s="208"/>
      <c r="M55" s="363"/>
      <c r="N55" s="85"/>
      <c r="O55" s="208"/>
      <c r="P55" s="363"/>
      <c r="Q55" s="72"/>
      <c r="R55" s="257"/>
      <c r="S55" s="257"/>
      <c r="T55" s="257"/>
      <c r="U55" s="243"/>
      <c r="W55" s="29"/>
    </row>
    <row r="56" spans="1:29" s="1" customFormat="1" ht="15.75" customHeight="1" x14ac:dyDescent="0.25">
      <c r="A56" s="73"/>
      <c r="B56" s="74"/>
      <c r="C56" s="471"/>
      <c r="D56" s="1299" t="s">
        <v>119</v>
      </c>
      <c r="E56" s="216" t="s">
        <v>60</v>
      </c>
      <c r="F56" s="100">
        <v>5</v>
      </c>
      <c r="G56" s="157" t="s">
        <v>69</v>
      </c>
      <c r="H56" s="364">
        <v>0</v>
      </c>
      <c r="I56" s="356">
        <v>0</v>
      </c>
      <c r="J56" s="289"/>
      <c r="K56" s="440">
        <f>681.5+1197.3+475.8</f>
        <v>2354.6</v>
      </c>
      <c r="L56" s="366">
        <f>681.5+1197.3+475.8</f>
        <v>2354.6</v>
      </c>
      <c r="M56" s="289"/>
      <c r="N56" s="440"/>
      <c r="O56" s="366"/>
      <c r="P56" s="289"/>
      <c r="Q56" s="1026" t="s">
        <v>70</v>
      </c>
      <c r="R56" s="258">
        <v>10</v>
      </c>
      <c r="S56" s="258">
        <v>100</v>
      </c>
      <c r="T56" s="258"/>
      <c r="U56" s="1260"/>
      <c r="V56" s="19"/>
    </row>
    <row r="57" spans="1:29" s="1" customFormat="1" ht="15.75" customHeight="1" x14ac:dyDescent="0.25">
      <c r="A57" s="73"/>
      <c r="B57" s="74"/>
      <c r="C57" s="471"/>
      <c r="D57" s="1031"/>
      <c r="E57" s="1373" t="s">
        <v>71</v>
      </c>
      <c r="F57" s="102"/>
      <c r="G57" s="152" t="s">
        <v>25</v>
      </c>
      <c r="H57" s="365">
        <v>883.6</v>
      </c>
      <c r="I57" s="366">
        <v>883.6</v>
      </c>
      <c r="J57" s="179"/>
      <c r="K57" s="440">
        <v>4330.8999999999996</v>
      </c>
      <c r="L57" s="366">
        <v>4330.8999999999996</v>
      </c>
      <c r="M57" s="179"/>
      <c r="N57" s="440"/>
      <c r="O57" s="366"/>
      <c r="P57" s="179"/>
      <c r="Q57" s="1151"/>
      <c r="R57" s="8"/>
      <c r="S57" s="8"/>
      <c r="T57" s="8"/>
      <c r="U57" s="1261"/>
      <c r="V57" s="19"/>
    </row>
    <row r="58" spans="1:29" s="1" customFormat="1" ht="15.75" customHeight="1" x14ac:dyDescent="0.25">
      <c r="A58" s="78"/>
      <c r="B58" s="79"/>
      <c r="C58" s="87"/>
      <c r="D58" s="1031"/>
      <c r="E58" s="1313"/>
      <c r="F58" s="102"/>
      <c r="G58" s="152" t="s">
        <v>72</v>
      </c>
      <c r="H58" s="367">
        <v>7233.6</v>
      </c>
      <c r="I58" s="368">
        <v>7233.6</v>
      </c>
      <c r="J58" s="179"/>
      <c r="K58" s="88">
        <v>1020.4</v>
      </c>
      <c r="L58" s="210">
        <v>1020.4</v>
      </c>
      <c r="M58" s="179"/>
      <c r="N58" s="88"/>
      <c r="O58" s="210"/>
      <c r="P58" s="179"/>
      <c r="Q58" s="1151"/>
      <c r="R58" s="8"/>
      <c r="S58" s="8"/>
      <c r="T58" s="8"/>
      <c r="U58" s="1261"/>
      <c r="V58" s="19"/>
      <c r="X58" s="29"/>
      <c r="Y58" s="29"/>
    </row>
    <row r="59" spans="1:29" s="1" customFormat="1" ht="15.75" customHeight="1" x14ac:dyDescent="0.25">
      <c r="A59" s="78"/>
      <c r="B59" s="79"/>
      <c r="C59" s="87"/>
      <c r="D59" s="1031"/>
      <c r="E59" s="1313"/>
      <c r="F59" s="102"/>
      <c r="G59" s="153" t="s">
        <v>63</v>
      </c>
      <c r="H59" s="27">
        <v>0</v>
      </c>
      <c r="I59" s="369">
        <v>0</v>
      </c>
      <c r="J59" s="233"/>
      <c r="K59" s="231">
        <v>0</v>
      </c>
      <c r="L59" s="368">
        <v>0</v>
      </c>
      <c r="M59" s="233"/>
      <c r="N59" s="231"/>
      <c r="O59" s="368"/>
      <c r="P59" s="233"/>
      <c r="Q59" s="89"/>
      <c r="R59" s="259"/>
      <c r="S59" s="259"/>
      <c r="T59" s="259"/>
      <c r="U59" s="1261"/>
      <c r="V59" s="19"/>
      <c r="AA59" s="29"/>
      <c r="AB59" s="29"/>
    </row>
    <row r="60" spans="1:29" s="1" customFormat="1" ht="15.75" customHeight="1" x14ac:dyDescent="0.25">
      <c r="A60" s="78"/>
      <c r="B60" s="79"/>
      <c r="C60" s="87"/>
      <c r="D60" s="1300"/>
      <c r="E60" s="1314"/>
      <c r="F60" s="370"/>
      <c r="G60" s="154" t="s">
        <v>27</v>
      </c>
      <c r="H60" s="234">
        <f t="shared" ref="H60:P60" si="20">SUM(H56:H59)</f>
        <v>8117.2000000000007</v>
      </c>
      <c r="I60" s="209">
        <f t="shared" si="20"/>
        <v>8117.2000000000007</v>
      </c>
      <c r="J60" s="177">
        <f t="shared" si="20"/>
        <v>0</v>
      </c>
      <c r="K60" s="90">
        <f t="shared" si="20"/>
        <v>7705.9</v>
      </c>
      <c r="L60" s="209">
        <f t="shared" si="20"/>
        <v>7705.9</v>
      </c>
      <c r="M60" s="177">
        <f t="shared" si="20"/>
        <v>0</v>
      </c>
      <c r="N60" s="90">
        <f t="shared" si="20"/>
        <v>0</v>
      </c>
      <c r="O60" s="209">
        <f t="shared" si="20"/>
        <v>0</v>
      </c>
      <c r="P60" s="177">
        <f t="shared" si="20"/>
        <v>0</v>
      </c>
      <c r="Q60" s="91"/>
      <c r="R60" s="260"/>
      <c r="S60" s="260"/>
      <c r="T60" s="260"/>
      <c r="U60" s="1262"/>
    </row>
    <row r="61" spans="1:29" s="1" customFormat="1" ht="21" customHeight="1" x14ac:dyDescent="0.25">
      <c r="A61" s="60"/>
      <c r="B61" s="51"/>
      <c r="C61" s="1295"/>
      <c r="D61" s="1139" t="s">
        <v>124</v>
      </c>
      <c r="E61" s="250" t="s">
        <v>60</v>
      </c>
      <c r="F61" s="1292">
        <v>5</v>
      </c>
      <c r="G61" s="149" t="s">
        <v>25</v>
      </c>
      <c r="H61" s="241">
        <v>155.6</v>
      </c>
      <c r="I61" s="212">
        <v>155.6</v>
      </c>
      <c r="J61" s="235"/>
      <c r="K61" s="441">
        <v>43.4</v>
      </c>
      <c r="L61" s="448">
        <v>43.4</v>
      </c>
      <c r="M61" s="235"/>
      <c r="N61" s="92">
        <v>86.8</v>
      </c>
      <c r="O61" s="456">
        <v>86.8</v>
      </c>
      <c r="P61" s="235"/>
      <c r="Q61" s="190" t="s">
        <v>73</v>
      </c>
      <c r="R61" s="169">
        <v>1</v>
      </c>
      <c r="S61" s="169"/>
      <c r="T61" s="169"/>
      <c r="U61" s="93"/>
      <c r="Y61" s="29"/>
    </row>
    <row r="62" spans="1:29" s="1" customFormat="1" ht="21" customHeight="1" x14ac:dyDescent="0.25">
      <c r="A62" s="60"/>
      <c r="B62" s="51"/>
      <c r="C62" s="1295"/>
      <c r="D62" s="1139"/>
      <c r="E62" s="1293" t="s">
        <v>74</v>
      </c>
      <c r="F62" s="1292"/>
      <c r="G62" s="148" t="s">
        <v>72</v>
      </c>
      <c r="H62" s="365"/>
      <c r="I62" s="366"/>
      <c r="J62" s="235"/>
      <c r="K62" s="441">
        <v>932.2</v>
      </c>
      <c r="L62" s="448">
        <v>932.2</v>
      </c>
      <c r="M62" s="235"/>
      <c r="N62" s="94">
        <v>1864.4</v>
      </c>
      <c r="O62" s="457">
        <v>1864.4</v>
      </c>
      <c r="P62" s="235"/>
      <c r="Q62" s="95" t="s">
        <v>75</v>
      </c>
      <c r="R62" s="261">
        <v>1</v>
      </c>
      <c r="S62" s="261"/>
      <c r="T62" s="261"/>
      <c r="U62" s="96"/>
    </row>
    <row r="63" spans="1:29" s="1" customFormat="1" ht="21" customHeight="1" x14ac:dyDescent="0.25">
      <c r="A63" s="60"/>
      <c r="B63" s="51"/>
      <c r="C63" s="1295"/>
      <c r="D63" s="1139"/>
      <c r="E63" s="1294"/>
      <c r="F63" s="1292"/>
      <c r="G63" s="146" t="s">
        <v>76</v>
      </c>
      <c r="H63" s="365"/>
      <c r="I63" s="366"/>
      <c r="J63" s="236"/>
      <c r="K63" s="442">
        <v>82.3</v>
      </c>
      <c r="L63" s="449">
        <v>82.3</v>
      </c>
      <c r="M63" s="236"/>
      <c r="N63" s="97">
        <v>164.5</v>
      </c>
      <c r="O63" s="456">
        <v>164.5</v>
      </c>
      <c r="P63" s="236"/>
      <c r="Q63" s="188" t="s">
        <v>70</v>
      </c>
      <c r="R63" s="258"/>
      <c r="S63" s="258">
        <v>25</v>
      </c>
      <c r="T63" s="258">
        <v>75</v>
      </c>
      <c r="U63" s="76"/>
      <c r="X63" s="29"/>
    </row>
    <row r="64" spans="1:29" s="1" customFormat="1" ht="21" customHeight="1" x14ac:dyDescent="0.25">
      <c r="A64" s="60"/>
      <c r="B64" s="51"/>
      <c r="C64" s="1295"/>
      <c r="D64" s="1139"/>
      <c r="E64" s="1294"/>
      <c r="F64" s="1292"/>
      <c r="G64" s="144" t="s">
        <v>63</v>
      </c>
      <c r="H64" s="364"/>
      <c r="I64" s="356"/>
      <c r="J64" s="237"/>
      <c r="K64" s="443">
        <v>455.3</v>
      </c>
      <c r="L64" s="450">
        <v>455.3</v>
      </c>
      <c r="M64" s="439"/>
      <c r="N64" s="443"/>
      <c r="O64" s="450"/>
      <c r="P64" s="439"/>
      <c r="Q64" s="189"/>
      <c r="R64" s="8"/>
      <c r="S64" s="8"/>
      <c r="T64" s="8"/>
      <c r="U64" s="49"/>
      <c r="X64" s="29"/>
    </row>
    <row r="65" spans="1:30" s="1" customFormat="1" ht="21" customHeight="1" thickBot="1" x14ac:dyDescent="0.3">
      <c r="A65" s="60"/>
      <c r="B65" s="51"/>
      <c r="C65" s="1295"/>
      <c r="D65" s="1139"/>
      <c r="E65" s="1294"/>
      <c r="F65" s="1292"/>
      <c r="G65" s="301" t="s">
        <v>27</v>
      </c>
      <c r="H65" s="242">
        <f t="shared" ref="H65" si="21">SUM(H61:H63)</f>
        <v>155.6</v>
      </c>
      <c r="I65" s="213">
        <f t="shared" ref="I65:J65" si="22">SUM(I61:I63)</f>
        <v>155.6</v>
      </c>
      <c r="J65" s="331">
        <f t="shared" si="22"/>
        <v>0</v>
      </c>
      <c r="K65" s="7">
        <f>SUM(K61:K64)</f>
        <v>1513.2</v>
      </c>
      <c r="L65" s="213">
        <f>SUM(L61:L64)</f>
        <v>1513.2</v>
      </c>
      <c r="M65" s="331">
        <f t="shared" ref="M65" si="23">SUM(M61:M63)</f>
        <v>0</v>
      </c>
      <c r="N65" s="7">
        <f>SUM(N61:N64)</f>
        <v>2115.6999999999998</v>
      </c>
      <c r="O65" s="213">
        <f>SUM(O61:O64)</f>
        <v>2115.6999999999998</v>
      </c>
      <c r="P65" s="331">
        <f t="shared" ref="P65" si="24">SUM(P61:P63)</f>
        <v>0</v>
      </c>
      <c r="Q65" s="189"/>
      <c r="R65" s="262"/>
      <c r="S65" s="262"/>
      <c r="T65" s="262"/>
      <c r="U65" s="244"/>
      <c r="AD65" s="29"/>
    </row>
    <row r="66" spans="1:30" s="1" customFormat="1" ht="34.5" customHeight="1" x14ac:dyDescent="0.25">
      <c r="A66" s="60"/>
      <c r="B66" s="51"/>
      <c r="C66" s="272"/>
      <c r="D66" s="1138" t="s">
        <v>110</v>
      </c>
      <c r="E66" s="273" t="s">
        <v>60</v>
      </c>
      <c r="F66" s="371">
        <v>5</v>
      </c>
      <c r="G66" s="269" t="s">
        <v>25</v>
      </c>
      <c r="H66" s="372">
        <v>39.799999999999997</v>
      </c>
      <c r="I66" s="206">
        <v>39.799999999999997</v>
      </c>
      <c r="J66" s="373"/>
      <c r="K66" s="62"/>
      <c r="L66" s="473">
        <f>1.2+100.6</f>
        <v>101.8</v>
      </c>
      <c r="M66" s="423">
        <f>L66-K66</f>
        <v>101.8</v>
      </c>
      <c r="N66" s="62"/>
      <c r="O66" s="473">
        <v>77.599999999999994</v>
      </c>
      <c r="P66" s="423">
        <f>O66-N66</f>
        <v>77.599999999999994</v>
      </c>
      <c r="Q66" s="1076" t="s">
        <v>77</v>
      </c>
      <c r="R66" s="258">
        <v>1</v>
      </c>
      <c r="S66" s="258"/>
      <c r="T66" s="86"/>
      <c r="U66" s="1260" t="s">
        <v>143</v>
      </c>
      <c r="W66" s="29"/>
      <c r="X66" s="29"/>
    </row>
    <row r="67" spans="1:30" s="1" customFormat="1" ht="34.5" customHeight="1" x14ac:dyDescent="0.25">
      <c r="A67" s="60"/>
      <c r="B67" s="51"/>
      <c r="C67" s="272"/>
      <c r="D67" s="1139"/>
      <c r="E67" s="1313" t="s">
        <v>78</v>
      </c>
      <c r="F67" s="375"/>
      <c r="G67" s="149" t="s">
        <v>72</v>
      </c>
      <c r="H67" s="241"/>
      <c r="I67" s="212"/>
      <c r="J67" s="358"/>
      <c r="K67" s="444">
        <v>680</v>
      </c>
      <c r="L67" s="477">
        <v>0</v>
      </c>
      <c r="M67" s="478">
        <f>L67-K67</f>
        <v>-680</v>
      </c>
      <c r="N67" s="444"/>
      <c r="O67" s="451"/>
      <c r="P67" s="358"/>
      <c r="Q67" s="1365"/>
      <c r="R67" s="475"/>
      <c r="S67" s="475"/>
      <c r="T67" s="476"/>
      <c r="U67" s="1261"/>
    </row>
    <row r="68" spans="1:30" s="1" customFormat="1" ht="34.5" customHeight="1" x14ac:dyDescent="0.25">
      <c r="A68" s="60"/>
      <c r="B68" s="51"/>
      <c r="C68" s="272"/>
      <c r="D68" s="374"/>
      <c r="E68" s="1313"/>
      <c r="F68" s="375"/>
      <c r="G68" s="144" t="s">
        <v>63</v>
      </c>
      <c r="H68" s="364">
        <v>145</v>
      </c>
      <c r="I68" s="410">
        <v>0</v>
      </c>
      <c r="J68" s="289">
        <f>I68-H68</f>
        <v>-145</v>
      </c>
      <c r="K68" s="355"/>
      <c r="L68" s="410">
        <v>348</v>
      </c>
      <c r="M68" s="289">
        <f>L68-K68</f>
        <v>348</v>
      </c>
      <c r="N68" s="355"/>
      <c r="O68" s="410">
        <v>300</v>
      </c>
      <c r="P68" s="289">
        <f>O68-N68</f>
        <v>300</v>
      </c>
      <c r="Q68" s="1361" t="s">
        <v>79</v>
      </c>
      <c r="R68" s="474" t="s">
        <v>136</v>
      </c>
      <c r="S68" s="1363" t="s">
        <v>137</v>
      </c>
      <c r="T68" s="474">
        <v>100</v>
      </c>
      <c r="U68" s="1261"/>
      <c r="V68" s="1267"/>
      <c r="W68" s="1267"/>
      <c r="X68" s="1267"/>
      <c r="Y68" s="1267"/>
    </row>
    <row r="69" spans="1:30" s="1" customFormat="1" ht="18" customHeight="1" x14ac:dyDescent="0.25">
      <c r="A69" s="60"/>
      <c r="B69" s="51"/>
      <c r="C69" s="272"/>
      <c r="D69" s="376"/>
      <c r="E69" s="1314"/>
      <c r="F69" s="377"/>
      <c r="G69" s="378" t="s">
        <v>27</v>
      </c>
      <c r="H69" s="379">
        <f t="shared" ref="H69:P69" si="25">SUM(H66:H68)</f>
        <v>184.8</v>
      </c>
      <c r="I69" s="380">
        <f t="shared" si="25"/>
        <v>39.799999999999997</v>
      </c>
      <c r="J69" s="381">
        <f t="shared" si="25"/>
        <v>-145</v>
      </c>
      <c r="K69" s="445">
        <f t="shared" si="25"/>
        <v>680</v>
      </c>
      <c r="L69" s="380">
        <f t="shared" si="25"/>
        <v>449.8</v>
      </c>
      <c r="M69" s="381">
        <f t="shared" si="25"/>
        <v>-230.20000000000005</v>
      </c>
      <c r="N69" s="445">
        <f t="shared" si="25"/>
        <v>0</v>
      </c>
      <c r="O69" s="380">
        <f t="shared" si="25"/>
        <v>377.6</v>
      </c>
      <c r="P69" s="381">
        <f t="shared" si="25"/>
        <v>377.6</v>
      </c>
      <c r="Q69" s="1362"/>
      <c r="R69" s="263"/>
      <c r="S69" s="1364"/>
      <c r="T69" s="263"/>
      <c r="U69" s="1262"/>
      <c r="V69" s="1267"/>
      <c r="W69" s="1267"/>
      <c r="X69" s="1267"/>
      <c r="Y69" s="1267"/>
      <c r="Z69" s="29"/>
    </row>
    <row r="70" spans="1:30" s="1" customFormat="1" ht="13.5" customHeight="1" x14ac:dyDescent="0.25">
      <c r="A70" s="73"/>
      <c r="B70" s="74"/>
      <c r="C70" s="303"/>
      <c r="D70" s="1103" t="s">
        <v>80</v>
      </c>
      <c r="E70" s="217"/>
      <c r="F70" s="102">
        <v>5</v>
      </c>
      <c r="G70" s="153" t="s">
        <v>25</v>
      </c>
      <c r="H70" s="238">
        <v>2.5</v>
      </c>
      <c r="I70" s="210">
        <v>2.5</v>
      </c>
      <c r="J70" s="361"/>
      <c r="K70" s="88"/>
      <c r="L70" s="210"/>
      <c r="M70" s="361"/>
      <c r="N70" s="88"/>
      <c r="O70" s="210"/>
      <c r="P70" s="361"/>
      <c r="Q70" s="1163" t="s">
        <v>81</v>
      </c>
      <c r="R70" s="8">
        <v>2</v>
      </c>
      <c r="S70" s="8"/>
      <c r="T70" s="8"/>
      <c r="U70" s="49"/>
    </row>
    <row r="71" spans="1:30" s="1" customFormat="1" ht="13.2" x14ac:dyDescent="0.25">
      <c r="A71" s="73"/>
      <c r="B71" s="74"/>
      <c r="C71" s="303"/>
      <c r="D71" s="1103"/>
      <c r="E71" s="217"/>
      <c r="F71" s="102"/>
      <c r="G71" s="153"/>
      <c r="H71" s="238"/>
      <c r="I71" s="210"/>
      <c r="J71" s="361"/>
      <c r="K71" s="88"/>
      <c r="L71" s="210"/>
      <c r="M71" s="361"/>
      <c r="N71" s="88"/>
      <c r="O71" s="210"/>
      <c r="P71" s="361"/>
      <c r="Q71" s="1163"/>
      <c r="R71" s="8"/>
      <c r="S71" s="8"/>
      <c r="T71" s="8"/>
      <c r="U71" s="49"/>
    </row>
    <row r="72" spans="1:30" s="1" customFormat="1" ht="13.2" x14ac:dyDescent="0.25">
      <c r="A72" s="78"/>
      <c r="B72" s="79"/>
      <c r="C72" s="87"/>
      <c r="D72" s="1103"/>
      <c r="E72" s="217"/>
      <c r="F72" s="102"/>
      <c r="G72" s="153"/>
      <c r="H72" s="238"/>
      <c r="I72" s="210"/>
      <c r="J72" s="361"/>
      <c r="K72" s="88"/>
      <c r="L72" s="210"/>
      <c r="M72" s="361"/>
      <c r="N72" s="88"/>
      <c r="O72" s="210"/>
      <c r="P72" s="361"/>
      <c r="Q72" s="1163"/>
      <c r="R72" s="8"/>
      <c r="S72" s="8"/>
      <c r="T72" s="8"/>
      <c r="U72" s="49"/>
      <c r="X72" s="29"/>
    </row>
    <row r="73" spans="1:30" s="1" customFormat="1" ht="13.2" x14ac:dyDescent="0.25">
      <c r="A73" s="78"/>
      <c r="B73" s="79"/>
      <c r="C73" s="87"/>
      <c r="D73" s="1103"/>
      <c r="E73" s="217"/>
      <c r="F73" s="102"/>
      <c r="G73" s="153"/>
      <c r="H73" s="238"/>
      <c r="I73" s="210"/>
      <c r="J73" s="361"/>
      <c r="K73" s="88"/>
      <c r="L73" s="210"/>
      <c r="M73" s="361"/>
      <c r="N73" s="88"/>
      <c r="O73" s="210"/>
      <c r="P73" s="361"/>
      <c r="Q73" s="1163"/>
      <c r="R73" s="8"/>
      <c r="S73" s="8"/>
      <c r="T73" s="8"/>
      <c r="U73" s="49"/>
      <c r="X73" s="29"/>
      <c r="AA73" s="29"/>
    </row>
    <row r="74" spans="1:30" s="1" customFormat="1" ht="13.2" x14ac:dyDescent="0.25">
      <c r="A74" s="78"/>
      <c r="B74" s="79"/>
      <c r="C74" s="87"/>
      <c r="D74" s="1265"/>
      <c r="E74" s="271"/>
      <c r="F74" s="370"/>
      <c r="G74" s="154" t="s">
        <v>27</v>
      </c>
      <c r="H74" s="234">
        <f>SUM(H70:H73)</f>
        <v>2.5</v>
      </c>
      <c r="I74" s="209">
        <f>SUM(I70:I73)</f>
        <v>2.5</v>
      </c>
      <c r="J74" s="177"/>
      <c r="K74" s="99">
        <f>SUM(K70:K73)</f>
        <v>0</v>
      </c>
      <c r="L74" s="207">
        <f>SUM(L70:L73)</f>
        <v>0</v>
      </c>
      <c r="M74" s="177"/>
      <c r="N74" s="99">
        <f>SUM(N70:N73)</f>
        <v>0</v>
      </c>
      <c r="O74" s="207">
        <f>SUM(O70:O73)</f>
        <v>0</v>
      </c>
      <c r="P74" s="177"/>
      <c r="Q74" s="1315"/>
      <c r="R74" s="169"/>
      <c r="S74" s="169"/>
      <c r="T74" s="169"/>
      <c r="U74" s="93"/>
      <c r="X74" s="29"/>
    </row>
    <row r="75" spans="1:30" s="1" customFormat="1" ht="13.5" customHeight="1" x14ac:dyDescent="0.25">
      <c r="A75" s="73"/>
      <c r="B75" s="74"/>
      <c r="C75" s="303"/>
      <c r="D75" s="1103" t="s">
        <v>82</v>
      </c>
      <c r="E75" s="1303" t="s">
        <v>83</v>
      </c>
      <c r="F75" s="382">
        <v>5</v>
      </c>
      <c r="G75" s="153" t="s">
        <v>25</v>
      </c>
      <c r="H75" s="238"/>
      <c r="I75" s="210"/>
      <c r="J75" s="361"/>
      <c r="K75" s="452">
        <v>10</v>
      </c>
      <c r="L75" s="453">
        <v>10</v>
      </c>
      <c r="M75" s="361"/>
      <c r="N75" s="452">
        <v>50</v>
      </c>
      <c r="O75" s="453">
        <v>50</v>
      </c>
      <c r="P75" s="361"/>
      <c r="Q75" s="1316" t="s">
        <v>84</v>
      </c>
      <c r="R75" s="9"/>
      <c r="S75" s="9">
        <v>20</v>
      </c>
      <c r="T75" s="9">
        <v>100</v>
      </c>
      <c r="U75" s="76"/>
    </row>
    <row r="76" spans="1:30" s="1" customFormat="1" ht="15.75" customHeight="1" x14ac:dyDescent="0.25">
      <c r="A76" s="73"/>
      <c r="B76" s="74"/>
      <c r="C76" s="303"/>
      <c r="D76" s="1103"/>
      <c r="E76" s="1303"/>
      <c r="F76" s="382"/>
      <c r="G76" s="153"/>
      <c r="H76" s="238"/>
      <c r="I76" s="210"/>
      <c r="J76" s="361"/>
      <c r="K76" s="88"/>
      <c r="L76" s="210"/>
      <c r="M76" s="361"/>
      <c r="N76" s="88"/>
      <c r="O76" s="210"/>
      <c r="P76" s="361"/>
      <c r="Q76" s="1316"/>
      <c r="R76" s="9"/>
      <c r="S76" s="9"/>
      <c r="T76" s="9"/>
      <c r="U76" s="49"/>
      <c r="Y76" s="29"/>
    </row>
    <row r="77" spans="1:30" s="1" customFormat="1" ht="12" customHeight="1" x14ac:dyDescent="0.25">
      <c r="A77" s="78"/>
      <c r="B77" s="79"/>
      <c r="C77" s="87"/>
      <c r="D77" s="1103"/>
      <c r="E77" s="1303"/>
      <c r="F77" s="382"/>
      <c r="G77" s="153"/>
      <c r="H77" s="238"/>
      <c r="I77" s="210"/>
      <c r="J77" s="361"/>
      <c r="K77" s="88"/>
      <c r="L77" s="210"/>
      <c r="M77" s="361"/>
      <c r="N77" s="88"/>
      <c r="O77" s="210"/>
      <c r="P77" s="361"/>
      <c r="Q77" s="168"/>
      <c r="R77" s="9"/>
      <c r="S77" s="9"/>
      <c r="T77" s="9"/>
      <c r="U77" s="49"/>
      <c r="W77" s="29"/>
      <c r="X77" s="29"/>
    </row>
    <row r="78" spans="1:30" s="1" customFormat="1" ht="3" hidden="1" customHeight="1" x14ac:dyDescent="0.25">
      <c r="A78" s="78"/>
      <c r="B78" s="79"/>
      <c r="C78" s="87"/>
      <c r="D78" s="1103"/>
      <c r="E78" s="1304"/>
      <c r="F78" s="382"/>
      <c r="G78" s="153"/>
      <c r="H78" s="238"/>
      <c r="I78" s="210"/>
      <c r="J78" s="361"/>
      <c r="K78" s="88"/>
      <c r="L78" s="210"/>
      <c r="M78" s="361"/>
      <c r="N78" s="88"/>
      <c r="O78" s="210"/>
      <c r="P78" s="361"/>
      <c r="Q78" s="101"/>
      <c r="R78" s="308"/>
      <c r="S78" s="9"/>
      <c r="T78" s="9"/>
      <c r="U78" s="49"/>
      <c r="X78" s="29"/>
    </row>
    <row r="79" spans="1:30" s="1" customFormat="1" ht="13.2" x14ac:dyDescent="0.25">
      <c r="A79" s="78"/>
      <c r="B79" s="79"/>
      <c r="C79" s="87"/>
      <c r="D79" s="1103"/>
      <c r="E79" s="218" t="s">
        <v>60</v>
      </c>
      <c r="F79" s="383"/>
      <c r="G79" s="151" t="s">
        <v>27</v>
      </c>
      <c r="H79" s="103">
        <f>SUM(H75:H78)</f>
        <v>0</v>
      </c>
      <c r="I79" s="207">
        <f>SUM(I75:I78)</f>
        <v>0</v>
      </c>
      <c r="J79" s="176"/>
      <c r="K79" s="99">
        <f>SUM(K75:K78)</f>
        <v>10</v>
      </c>
      <c r="L79" s="207">
        <f>SUM(L75:L78)</f>
        <v>10</v>
      </c>
      <c r="M79" s="176"/>
      <c r="N79" s="99">
        <f>SUM(N75:N78)</f>
        <v>50</v>
      </c>
      <c r="O79" s="207">
        <f>SUM(O75:O78)</f>
        <v>50</v>
      </c>
      <c r="P79" s="176"/>
      <c r="Q79" s="168"/>
      <c r="R79" s="9"/>
      <c r="S79" s="9"/>
      <c r="T79" s="9"/>
      <c r="U79" s="49"/>
      <c r="X79" s="29"/>
      <c r="Z79" s="29"/>
    </row>
    <row r="80" spans="1:30" s="1" customFormat="1" ht="13.8" thickBot="1" x14ac:dyDescent="0.3">
      <c r="A80" s="105"/>
      <c r="B80" s="106"/>
      <c r="C80" s="107"/>
      <c r="D80" s="302"/>
      <c r="E80" s="1372" t="s">
        <v>85</v>
      </c>
      <c r="F80" s="1372"/>
      <c r="G80" s="1372"/>
      <c r="H80" s="239">
        <f>H74+H69+H65+H60</f>
        <v>8460.1</v>
      </c>
      <c r="I80" s="211">
        <f>I74+I69+I65+I60</f>
        <v>8315.1</v>
      </c>
      <c r="J80" s="240">
        <f>J74+J69+J65+J60</f>
        <v>-145</v>
      </c>
      <c r="K80" s="80">
        <f>K74+K69+K65+K60+K79</f>
        <v>9909.0999999999985</v>
      </c>
      <c r="L80" s="211">
        <f>L74+L69+L65+L60+L79</f>
        <v>9678.9</v>
      </c>
      <c r="M80" s="240">
        <f>M74+M69+M65+M60</f>
        <v>-230.20000000000005</v>
      </c>
      <c r="N80" s="80">
        <f>N74+N69+N65+N60+N79</f>
        <v>2165.6999999999998</v>
      </c>
      <c r="O80" s="211">
        <f>O74+O69+O65+O60+O79</f>
        <v>2543.2999999999997</v>
      </c>
      <c r="P80" s="240">
        <f>P74+P69+P65+P60</f>
        <v>377.6</v>
      </c>
      <c r="Q80" s="222"/>
      <c r="R80" s="251"/>
      <c r="S80" s="251"/>
      <c r="T80" s="251"/>
      <c r="U80" s="193"/>
    </row>
    <row r="81" spans="1:30" s="1" customFormat="1" ht="95.25" customHeight="1" x14ac:dyDescent="0.25">
      <c r="A81" s="81" t="s">
        <v>19</v>
      </c>
      <c r="B81" s="82" t="s">
        <v>30</v>
      </c>
      <c r="C81" s="71" t="s">
        <v>30</v>
      </c>
      <c r="D81" s="1105" t="s">
        <v>86</v>
      </c>
      <c r="E81" s="268"/>
      <c r="F81" s="178">
        <v>2</v>
      </c>
      <c r="G81" s="269" t="s">
        <v>25</v>
      </c>
      <c r="H81" s="270">
        <v>28.9</v>
      </c>
      <c r="I81" s="422">
        <f>28.9-28.9</f>
        <v>0</v>
      </c>
      <c r="J81" s="423">
        <f>I81-H81</f>
        <v>-28.9</v>
      </c>
      <c r="K81" s="446">
        <v>0</v>
      </c>
      <c r="L81" s="422">
        <v>70</v>
      </c>
      <c r="M81" s="423">
        <f>L81-K81</f>
        <v>70</v>
      </c>
      <c r="N81" s="446">
        <v>0</v>
      </c>
      <c r="O81" s="422">
        <v>100</v>
      </c>
      <c r="P81" s="423">
        <f>O81-N81</f>
        <v>100</v>
      </c>
      <c r="Q81" s="43" t="s">
        <v>111</v>
      </c>
      <c r="R81" s="425">
        <v>100</v>
      </c>
      <c r="S81" s="426">
        <v>40</v>
      </c>
      <c r="T81" s="426">
        <v>100</v>
      </c>
      <c r="U81" s="1366" t="s">
        <v>138</v>
      </c>
    </row>
    <row r="82" spans="1:30" s="1" customFormat="1" ht="15.75" customHeight="1" thickBot="1" x14ac:dyDescent="0.3">
      <c r="A82" s="66"/>
      <c r="B82" s="58"/>
      <c r="C82" s="161"/>
      <c r="D82" s="1106"/>
      <c r="E82" s="162"/>
      <c r="F82" s="163"/>
      <c r="G82" s="301" t="s">
        <v>27</v>
      </c>
      <c r="H82" s="242">
        <f t="shared" ref="H82:I82" si="26">SUM(H81)</f>
        <v>28.9</v>
      </c>
      <c r="I82" s="213">
        <f t="shared" si="26"/>
        <v>0</v>
      </c>
      <c r="J82" s="331">
        <f t="shared" ref="J82:L82" si="27">SUM(J81)</f>
        <v>-28.9</v>
      </c>
      <c r="K82" s="7">
        <f t="shared" si="27"/>
        <v>0</v>
      </c>
      <c r="L82" s="213">
        <f t="shared" si="27"/>
        <v>70</v>
      </c>
      <c r="M82" s="331">
        <f t="shared" ref="M82:O82" si="28">SUM(M81)</f>
        <v>70</v>
      </c>
      <c r="N82" s="7">
        <f t="shared" si="28"/>
        <v>0</v>
      </c>
      <c r="O82" s="213">
        <f t="shared" si="28"/>
        <v>100</v>
      </c>
      <c r="P82" s="331">
        <f t="shared" ref="P82" si="29">SUM(P81)</f>
        <v>100</v>
      </c>
      <c r="Q82" s="317"/>
      <c r="R82" s="315"/>
      <c r="S82" s="315"/>
      <c r="T82" s="315"/>
      <c r="U82" s="1367"/>
      <c r="AA82" s="29"/>
    </row>
    <row r="83" spans="1:30" s="1" customFormat="1" ht="39.6" x14ac:dyDescent="0.25">
      <c r="A83" s="81" t="s">
        <v>19</v>
      </c>
      <c r="B83" s="82" t="s">
        <v>30</v>
      </c>
      <c r="C83" s="71" t="s">
        <v>55</v>
      </c>
      <c r="D83" s="110" t="s">
        <v>87</v>
      </c>
      <c r="E83" s="111"/>
      <c r="F83" s="112"/>
      <c r="G83" s="113"/>
      <c r="H83" s="384"/>
      <c r="I83" s="385"/>
      <c r="J83" s="373"/>
      <c r="K83" s="447"/>
      <c r="L83" s="385"/>
      <c r="M83" s="373"/>
      <c r="N83" s="447"/>
      <c r="O83" s="385"/>
      <c r="P83" s="373"/>
      <c r="Q83" s="225"/>
      <c r="R83" s="264"/>
      <c r="S83" s="264"/>
      <c r="T83" s="264"/>
      <c r="U83" s="115"/>
      <c r="X83" s="29"/>
    </row>
    <row r="84" spans="1:30" s="1" customFormat="1" ht="43.5" customHeight="1" x14ac:dyDescent="0.25">
      <c r="A84" s="73"/>
      <c r="B84" s="74"/>
      <c r="C84" s="316"/>
      <c r="D84" s="1102" t="s">
        <v>88</v>
      </c>
      <c r="E84" s="108"/>
      <c r="F84" s="102">
        <v>6</v>
      </c>
      <c r="G84" s="116" t="s">
        <v>25</v>
      </c>
      <c r="H84" s="241">
        <v>31.8</v>
      </c>
      <c r="I84" s="212">
        <v>31.8</v>
      </c>
      <c r="J84" s="358"/>
      <c r="K84" s="117"/>
      <c r="L84" s="212"/>
      <c r="M84" s="358"/>
      <c r="N84" s="117"/>
      <c r="O84" s="212"/>
      <c r="P84" s="358"/>
      <c r="Q84" s="188" t="s">
        <v>89</v>
      </c>
      <c r="R84" s="258">
        <v>100</v>
      </c>
      <c r="S84" s="258"/>
      <c r="T84" s="258"/>
      <c r="U84" s="76"/>
      <c r="Z84" s="29"/>
    </row>
    <row r="85" spans="1:30" s="1" customFormat="1" ht="13.8" thickBot="1" x14ac:dyDescent="0.3">
      <c r="A85" s="57"/>
      <c r="B85" s="295"/>
      <c r="C85" s="296"/>
      <c r="D85" s="1106"/>
      <c r="E85" s="297"/>
      <c r="F85" s="299"/>
      <c r="G85" s="159" t="s">
        <v>27</v>
      </c>
      <c r="H85" s="242">
        <f t="shared" ref="H85" si="30">SUM(H84:H84)</f>
        <v>31.8</v>
      </c>
      <c r="I85" s="213">
        <f t="shared" ref="I85:J85" si="31">SUM(I84:I84)</f>
        <v>31.8</v>
      </c>
      <c r="J85" s="194">
        <f t="shared" si="31"/>
        <v>0</v>
      </c>
      <c r="K85" s="7">
        <f t="shared" ref="K85" si="32">SUM(K84:K84)</f>
        <v>0</v>
      </c>
      <c r="L85" s="213">
        <f t="shared" ref="L85:M85" si="33">SUM(L84:L84)</f>
        <v>0</v>
      </c>
      <c r="M85" s="194">
        <f t="shared" si="33"/>
        <v>0</v>
      </c>
      <c r="N85" s="7">
        <f t="shared" ref="N85" si="34">SUM(N84:N84)</f>
        <v>0</v>
      </c>
      <c r="O85" s="213">
        <f t="shared" ref="O85:P85" si="35">SUM(O84:O84)</f>
        <v>0</v>
      </c>
      <c r="P85" s="194">
        <f t="shared" si="35"/>
        <v>0</v>
      </c>
      <c r="Q85" s="317"/>
      <c r="R85" s="265"/>
      <c r="S85" s="265"/>
      <c r="T85" s="265"/>
      <c r="U85" s="118"/>
      <c r="V85" s="119"/>
    </row>
    <row r="86" spans="1:30" s="1" customFormat="1" ht="15.75" customHeight="1" thickBot="1" x14ac:dyDescent="0.3">
      <c r="A86" s="11" t="s">
        <v>19</v>
      </c>
      <c r="B86" s="120" t="s">
        <v>30</v>
      </c>
      <c r="C86" s="1093" t="s">
        <v>33</v>
      </c>
      <c r="D86" s="1093"/>
      <c r="E86" s="1093"/>
      <c r="F86" s="1093"/>
      <c r="G86" s="1093"/>
      <c r="H86" s="13">
        <f t="shared" ref="H86:P86" si="36">H85+H82+H80+H54</f>
        <v>9246.3000000000011</v>
      </c>
      <c r="I86" s="386">
        <f t="shared" si="36"/>
        <v>9019.7999999999993</v>
      </c>
      <c r="J86" s="387">
        <f t="shared" si="36"/>
        <v>-226.5</v>
      </c>
      <c r="K86" s="388">
        <f t="shared" si="36"/>
        <v>9909.0999999999985</v>
      </c>
      <c r="L86" s="386">
        <f t="shared" si="36"/>
        <v>9748.9</v>
      </c>
      <c r="M86" s="387">
        <f t="shared" si="36"/>
        <v>-160.20000000000005</v>
      </c>
      <c r="N86" s="388">
        <f t="shared" si="36"/>
        <v>2165.6999999999998</v>
      </c>
      <c r="O86" s="386">
        <f t="shared" si="36"/>
        <v>2643.2999999999997</v>
      </c>
      <c r="P86" s="387">
        <f t="shared" si="36"/>
        <v>477.6</v>
      </c>
      <c r="Q86" s="1214"/>
      <c r="R86" s="1215"/>
      <c r="S86" s="1215"/>
      <c r="T86" s="1215"/>
      <c r="U86" s="1216"/>
    </row>
    <row r="87" spans="1:30" s="1" customFormat="1" ht="13.5" customHeight="1" thickBot="1" x14ac:dyDescent="0.3">
      <c r="A87" s="121" t="s">
        <v>19</v>
      </c>
      <c r="B87" s="14" t="s">
        <v>55</v>
      </c>
      <c r="C87" s="1301" t="s">
        <v>90</v>
      </c>
      <c r="D87" s="1173"/>
      <c r="E87" s="1173"/>
      <c r="F87" s="1173"/>
      <c r="G87" s="1173"/>
      <c r="H87" s="1173"/>
      <c r="I87" s="1173"/>
      <c r="J87" s="1173"/>
      <c r="K87" s="1173"/>
      <c r="L87" s="1173"/>
      <c r="M87" s="1173"/>
      <c r="N87" s="1173"/>
      <c r="O87" s="1173"/>
      <c r="P87" s="1173"/>
      <c r="Q87" s="1173"/>
      <c r="R87" s="1173"/>
      <c r="S87" s="1173"/>
      <c r="T87" s="1173"/>
      <c r="U87" s="1302"/>
      <c r="V87" s="122"/>
    </row>
    <row r="88" spans="1:30" s="1" customFormat="1" ht="21" customHeight="1" x14ac:dyDescent="0.25">
      <c r="A88" s="38" t="s">
        <v>19</v>
      </c>
      <c r="B88" s="39" t="s">
        <v>55</v>
      </c>
      <c r="C88" s="125" t="s">
        <v>19</v>
      </c>
      <c r="D88" s="1031" t="s">
        <v>91</v>
      </c>
      <c r="E88" s="281"/>
      <c r="F88" s="282" t="s">
        <v>24</v>
      </c>
      <c r="G88" s="164" t="s">
        <v>25</v>
      </c>
      <c r="H88" s="226">
        <v>970.3</v>
      </c>
      <c r="I88" s="226">
        <v>970.3</v>
      </c>
      <c r="J88" s="227">
        <f>I88-H88</f>
        <v>0</v>
      </c>
      <c r="K88" s="6">
        <v>620.29999999999995</v>
      </c>
      <c r="L88" s="196">
        <v>620.29999999999995</v>
      </c>
      <c r="M88" s="227">
        <f>L88-K88</f>
        <v>0</v>
      </c>
      <c r="N88" s="6">
        <v>620.29999999999995</v>
      </c>
      <c r="O88" s="196">
        <v>620.29999999999995</v>
      </c>
      <c r="P88" s="227">
        <f>O88-N88</f>
        <v>0</v>
      </c>
      <c r="Q88" s="1346" t="s">
        <v>92</v>
      </c>
      <c r="R88" s="1288">
        <v>6</v>
      </c>
      <c r="S88" s="306">
        <v>6</v>
      </c>
      <c r="T88" s="306">
        <v>6</v>
      </c>
      <c r="U88" s="1311"/>
      <c r="V88" s="1171"/>
      <c r="Y88" s="29"/>
    </row>
    <row r="89" spans="1:30" s="1" customFormat="1" ht="21" customHeight="1" thickBot="1" x14ac:dyDescent="0.3">
      <c r="A89" s="50"/>
      <c r="B89" s="51"/>
      <c r="C89" s="125"/>
      <c r="D89" s="1031"/>
      <c r="E89" s="281"/>
      <c r="F89" s="282"/>
      <c r="G89" s="98" t="s">
        <v>27</v>
      </c>
      <c r="H89" s="7">
        <f t="shared" ref="H89:J89" si="37">H88</f>
        <v>970.3</v>
      </c>
      <c r="I89" s="213">
        <f t="shared" si="37"/>
        <v>970.3</v>
      </c>
      <c r="J89" s="126">
        <f t="shared" si="37"/>
        <v>0</v>
      </c>
      <c r="K89" s="7">
        <f>K88</f>
        <v>620.29999999999995</v>
      </c>
      <c r="L89" s="213">
        <f>L88</f>
        <v>620.29999999999995</v>
      </c>
      <c r="M89" s="126">
        <f t="shared" ref="M89" si="38">M88</f>
        <v>0</v>
      </c>
      <c r="N89" s="7">
        <f>N88</f>
        <v>620.29999999999995</v>
      </c>
      <c r="O89" s="213">
        <f>O88</f>
        <v>620.29999999999995</v>
      </c>
      <c r="P89" s="126">
        <f t="shared" ref="P89" si="39">P88</f>
        <v>0</v>
      </c>
      <c r="Q89" s="1025"/>
      <c r="R89" s="1289"/>
      <c r="S89" s="307"/>
      <c r="T89" s="307"/>
      <c r="U89" s="1345"/>
      <c r="V89" s="1171"/>
    </row>
    <row r="90" spans="1:30" s="1" customFormat="1" ht="42" customHeight="1" x14ac:dyDescent="0.25">
      <c r="A90" s="38" t="s">
        <v>19</v>
      </c>
      <c r="B90" s="1081" t="s">
        <v>55</v>
      </c>
      <c r="C90" s="1308" t="s">
        <v>28</v>
      </c>
      <c r="D90" s="1177" t="s">
        <v>93</v>
      </c>
      <c r="E90" s="1234"/>
      <c r="F90" s="1236" t="s">
        <v>24</v>
      </c>
      <c r="G90" s="127" t="s">
        <v>25</v>
      </c>
      <c r="H90" s="128">
        <v>14.5</v>
      </c>
      <c r="I90" s="203">
        <v>14.5</v>
      </c>
      <c r="J90" s="214"/>
      <c r="K90" s="123">
        <v>20</v>
      </c>
      <c r="L90" s="203">
        <v>20</v>
      </c>
      <c r="M90" s="214"/>
      <c r="N90" s="123">
        <v>20</v>
      </c>
      <c r="O90" s="203">
        <v>20</v>
      </c>
      <c r="P90" s="214"/>
      <c r="Q90" s="1100" t="s">
        <v>94</v>
      </c>
      <c r="R90" s="1337">
        <v>14</v>
      </c>
      <c r="S90" s="320">
        <v>14</v>
      </c>
      <c r="T90" s="320">
        <v>14</v>
      </c>
      <c r="U90" s="1341"/>
      <c r="V90" s="129"/>
      <c r="W90" s="119"/>
      <c r="AD90" s="29"/>
    </row>
    <row r="91" spans="1:30" s="1" customFormat="1" ht="13.8" thickBot="1" x14ac:dyDescent="0.3">
      <c r="A91" s="57"/>
      <c r="B91" s="1083"/>
      <c r="C91" s="1309"/>
      <c r="D91" s="1178"/>
      <c r="E91" s="1235"/>
      <c r="F91" s="1237"/>
      <c r="G91" s="130" t="s">
        <v>27</v>
      </c>
      <c r="H91" s="131">
        <f>SUM(H90)</f>
        <v>14.5</v>
      </c>
      <c r="I91" s="197">
        <f t="shared" ref="I91:J91" si="40">SUM(I90:I90)</f>
        <v>14.5</v>
      </c>
      <c r="J91" s="194">
        <f t="shared" si="40"/>
        <v>0</v>
      </c>
      <c r="K91" s="131">
        <f>SUM(K90)</f>
        <v>20</v>
      </c>
      <c r="L91" s="197">
        <f t="shared" ref="L91:M91" si="41">SUM(L90:L90)</f>
        <v>20</v>
      </c>
      <c r="M91" s="194">
        <f t="shared" si="41"/>
        <v>0</v>
      </c>
      <c r="N91" s="131">
        <f>SUM(N90)</f>
        <v>20</v>
      </c>
      <c r="O91" s="197">
        <f t="shared" ref="O91:P91" si="42">SUM(O90:O90)</f>
        <v>20</v>
      </c>
      <c r="P91" s="194">
        <f t="shared" si="42"/>
        <v>0</v>
      </c>
      <c r="Q91" s="1028"/>
      <c r="R91" s="1338"/>
      <c r="S91" s="315"/>
      <c r="T91" s="315"/>
      <c r="U91" s="1342"/>
      <c r="V91" s="174"/>
      <c r="W91" s="119"/>
    </row>
    <row r="92" spans="1:30" s="1" customFormat="1" ht="15.75" customHeight="1" thickBot="1" x14ac:dyDescent="0.3">
      <c r="A92" s="11" t="s">
        <v>19</v>
      </c>
      <c r="B92" s="120" t="s">
        <v>55</v>
      </c>
      <c r="C92" s="1093" t="s">
        <v>33</v>
      </c>
      <c r="D92" s="1093"/>
      <c r="E92" s="1093"/>
      <c r="F92" s="1093"/>
      <c r="G92" s="1093"/>
      <c r="H92" s="388">
        <f t="shared" ref="H92:J92" si="43">H91+H89</f>
        <v>984.8</v>
      </c>
      <c r="I92" s="386">
        <f t="shared" si="43"/>
        <v>984.8</v>
      </c>
      <c r="J92" s="389">
        <f t="shared" si="43"/>
        <v>0</v>
      </c>
      <c r="K92" s="388">
        <f t="shared" ref="K92:M92" si="44">K91+K89</f>
        <v>640.29999999999995</v>
      </c>
      <c r="L92" s="386">
        <f t="shared" si="44"/>
        <v>640.29999999999995</v>
      </c>
      <c r="M92" s="389">
        <f t="shared" si="44"/>
        <v>0</v>
      </c>
      <c r="N92" s="388">
        <f t="shared" ref="N92:P92" si="45">N91+N89</f>
        <v>640.29999999999995</v>
      </c>
      <c r="O92" s="386">
        <f t="shared" si="45"/>
        <v>640.29999999999995</v>
      </c>
      <c r="P92" s="389">
        <f t="shared" si="45"/>
        <v>0</v>
      </c>
      <c r="Q92" s="1214"/>
      <c r="R92" s="1215"/>
      <c r="S92" s="1215"/>
      <c r="T92" s="1215"/>
      <c r="U92" s="1216"/>
    </row>
    <row r="93" spans="1:30" s="1" customFormat="1" ht="15.75" customHeight="1" thickBot="1" x14ac:dyDescent="0.3">
      <c r="A93" s="11" t="s">
        <v>19</v>
      </c>
      <c r="B93" s="1343" t="s">
        <v>95</v>
      </c>
      <c r="C93" s="1344"/>
      <c r="D93" s="1344"/>
      <c r="E93" s="1344"/>
      <c r="F93" s="1344"/>
      <c r="G93" s="1344"/>
      <c r="H93" s="390">
        <f t="shared" ref="H93:P93" si="46">H86+H44+H19+H92</f>
        <v>14927.3</v>
      </c>
      <c r="I93" s="391">
        <f t="shared" si="46"/>
        <v>14857.899999999998</v>
      </c>
      <c r="J93" s="392">
        <f t="shared" si="46"/>
        <v>-69.399999999999721</v>
      </c>
      <c r="K93" s="390">
        <f t="shared" si="46"/>
        <v>15325.999999999996</v>
      </c>
      <c r="L93" s="391">
        <f t="shared" si="46"/>
        <v>15165.8</v>
      </c>
      <c r="M93" s="392">
        <f t="shared" si="46"/>
        <v>-160.20000000000005</v>
      </c>
      <c r="N93" s="390">
        <f t="shared" si="46"/>
        <v>7564</v>
      </c>
      <c r="O93" s="391">
        <f t="shared" si="46"/>
        <v>8041.5999999999995</v>
      </c>
      <c r="P93" s="392">
        <f t="shared" si="46"/>
        <v>477.6</v>
      </c>
      <c r="Q93" s="1331"/>
      <c r="R93" s="1332"/>
      <c r="S93" s="1332"/>
      <c r="T93" s="1332"/>
      <c r="U93" s="1333"/>
    </row>
    <row r="94" spans="1:30" s="1" customFormat="1" ht="15.75" customHeight="1" thickBot="1" x14ac:dyDescent="0.3">
      <c r="A94" s="132" t="s">
        <v>96</v>
      </c>
      <c r="B94" s="1339" t="s">
        <v>97</v>
      </c>
      <c r="C94" s="1340"/>
      <c r="D94" s="1340"/>
      <c r="E94" s="1340"/>
      <c r="F94" s="1340"/>
      <c r="G94" s="1340"/>
      <c r="H94" s="393">
        <f t="shared" ref="H94:I94" si="47">H93</f>
        <v>14927.3</v>
      </c>
      <c r="I94" s="394">
        <f t="shared" si="47"/>
        <v>14857.899999999998</v>
      </c>
      <c r="J94" s="395">
        <f>J93</f>
        <v>-69.399999999999721</v>
      </c>
      <c r="K94" s="393">
        <f t="shared" ref="K94:L94" si="48">K93</f>
        <v>15325.999999999996</v>
      </c>
      <c r="L94" s="394">
        <f t="shared" si="48"/>
        <v>15165.8</v>
      </c>
      <c r="M94" s="395">
        <f>M93</f>
        <v>-160.20000000000005</v>
      </c>
      <c r="N94" s="393">
        <f t="shared" ref="N94:O94" si="49">N93</f>
        <v>7564</v>
      </c>
      <c r="O94" s="394">
        <f t="shared" si="49"/>
        <v>8041.5999999999995</v>
      </c>
      <c r="P94" s="395">
        <f>P93</f>
        <v>477.6</v>
      </c>
      <c r="Q94" s="1334"/>
      <c r="R94" s="1335"/>
      <c r="S94" s="1335"/>
      <c r="T94" s="1335"/>
      <c r="U94" s="1336"/>
    </row>
    <row r="95" spans="1:30" s="1" customFormat="1" ht="27" customHeight="1" thickBot="1" x14ac:dyDescent="0.3">
      <c r="A95" s="133"/>
      <c r="B95" s="1266" t="s">
        <v>98</v>
      </c>
      <c r="C95" s="1266"/>
      <c r="D95" s="1266"/>
      <c r="E95" s="1266"/>
      <c r="F95" s="1266"/>
      <c r="G95" s="1266"/>
      <c r="H95" s="1266"/>
      <c r="I95" s="1266"/>
      <c r="J95" s="1266"/>
      <c r="K95" s="1266"/>
      <c r="L95" s="1266"/>
      <c r="M95" s="1266"/>
      <c r="N95" s="1266"/>
      <c r="O95" s="1266"/>
      <c r="P95" s="1266"/>
      <c r="Q95" s="135"/>
      <c r="R95" s="136"/>
      <c r="S95" s="136"/>
      <c r="T95" s="136"/>
      <c r="U95" s="136"/>
    </row>
    <row r="96" spans="1:30" s="1" customFormat="1" ht="54.75" customHeight="1" x14ac:dyDescent="0.25">
      <c r="A96" s="134"/>
      <c r="B96" s="1208" t="s">
        <v>99</v>
      </c>
      <c r="C96" s="1209"/>
      <c r="D96" s="1209"/>
      <c r="E96" s="1209"/>
      <c r="F96" s="1209"/>
      <c r="G96" s="1210"/>
      <c r="H96" s="459" t="s">
        <v>100</v>
      </c>
      <c r="I96" s="460" t="s">
        <v>115</v>
      </c>
      <c r="J96" s="461" t="s">
        <v>112</v>
      </c>
      <c r="K96" s="459" t="s">
        <v>100</v>
      </c>
      <c r="L96" s="460" t="s">
        <v>115</v>
      </c>
      <c r="M96" s="461" t="s">
        <v>112</v>
      </c>
      <c r="N96" s="459" t="s">
        <v>100</v>
      </c>
      <c r="O96" s="460" t="s">
        <v>115</v>
      </c>
      <c r="P96" s="461" t="s">
        <v>112</v>
      </c>
      <c r="Q96" s="137"/>
      <c r="R96" s="293"/>
      <c r="S96" s="293"/>
      <c r="T96" s="293"/>
      <c r="U96" s="293"/>
    </row>
    <row r="97" spans="1:21" s="1" customFormat="1" ht="13.2" x14ac:dyDescent="0.25">
      <c r="A97" s="134"/>
      <c r="B97" s="1328" t="s">
        <v>101</v>
      </c>
      <c r="C97" s="1329"/>
      <c r="D97" s="1329"/>
      <c r="E97" s="1329"/>
      <c r="F97" s="1329"/>
      <c r="G97" s="1330"/>
      <c r="H97" s="396">
        <f t="shared" ref="H97:J97" ca="1" si="50">SUM(H98:H102)</f>
        <v>7653.2000000000007</v>
      </c>
      <c r="I97" s="397">
        <f t="shared" ca="1" si="50"/>
        <v>7558.8000000000011</v>
      </c>
      <c r="J97" s="398">
        <f t="shared" ca="1" si="50"/>
        <v>-94.39999999999975</v>
      </c>
      <c r="K97" s="396">
        <f>SUM(K98:K102)</f>
        <v>12595.599999999999</v>
      </c>
      <c r="L97" s="397">
        <f t="shared" ref="L97:M97" ca="1" si="51">SUM(L98:L102)</f>
        <v>13115.399999999998</v>
      </c>
      <c r="M97" s="398">
        <f t="shared" si="51"/>
        <v>519.79999999999995</v>
      </c>
      <c r="N97" s="396">
        <f>SUM(N98:N102)</f>
        <v>5519.6</v>
      </c>
      <c r="O97" s="397">
        <f ca="1">SUM(O98:O102)</f>
        <v>5997.2000000000007</v>
      </c>
      <c r="P97" s="398">
        <f t="shared" ref="P97" si="52">SUM(P98:P102)</f>
        <v>477.6</v>
      </c>
      <c r="Q97" s="138"/>
      <c r="R97" s="292"/>
      <c r="S97" s="292"/>
      <c r="T97" s="292"/>
      <c r="U97" s="292"/>
    </row>
    <row r="98" spans="1:21" s="1" customFormat="1" ht="13.2" x14ac:dyDescent="0.25">
      <c r="A98" s="134"/>
      <c r="B98" s="1203" t="s">
        <v>125</v>
      </c>
      <c r="C98" s="1204"/>
      <c r="D98" s="1204"/>
      <c r="E98" s="1204"/>
      <c r="F98" s="1204"/>
      <c r="G98" s="1320"/>
      <c r="H98" s="399">
        <f ca="1">SUMIF(G13:G90,"sb",H13:H86)</f>
        <v>7044.5000000000009</v>
      </c>
      <c r="I98" s="400">
        <f ca="1">SUMIF(G13:G90,"sb",I13:I86)</f>
        <v>7065.2000000000016</v>
      </c>
      <c r="J98" s="401">
        <f ca="1">SUMIF(G13:G90,"sb",J13:J85)</f>
        <v>20.70000000000028</v>
      </c>
      <c r="K98" s="399">
        <f>SUMIF(G13:G90,"sb",K13:K90)</f>
        <v>9521.1999999999989</v>
      </c>
      <c r="L98" s="400">
        <f ca="1">SUMIF(G13:G90,"sb",L13:L86)</f>
        <v>9692.9999999999982</v>
      </c>
      <c r="M98" s="401">
        <f>SUMIF(G13:G90,"sb",M13:M90)</f>
        <v>171.8</v>
      </c>
      <c r="N98" s="399">
        <f>SUMIF(G13:G90,"sb",N13:N90)</f>
        <v>5255.1</v>
      </c>
      <c r="O98" s="400">
        <f ca="1">SUMIF(G13:G90,"sb",O13:O86)</f>
        <v>5432.7000000000007</v>
      </c>
      <c r="P98" s="401">
        <f>SUMIF(G13:G90,"sb",P13:P90)</f>
        <v>177.6</v>
      </c>
      <c r="Q98" s="139"/>
      <c r="R98" s="290"/>
      <c r="S98" s="290"/>
      <c r="T98" s="290"/>
      <c r="U98" s="290"/>
    </row>
    <row r="99" spans="1:21" s="1" customFormat="1" ht="13.2" x14ac:dyDescent="0.25">
      <c r="A99" s="134"/>
      <c r="B99" s="1195" t="s">
        <v>126</v>
      </c>
      <c r="C99" s="1196"/>
      <c r="D99" s="1196"/>
      <c r="E99" s="1196"/>
      <c r="F99" s="1196"/>
      <c r="G99" s="1322"/>
      <c r="H99" s="140">
        <f ca="1">SUMIF(G13:G91,"sb(sp)",H13:H86)</f>
        <v>279</v>
      </c>
      <c r="I99" s="402">
        <f>SUMIF(G13:G85,"sb(sp)",I13:I85)</f>
        <v>279</v>
      </c>
      <c r="J99" s="403">
        <f>SUMIF(G13:G86,"sb(sp)",J13:J86)</f>
        <v>0</v>
      </c>
      <c r="K99" s="140">
        <f>SUMIF(G13:G90,"sb(sp)",K13:K90)</f>
        <v>264.5</v>
      </c>
      <c r="L99" s="402">
        <f>SUMIF(G13:G85,"sb(sp)",L13:L85)</f>
        <v>264.5</v>
      </c>
      <c r="M99" s="403">
        <f>SUMIF(J13:J86,"sb(sp)",M13:M86)</f>
        <v>0</v>
      </c>
      <c r="N99" s="140">
        <f>SUMIF(G13:G91,"sb(sp)",N13:N91)</f>
        <v>264.5</v>
      </c>
      <c r="O99" s="402">
        <f>SUMIF(G13:G85,"sb(sp)",O13:O85)</f>
        <v>264.5</v>
      </c>
      <c r="P99" s="403">
        <f>SUMIF(M13:M86,"sb(sp)",P13:P86)</f>
        <v>0</v>
      </c>
      <c r="Q99" s="139"/>
      <c r="R99" s="290"/>
      <c r="S99" s="290"/>
      <c r="T99" s="290"/>
      <c r="U99" s="290"/>
    </row>
    <row r="100" spans="1:21" s="1" customFormat="1" ht="13.2" x14ac:dyDescent="0.25">
      <c r="A100" s="134"/>
      <c r="B100" s="1195" t="s">
        <v>120</v>
      </c>
      <c r="C100" s="1196"/>
      <c r="D100" s="1196"/>
      <c r="E100" s="1196"/>
      <c r="F100" s="1196"/>
      <c r="G100" s="1322"/>
      <c r="H100" s="140">
        <f>SUMIF(G13:G90,"sb(spl)",H13:H90)</f>
        <v>68.900000000000006</v>
      </c>
      <c r="I100" s="402">
        <f>SUMIF(G13:G90,"sb(spl)",I13:I90)</f>
        <v>68.900000000000006</v>
      </c>
      <c r="J100" s="403">
        <f>SUMIF(G13:G90,"sb(spl)",J13:J90)</f>
        <v>0</v>
      </c>
      <c r="K100" s="140">
        <f>SUMIF(G13:G90,"sb(spl)",K13:K90)</f>
        <v>0</v>
      </c>
      <c r="L100" s="402">
        <f>SUMIF(G13:G90,"sb(spl)",L13:L90)</f>
        <v>0</v>
      </c>
      <c r="M100" s="403">
        <f>SUMIF(J13:J90,"sb(spl)",M13:M90)</f>
        <v>0</v>
      </c>
      <c r="N100" s="140">
        <f>SUMIF(G13:G90,"sb(spl)",N13:N90)</f>
        <v>0</v>
      </c>
      <c r="O100" s="402">
        <f>SUMIF(G13:G90,"sb(spl)",O13:O90)</f>
        <v>0</v>
      </c>
      <c r="P100" s="403">
        <f>SUMIF(M13:M90,"sb(spl)",P13:P90)</f>
        <v>0</v>
      </c>
      <c r="Q100" s="139"/>
      <c r="R100" s="290"/>
      <c r="S100" s="290"/>
      <c r="T100" s="290"/>
      <c r="U100" s="290"/>
    </row>
    <row r="101" spans="1:21" s="1" customFormat="1" ht="13.2" x14ac:dyDescent="0.25">
      <c r="A101" s="134"/>
      <c r="B101" s="1323" t="s">
        <v>127</v>
      </c>
      <c r="C101" s="1267"/>
      <c r="D101" s="1267"/>
      <c r="E101" s="1267"/>
      <c r="F101" s="1267"/>
      <c r="G101" s="1324"/>
      <c r="H101" s="140">
        <f ca="1">SUMIF(G13:G90,"sb(p)",H13:H86)</f>
        <v>0</v>
      </c>
      <c r="I101" s="402">
        <f>SUMIF(G13:G85,"sb(p)",I13:I85)</f>
        <v>0</v>
      </c>
      <c r="J101" s="403">
        <f>SUMIF(G13:G86,"sb(p)",J13:J86)</f>
        <v>0</v>
      </c>
      <c r="K101" s="140">
        <f>SUMIF(G13:G90,"sb(p)",K13:K90)</f>
        <v>2354.6</v>
      </c>
      <c r="L101" s="402">
        <f>SUMIF(G13:G85,"sb(p)",L13:L85)</f>
        <v>2354.6</v>
      </c>
      <c r="M101" s="403">
        <f>SUMIF(J13:J86,"sb(p)",M13:M86)</f>
        <v>0</v>
      </c>
      <c r="N101" s="140">
        <f>SUMIF(G13:G90,"sb(p)",N13:N90)</f>
        <v>0</v>
      </c>
      <c r="O101" s="402">
        <f>SUMIF(G13:G85,"sb(p)",O13:O85)</f>
        <v>0</v>
      </c>
      <c r="P101" s="403">
        <f>SUMIF(M13:M86,"sb(p)",P13:P86)</f>
        <v>0</v>
      </c>
      <c r="Q101" s="139"/>
      <c r="R101" s="290"/>
      <c r="S101" s="290"/>
      <c r="T101" s="290"/>
      <c r="U101" s="290"/>
    </row>
    <row r="102" spans="1:21" s="1" customFormat="1" ht="15.75" customHeight="1" x14ac:dyDescent="0.25">
      <c r="A102" s="134"/>
      <c r="B102" s="1195" t="s">
        <v>102</v>
      </c>
      <c r="C102" s="1196"/>
      <c r="D102" s="1196"/>
      <c r="E102" s="1196"/>
      <c r="F102" s="1196"/>
      <c r="G102" s="1322"/>
      <c r="H102" s="140">
        <f>SUMIF(G13:G90,"sb(vb)",H13:H90)</f>
        <v>260.8</v>
      </c>
      <c r="I102" s="402">
        <f>SUMIF(G13:G90,"SB(VB)",I13:I90)</f>
        <v>145.69999999999999</v>
      </c>
      <c r="J102" s="403">
        <f>I102-H102</f>
        <v>-115.10000000000002</v>
      </c>
      <c r="K102" s="140">
        <f>SUMIF(G13:G90,"sb(vb)",K13:K90)</f>
        <v>455.3</v>
      </c>
      <c r="L102" s="402">
        <f>SUMIF(G13:G90,"SB(VB)",L13:L90)</f>
        <v>803.3</v>
      </c>
      <c r="M102" s="403">
        <f>L102-K102</f>
        <v>347.99999999999994</v>
      </c>
      <c r="N102" s="140">
        <f>SUMIF(G13:G90,"sb(vb)",N13:N90)</f>
        <v>0</v>
      </c>
      <c r="O102" s="402">
        <f>SUMIF(G13:G90,"SB(VB)",O13:O90)</f>
        <v>300</v>
      </c>
      <c r="P102" s="403">
        <f>O102-N102</f>
        <v>300</v>
      </c>
      <c r="Q102" s="139"/>
      <c r="R102" s="290"/>
      <c r="S102" s="290"/>
      <c r="T102" s="290"/>
      <c r="U102" s="290"/>
    </row>
    <row r="103" spans="1:21" s="1" customFormat="1" ht="13.2" x14ac:dyDescent="0.25">
      <c r="A103" s="134"/>
      <c r="B103" s="1325" t="s">
        <v>103</v>
      </c>
      <c r="C103" s="1326"/>
      <c r="D103" s="1326"/>
      <c r="E103" s="1326"/>
      <c r="F103" s="1326"/>
      <c r="G103" s="1327"/>
      <c r="H103" s="404">
        <f t="shared" ref="H103:J103" si="53">SUM(H104:H106)</f>
        <v>7274.1</v>
      </c>
      <c r="I103" s="405">
        <f t="shared" si="53"/>
        <v>7299.1</v>
      </c>
      <c r="J103" s="406">
        <f t="shared" si="53"/>
        <v>25</v>
      </c>
      <c r="K103" s="404">
        <f>SUM(K104:K106)</f>
        <v>2730.4</v>
      </c>
      <c r="L103" s="405">
        <f t="shared" ref="L103:M103" si="54">SUM(L104:L106)</f>
        <v>2050.4</v>
      </c>
      <c r="M103" s="406">
        <f t="shared" si="54"/>
        <v>-680</v>
      </c>
      <c r="N103" s="404">
        <f t="shared" ref="N103:P103" si="55">SUM(N104:N106)</f>
        <v>2044.4</v>
      </c>
      <c r="O103" s="405">
        <f t="shared" si="55"/>
        <v>2044.4</v>
      </c>
      <c r="P103" s="406">
        <f t="shared" si="55"/>
        <v>0</v>
      </c>
      <c r="Q103" s="138"/>
      <c r="R103" s="292"/>
      <c r="S103" s="292"/>
      <c r="T103" s="292"/>
      <c r="U103" s="292"/>
    </row>
    <row r="104" spans="1:21" s="1" customFormat="1" ht="13.2" x14ac:dyDescent="0.25">
      <c r="A104" s="134"/>
      <c r="B104" s="1317" t="s">
        <v>128</v>
      </c>
      <c r="C104" s="1318"/>
      <c r="D104" s="1318"/>
      <c r="E104" s="1318"/>
      <c r="F104" s="1318"/>
      <c r="G104" s="1319"/>
      <c r="H104" s="407">
        <f>SUMIF(G13:G86,"es",H13:H86)</f>
        <v>7233.6</v>
      </c>
      <c r="I104" s="408">
        <f>SUMIF(G13:G86,"es",I13:I86)</f>
        <v>7233.6</v>
      </c>
      <c r="J104" s="409">
        <f>SUMIF(G13:G86,"es",J13:J86)</f>
        <v>0</v>
      </c>
      <c r="K104" s="407">
        <f>SUMIF(G13:G90,"es",K13:K90)</f>
        <v>2632.6</v>
      </c>
      <c r="L104" s="408">
        <f>SUMIF(G13:G86,"es",L13:L86)</f>
        <v>1952.6</v>
      </c>
      <c r="M104" s="409">
        <f>SUMIF(G13:G90,"es",M13:M90)</f>
        <v>-680</v>
      </c>
      <c r="N104" s="407">
        <f>SUMIF(G13:G86,"es",N13:N86)</f>
        <v>1864.4</v>
      </c>
      <c r="O104" s="408">
        <f>SUMIF(G13:G86,"es",O13:O86)</f>
        <v>1864.4</v>
      </c>
      <c r="P104" s="409">
        <f>SUMIF(M13:M86,"es",P13:P86)</f>
        <v>0</v>
      </c>
      <c r="Q104" s="139"/>
      <c r="R104" s="290"/>
      <c r="S104" s="280"/>
      <c r="T104" s="290"/>
      <c r="U104" s="290"/>
    </row>
    <row r="105" spans="1:21" s="1" customFormat="1" ht="13.2" x14ac:dyDescent="0.25">
      <c r="A105" s="134"/>
      <c r="B105" s="1203" t="s">
        <v>104</v>
      </c>
      <c r="C105" s="1204"/>
      <c r="D105" s="1204"/>
      <c r="E105" s="1204"/>
      <c r="F105" s="1204"/>
      <c r="G105" s="1320"/>
      <c r="H105" s="407">
        <f>SUMIF(G13:G85,"lrvb",H13:H85)</f>
        <v>15.5</v>
      </c>
      <c r="I105" s="408">
        <f>SUMIF(G13:G85,"lrvb",I13:I85)</f>
        <v>15.5</v>
      </c>
      <c r="J105" s="409">
        <f>SUMIF(G13:G85,"lrvb",J13:J85)</f>
        <v>0</v>
      </c>
      <c r="K105" s="407">
        <f>SUMIF(G13:G85,"lrvb",K13:K85)</f>
        <v>97.8</v>
      </c>
      <c r="L105" s="408">
        <f>SUMIF(G13:G85,"lrvb",L13:L85)</f>
        <v>97.8</v>
      </c>
      <c r="M105" s="409">
        <f>SUMIF(J13:J85,"lrvb",M13:M85)</f>
        <v>0</v>
      </c>
      <c r="N105" s="407">
        <f>SUMIF(G13:G85,"lrvb",N13:N85)</f>
        <v>180</v>
      </c>
      <c r="O105" s="408">
        <f>SUMIF(G13:G85,"lrvb",O13:O85)</f>
        <v>180</v>
      </c>
      <c r="P105" s="409">
        <f>SUMIF(M13:M85,"lrvb",P13:P85)</f>
        <v>0</v>
      </c>
      <c r="Q105" s="139"/>
      <c r="R105" s="290"/>
      <c r="S105" s="290"/>
      <c r="T105" s="290"/>
      <c r="U105" s="290"/>
    </row>
    <row r="106" spans="1:21" s="1" customFormat="1" ht="13.2" x14ac:dyDescent="0.25">
      <c r="A106" s="134"/>
      <c r="B106" s="1317" t="s">
        <v>105</v>
      </c>
      <c r="C106" s="1318"/>
      <c r="D106" s="1318"/>
      <c r="E106" s="1318"/>
      <c r="F106" s="1318"/>
      <c r="G106" s="1319"/>
      <c r="H106" s="407">
        <f>SUMIF(G13:G86,"kt",H13:H86)</f>
        <v>25</v>
      </c>
      <c r="I106" s="408">
        <f>SUMIF(G13:G86,"kt",I13:I86)</f>
        <v>50</v>
      </c>
      <c r="J106" s="409">
        <f>SUMIF(G13:G86,"kt",J13:J86)</f>
        <v>25</v>
      </c>
      <c r="K106" s="407">
        <f>SUMIF(G13:G86,"kt",K13:K86)</f>
        <v>0</v>
      </c>
      <c r="L106" s="408">
        <f>SUMIF(G13:G86,"kt",L13:L86)</f>
        <v>0</v>
      </c>
      <c r="M106" s="409">
        <f>SUMIF(J13:J86,"kt",M13:M86)</f>
        <v>0</v>
      </c>
      <c r="N106" s="407">
        <f>SUMIF(G13:G86,"kt",N13:N86)</f>
        <v>0</v>
      </c>
      <c r="O106" s="408">
        <f>SUMIF(G13:G86,"kt",O13:O86)</f>
        <v>0</v>
      </c>
      <c r="P106" s="409">
        <f>SUMIF(M13:M86,"kt",P13:P86)</f>
        <v>0</v>
      </c>
      <c r="Q106" s="139"/>
      <c r="R106" s="290"/>
      <c r="S106" s="290"/>
      <c r="T106" s="290"/>
      <c r="U106" s="290"/>
    </row>
    <row r="107" spans="1:21" s="1" customFormat="1" ht="13.8" thickBot="1" x14ac:dyDescent="0.3">
      <c r="A107" s="141"/>
      <c r="B107" s="1225" t="s">
        <v>27</v>
      </c>
      <c r="C107" s="1226"/>
      <c r="D107" s="1226"/>
      <c r="E107" s="1226"/>
      <c r="F107" s="1226"/>
      <c r="G107" s="1321"/>
      <c r="H107" s="7">
        <f t="shared" ref="H107:J107" ca="1" si="56">H103+H97</f>
        <v>14927.300000000001</v>
      </c>
      <c r="I107" s="213">
        <f t="shared" ca="1" si="56"/>
        <v>14857.900000000001</v>
      </c>
      <c r="J107" s="331">
        <f t="shared" ca="1" si="56"/>
        <v>-69.39999999999975</v>
      </c>
      <c r="K107" s="7">
        <f t="shared" ref="K107:M107" si="57">K103+K97</f>
        <v>15325.999999999998</v>
      </c>
      <c r="L107" s="213">
        <f t="shared" ca="1" si="57"/>
        <v>15165.799999999997</v>
      </c>
      <c r="M107" s="331">
        <f t="shared" si="57"/>
        <v>-160.20000000000005</v>
      </c>
      <c r="N107" s="7">
        <f t="shared" ref="N107:P107" si="58">N103+N97</f>
        <v>7564</v>
      </c>
      <c r="O107" s="213">
        <f t="shared" ca="1" si="58"/>
        <v>8041.6</v>
      </c>
      <c r="P107" s="331">
        <f t="shared" si="58"/>
        <v>477.6</v>
      </c>
      <c r="Q107" s="142"/>
      <c r="R107" s="291"/>
      <c r="S107" s="291"/>
      <c r="T107" s="291"/>
      <c r="U107" s="291"/>
    </row>
    <row r="108" spans="1:21" x14ac:dyDescent="0.3">
      <c r="I108" s="175"/>
      <c r="L108" s="175"/>
      <c r="O108" s="175"/>
    </row>
    <row r="109" spans="1:21" x14ac:dyDescent="0.3">
      <c r="G109" s="230"/>
      <c r="H109" s="192"/>
      <c r="I109" s="192"/>
      <c r="J109" s="230"/>
      <c r="K109" s="230"/>
      <c r="L109" s="191"/>
      <c r="O109" s="191"/>
    </row>
    <row r="110" spans="1:21" x14ac:dyDescent="0.3">
      <c r="G110" s="230"/>
      <c r="H110" s="230"/>
      <c r="I110" s="192"/>
      <c r="J110" s="230"/>
      <c r="K110" s="230"/>
      <c r="L110" s="191"/>
      <c r="O110" s="191"/>
    </row>
    <row r="111" spans="1:21" x14ac:dyDescent="0.3">
      <c r="G111" s="230"/>
      <c r="H111" s="192"/>
      <c r="I111" s="192"/>
      <c r="J111" s="192"/>
      <c r="K111" s="230"/>
      <c r="L111" s="191"/>
      <c r="M111" s="175"/>
      <c r="O111" s="191"/>
      <c r="P111" s="175"/>
    </row>
    <row r="112" spans="1:21" x14ac:dyDescent="0.3">
      <c r="G112" s="230"/>
      <c r="H112" s="230"/>
      <c r="I112" s="192"/>
      <c r="J112" s="230"/>
      <c r="K112" s="230"/>
    </row>
    <row r="113" spans="7:11" x14ac:dyDescent="0.3">
      <c r="G113" s="230"/>
      <c r="H113" s="230"/>
      <c r="I113" s="230"/>
      <c r="J113" s="230"/>
      <c r="K113" s="230"/>
    </row>
  </sheetData>
  <mergeCells count="137">
    <mergeCell ref="Q68:Q69"/>
    <mergeCell ref="S68:S69"/>
    <mergeCell ref="Q66:Q67"/>
    <mergeCell ref="D66:D67"/>
    <mergeCell ref="U81:U82"/>
    <mergeCell ref="Q5:U5"/>
    <mergeCell ref="A2:U2"/>
    <mergeCell ref="A3:U3"/>
    <mergeCell ref="A4:U4"/>
    <mergeCell ref="A15:A16"/>
    <mergeCell ref="B15:B16"/>
    <mergeCell ref="E80:G80"/>
    <mergeCell ref="A13:A14"/>
    <mergeCell ref="Q56:Q58"/>
    <mergeCell ref="E57:E60"/>
    <mergeCell ref="A9:U9"/>
    <mergeCell ref="A6:A8"/>
    <mergeCell ref="D6:D8"/>
    <mergeCell ref="E6:E8"/>
    <mergeCell ref="F6:F8"/>
    <mergeCell ref="D47:D48"/>
    <mergeCell ref="U47:U50"/>
    <mergeCell ref="U28:U30"/>
    <mergeCell ref="U31:U32"/>
    <mergeCell ref="Q1:U1"/>
    <mergeCell ref="Q19:U19"/>
    <mergeCell ref="C20:U20"/>
    <mergeCell ref="Q44:U44"/>
    <mergeCell ref="D38:D39"/>
    <mergeCell ref="D40:D41"/>
    <mergeCell ref="Q40:Q41"/>
    <mergeCell ref="D42:D43"/>
    <mergeCell ref="Q42:Q43"/>
    <mergeCell ref="D21:D22"/>
    <mergeCell ref="Q21:Q22"/>
    <mergeCell ref="D31:D32"/>
    <mergeCell ref="Q31:Q32"/>
    <mergeCell ref="C15:C16"/>
    <mergeCell ref="D15:D16"/>
    <mergeCell ref="E15:E16"/>
    <mergeCell ref="D13:D14"/>
    <mergeCell ref="E13:E14"/>
    <mergeCell ref="F13:F14"/>
    <mergeCell ref="I6:I8"/>
    <mergeCell ref="J6:J8"/>
    <mergeCell ref="Q6:T6"/>
    <mergeCell ref="R7:T7"/>
    <mergeCell ref="Q7:Q8"/>
    <mergeCell ref="Q93:U93"/>
    <mergeCell ref="Q94:U94"/>
    <mergeCell ref="R88:R89"/>
    <mergeCell ref="R90:R91"/>
    <mergeCell ref="D88:D89"/>
    <mergeCell ref="B94:G94"/>
    <mergeCell ref="Q92:U92"/>
    <mergeCell ref="Q90:Q91"/>
    <mergeCell ref="U90:U91"/>
    <mergeCell ref="C92:G92"/>
    <mergeCell ref="B93:G93"/>
    <mergeCell ref="U88:U89"/>
    <mergeCell ref="Q88:Q89"/>
    <mergeCell ref="B104:G104"/>
    <mergeCell ref="B105:G105"/>
    <mergeCell ref="B106:G106"/>
    <mergeCell ref="B107:G107"/>
    <mergeCell ref="B99:G99"/>
    <mergeCell ref="B101:G101"/>
    <mergeCell ref="B102:G102"/>
    <mergeCell ref="B103:G103"/>
    <mergeCell ref="B96:G96"/>
    <mergeCell ref="B97:G97"/>
    <mergeCell ref="B98:G98"/>
    <mergeCell ref="B100:G100"/>
    <mergeCell ref="C87:U87"/>
    <mergeCell ref="D75:D79"/>
    <mergeCell ref="E75:E78"/>
    <mergeCell ref="U6:U8"/>
    <mergeCell ref="V88:V89"/>
    <mergeCell ref="B90:B91"/>
    <mergeCell ref="C90:C91"/>
    <mergeCell ref="D90:D91"/>
    <mergeCell ref="E90:E91"/>
    <mergeCell ref="F90:F91"/>
    <mergeCell ref="B6:B8"/>
    <mergeCell ref="C6:C8"/>
    <mergeCell ref="U21:U26"/>
    <mergeCell ref="D81:D82"/>
    <mergeCell ref="D84:D85"/>
    <mergeCell ref="C86:G86"/>
    <mergeCell ref="E67:E69"/>
    <mergeCell ref="D70:D74"/>
    <mergeCell ref="Q70:Q74"/>
    <mergeCell ref="Q86:U86"/>
    <mergeCell ref="Q75:Q76"/>
    <mergeCell ref="H6:H8"/>
    <mergeCell ref="B13:B14"/>
    <mergeCell ref="C13:C14"/>
    <mergeCell ref="C45:U45"/>
    <mergeCell ref="G6:G8"/>
    <mergeCell ref="C44:G44"/>
    <mergeCell ref="D49:D50"/>
    <mergeCell ref="Q49:Q50"/>
    <mergeCell ref="F15:F16"/>
    <mergeCell ref="C61:C65"/>
    <mergeCell ref="K6:K8"/>
    <mergeCell ref="L6:L8"/>
    <mergeCell ref="M6:M8"/>
    <mergeCell ref="N6:N8"/>
    <mergeCell ref="O6:O8"/>
    <mergeCell ref="P6:P8"/>
    <mergeCell ref="D56:D60"/>
    <mergeCell ref="D53:D54"/>
    <mergeCell ref="Q23:Q24"/>
    <mergeCell ref="U66:U69"/>
    <mergeCell ref="U51:U52"/>
    <mergeCell ref="D51:D52"/>
    <mergeCell ref="U56:U60"/>
    <mergeCell ref="B95:P95"/>
    <mergeCell ref="V68:Y69"/>
    <mergeCell ref="Q13:Q14"/>
    <mergeCell ref="A10:U10"/>
    <mergeCell ref="B11:U11"/>
    <mergeCell ref="C12:U12"/>
    <mergeCell ref="Q17:Q18"/>
    <mergeCell ref="U17:U18"/>
    <mergeCell ref="C19:G19"/>
    <mergeCell ref="A17:A18"/>
    <mergeCell ref="B17:B18"/>
    <mergeCell ref="C17:C18"/>
    <mergeCell ref="D17:D18"/>
    <mergeCell ref="E17:E18"/>
    <mergeCell ref="F17:F18"/>
    <mergeCell ref="R17:R18"/>
    <mergeCell ref="E33:E35"/>
    <mergeCell ref="D61:D65"/>
    <mergeCell ref="F61:F65"/>
    <mergeCell ref="E62:E65"/>
  </mergeCells>
  <printOptions horizontalCentered="1"/>
  <pageMargins left="0" right="0" top="0.59055118110236227" bottom="0" header="0.31496062992125984" footer="0.31496062992125984"/>
  <pageSetup paperSize="9" scale="70" orientation="landscape" r:id="rId1"/>
  <rowBreaks count="3" manualBreakCount="3">
    <brk id="30" max="20" man="1"/>
    <brk id="52" max="20" man="1"/>
    <brk id="82" max="2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5</vt:i4>
      </vt:variant>
    </vt:vector>
  </HeadingPairs>
  <TitlesOfParts>
    <vt:vector size="9" baseType="lpstr">
      <vt:lpstr>Ataskaita</vt:lpstr>
      <vt:lpstr>11 programa</vt:lpstr>
      <vt:lpstr>SPIS</vt:lpstr>
      <vt:lpstr>Lyginamasis</vt:lpstr>
      <vt:lpstr>'11 programa'!Print_Area</vt:lpstr>
      <vt:lpstr>Ataskaita!Print_Area</vt:lpstr>
      <vt:lpstr>Lyginamasis!Print_Area</vt:lpstr>
      <vt:lpstr>'11 programa'!Print_Titles</vt:lpstr>
      <vt:lpstr>Lyginamasis!Print_Titles</vt:lpstr>
    </vt:vector>
  </TitlesOfParts>
  <Company>valdyba.lan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Snieguole Kacerauskaite</dc:creator>
  <cp:lastModifiedBy>Snieguole Kacerauskaite</cp:lastModifiedBy>
  <cp:lastPrinted>2020-02-28T14:09:43Z</cp:lastPrinted>
  <dcterms:created xsi:type="dcterms:W3CDTF">2015-11-25T08:18:21Z</dcterms:created>
  <dcterms:modified xsi:type="dcterms:W3CDTF">2020-02-28T14:16:30Z</dcterms:modified>
</cp:coreProperties>
</file>