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120" yWindow="-120" windowWidth="24240" windowHeight="13140"/>
  </bookViews>
  <sheets>
    <sheet name="Ataskaita" sheetId="4" r:id="rId1"/>
    <sheet name="12 programa" sheetId="5" r:id="rId2"/>
    <sheet name="SPIS" sheetId="6" state="hidden" r:id="rId3"/>
    <sheet name="Aiškinamoji lentelė" sheetId="2" state="hidden" r:id="rId4"/>
    <sheet name="Lyginamasis variantas" sheetId="3" state="hidden" r:id="rId5"/>
  </sheets>
  <definedNames>
    <definedName name="_xlnm.Print_Area" localSheetId="1">'12 programa'!$A$1:$Q$220</definedName>
    <definedName name="_xlnm.Print_Area" localSheetId="3">'Aiškinamoji lentelė'!$A$1:$V$240</definedName>
    <definedName name="_xlnm.Print_Area" localSheetId="0">Ataskaita!$A$1:$F$30</definedName>
    <definedName name="_xlnm.Print_Area" localSheetId="4">'Lyginamasis variantas'!$A$1:$U$150</definedName>
    <definedName name="_xlnm.Print_Titles" localSheetId="1">'12 programa'!$4:$6</definedName>
    <definedName name="_xlnm.Print_Titles" localSheetId="3">'Aiškinamoji lentelė'!$6:$8</definedName>
    <definedName name="_xlnm.Print_Titles" localSheetId="4">'Lyginamasis variantas'!$6:$8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9" i="5" l="1"/>
  <c r="L53" i="5" l="1"/>
  <c r="K53" i="5"/>
  <c r="L48" i="5"/>
  <c r="K48" i="5"/>
  <c r="L46" i="5"/>
  <c r="K46" i="5"/>
  <c r="L43" i="5"/>
  <c r="K43" i="5"/>
  <c r="L39" i="5"/>
  <c r="K39" i="5"/>
  <c r="L37" i="5"/>
  <c r="K37" i="5"/>
  <c r="L35" i="5"/>
  <c r="K35" i="5"/>
  <c r="L33" i="5"/>
  <c r="K33" i="5"/>
  <c r="F284" i="6" l="1"/>
  <c r="E284" i="6"/>
  <c r="D284" i="6"/>
  <c r="C284" i="6"/>
  <c r="H266" i="6"/>
  <c r="G266" i="6"/>
  <c r="F266" i="6"/>
  <c r="E266" i="6"/>
  <c r="H263" i="6"/>
  <c r="G263" i="6"/>
  <c r="F263" i="6"/>
  <c r="E263" i="6"/>
  <c r="H260" i="6"/>
  <c r="G260" i="6"/>
  <c r="F260" i="6"/>
  <c r="E260" i="6"/>
  <c r="H257" i="6"/>
  <c r="G257" i="6"/>
  <c r="F257" i="6"/>
  <c r="E257" i="6"/>
  <c r="H253" i="6"/>
  <c r="G253" i="6"/>
  <c r="F253" i="6"/>
  <c r="E253" i="6"/>
  <c r="H250" i="6"/>
  <c r="G250" i="6"/>
  <c r="F250" i="6"/>
  <c r="E250" i="6"/>
  <c r="H249" i="6"/>
  <c r="G249" i="6"/>
  <c r="F249" i="6"/>
  <c r="E249" i="6"/>
  <c r="H244" i="6"/>
  <c r="G244" i="6"/>
  <c r="F244" i="6"/>
  <c r="E244" i="6"/>
  <c r="H242" i="6"/>
  <c r="G242" i="6"/>
  <c r="F242" i="6"/>
  <c r="E242" i="6"/>
  <c r="H241" i="6"/>
  <c r="G241" i="6"/>
  <c r="F241" i="6"/>
  <c r="E241" i="6"/>
  <c r="H238" i="6"/>
  <c r="G238" i="6"/>
  <c r="F238" i="6"/>
  <c r="E238" i="6"/>
  <c r="H235" i="6"/>
  <c r="G235" i="6"/>
  <c r="F235" i="6"/>
  <c r="E235" i="6"/>
  <c r="H232" i="6"/>
  <c r="G232" i="6"/>
  <c r="F232" i="6"/>
  <c r="E232" i="6"/>
  <c r="H228" i="6"/>
  <c r="G228" i="6"/>
  <c r="F228" i="6"/>
  <c r="E228" i="6"/>
  <c r="H223" i="6"/>
  <c r="G223" i="6"/>
  <c r="F223" i="6"/>
  <c r="E223" i="6"/>
  <c r="H217" i="6"/>
  <c r="G217" i="6"/>
  <c r="F217" i="6"/>
  <c r="E217" i="6"/>
  <c r="H216" i="6"/>
  <c r="G216" i="6"/>
  <c r="F216" i="6"/>
  <c r="E216" i="6"/>
  <c r="H215" i="6"/>
  <c r="G215" i="6"/>
  <c r="F215" i="6"/>
  <c r="E215" i="6"/>
  <c r="H212" i="6"/>
  <c r="G212" i="6"/>
  <c r="F212" i="6"/>
  <c r="E212" i="6"/>
  <c r="H211" i="6"/>
  <c r="G211" i="6"/>
  <c r="F211" i="6"/>
  <c r="E211" i="6"/>
  <c r="H207" i="6"/>
  <c r="G207" i="6"/>
  <c r="F207" i="6"/>
  <c r="E207" i="6"/>
  <c r="E206" i="6" s="1"/>
  <c r="H206" i="6"/>
  <c r="G206" i="6"/>
  <c r="F206" i="6"/>
  <c r="H202" i="6"/>
  <c r="G202" i="6"/>
  <c r="F202" i="6"/>
  <c r="E202" i="6"/>
  <c r="H199" i="6"/>
  <c r="G199" i="6"/>
  <c r="F199" i="6"/>
  <c r="E199" i="6"/>
  <c r="H196" i="6"/>
  <c r="G196" i="6"/>
  <c r="F196" i="6"/>
  <c r="E196" i="6"/>
  <c r="H193" i="6"/>
  <c r="G193" i="6"/>
  <c r="F193" i="6"/>
  <c r="E193" i="6"/>
  <c r="H190" i="6"/>
  <c r="G190" i="6"/>
  <c r="F190" i="6"/>
  <c r="E190" i="6"/>
  <c r="H189" i="6"/>
  <c r="G189" i="6"/>
  <c r="F189" i="6"/>
  <c r="E189" i="6"/>
  <c r="H187" i="6"/>
  <c r="G187" i="6"/>
  <c r="F187" i="6"/>
  <c r="E187" i="6"/>
  <c r="H181" i="6"/>
  <c r="G181" i="6"/>
  <c r="G180" i="6" s="1"/>
  <c r="F181" i="6"/>
  <c r="E181" i="6"/>
  <c r="H180" i="6"/>
  <c r="F180" i="6"/>
  <c r="E180" i="6"/>
  <c r="H177" i="6"/>
  <c r="G177" i="6"/>
  <c r="F177" i="6"/>
  <c r="E177" i="6"/>
  <c r="H175" i="6"/>
  <c r="G175" i="6"/>
  <c r="F175" i="6"/>
  <c r="E175" i="6"/>
  <c r="H167" i="6"/>
  <c r="G167" i="6"/>
  <c r="F167" i="6"/>
  <c r="E167" i="6"/>
  <c r="H165" i="6"/>
  <c r="G165" i="6"/>
  <c r="F165" i="6"/>
  <c r="E165" i="6"/>
  <c r="H154" i="6"/>
  <c r="G154" i="6"/>
  <c r="F154" i="6"/>
  <c r="E154" i="6"/>
  <c r="H145" i="6"/>
  <c r="G145" i="6"/>
  <c r="F145" i="6"/>
  <c r="E145" i="6"/>
  <c r="H141" i="6"/>
  <c r="G141" i="6"/>
  <c r="F141" i="6"/>
  <c r="E141" i="6"/>
  <c r="H135" i="6"/>
  <c r="G135" i="6"/>
  <c r="F135" i="6"/>
  <c r="E135" i="6"/>
  <c r="H130" i="6"/>
  <c r="G130" i="6"/>
  <c r="F130" i="6"/>
  <c r="E130" i="6"/>
  <c r="H125" i="6"/>
  <c r="G125" i="6"/>
  <c r="F125" i="6"/>
  <c r="E125" i="6"/>
  <c r="H114" i="6"/>
  <c r="G114" i="6"/>
  <c r="F114" i="6"/>
  <c r="E114" i="6"/>
  <c r="H106" i="6"/>
  <c r="G106" i="6"/>
  <c r="F106" i="6"/>
  <c r="E106" i="6"/>
  <c r="H101" i="6"/>
  <c r="G101" i="6"/>
  <c r="F101" i="6"/>
  <c r="E101" i="6"/>
  <c r="H88" i="6"/>
  <c r="G88" i="6"/>
  <c r="F88" i="6"/>
  <c r="E88" i="6"/>
  <c r="H84" i="6"/>
  <c r="G84" i="6"/>
  <c r="F84" i="6"/>
  <c r="E84" i="6"/>
  <c r="H76" i="6"/>
  <c r="G76" i="6"/>
  <c r="F76" i="6"/>
  <c r="E76" i="6"/>
  <c r="E75" i="6" s="1"/>
  <c r="H75" i="6"/>
  <c r="G75" i="6"/>
  <c r="F75" i="6"/>
  <c r="F74" i="6" s="1"/>
  <c r="H74" i="6"/>
  <c r="G74" i="6"/>
  <c r="H72" i="6"/>
  <c r="G72" i="6"/>
  <c r="F72" i="6"/>
  <c r="E72" i="6"/>
  <c r="E71" i="6" s="1"/>
  <c r="H71" i="6"/>
  <c r="G71" i="6"/>
  <c r="F71" i="6"/>
  <c r="H69" i="6"/>
  <c r="G69" i="6"/>
  <c r="F69" i="6"/>
  <c r="E69" i="6"/>
  <c r="H66" i="6"/>
  <c r="G66" i="6"/>
  <c r="F66" i="6"/>
  <c r="E66" i="6"/>
  <c r="H64" i="6"/>
  <c r="G64" i="6"/>
  <c r="F64" i="6"/>
  <c r="E64" i="6"/>
  <c r="H61" i="6"/>
  <c r="G61" i="6"/>
  <c r="F61" i="6"/>
  <c r="E61" i="6"/>
  <c r="H58" i="6"/>
  <c r="G58" i="6"/>
  <c r="F58" i="6"/>
  <c r="E58" i="6"/>
  <c r="H54" i="6"/>
  <c r="G54" i="6"/>
  <c r="F54" i="6"/>
  <c r="E54" i="6"/>
  <c r="H46" i="6"/>
  <c r="G46" i="6"/>
  <c r="F46" i="6"/>
  <c r="E46" i="6"/>
  <c r="H34" i="6"/>
  <c r="G34" i="6"/>
  <c r="F34" i="6"/>
  <c r="E34" i="6"/>
  <c r="H30" i="6"/>
  <c r="G30" i="6"/>
  <c r="F30" i="6"/>
  <c r="E30" i="6"/>
  <c r="H20" i="6"/>
  <c r="G20" i="6"/>
  <c r="F20" i="6"/>
  <c r="E20" i="6"/>
  <c r="H17" i="6"/>
  <c r="G17" i="6"/>
  <c r="F17" i="6"/>
  <c r="E17" i="6"/>
  <c r="H14" i="6"/>
  <c r="G14" i="6"/>
  <c r="G13" i="6" s="1"/>
  <c r="F14" i="6"/>
  <c r="E14" i="6"/>
  <c r="H13" i="6"/>
  <c r="F13" i="6"/>
  <c r="F5" i="6" s="1"/>
  <c r="F4" i="6" s="1"/>
  <c r="H5" i="6"/>
  <c r="H4" i="6" s="1"/>
  <c r="G5" i="6" l="1"/>
  <c r="G4" i="6" s="1"/>
  <c r="E13" i="6"/>
  <c r="E74" i="6"/>
  <c r="E5" i="6" l="1"/>
  <c r="E4" i="6" s="1"/>
  <c r="L124" i="5"/>
  <c r="K218" i="5" l="1"/>
  <c r="K217" i="5"/>
  <c r="K216" i="5"/>
  <c r="K214" i="5"/>
  <c r="K213" i="5"/>
  <c r="K212" i="5"/>
  <c r="K211" i="5"/>
  <c r="K210" i="5"/>
  <c r="K209" i="5"/>
  <c r="K208" i="5"/>
  <c r="K207" i="5"/>
  <c r="K206" i="5"/>
  <c r="K205" i="5"/>
  <c r="J218" i="5"/>
  <c r="J217" i="5"/>
  <c r="J216" i="5"/>
  <c r="J214" i="5"/>
  <c r="J213" i="5"/>
  <c r="J212" i="5"/>
  <c r="J211" i="5"/>
  <c r="J210" i="5"/>
  <c r="J208" i="5"/>
  <c r="J207" i="5"/>
  <c r="J205" i="5"/>
  <c r="K215" i="5" l="1"/>
  <c r="J174" i="5"/>
  <c r="J147" i="5"/>
  <c r="J146" i="5"/>
  <c r="J140" i="5"/>
  <c r="J138" i="5"/>
  <c r="J209" i="5" s="1"/>
  <c r="J105" i="5"/>
  <c r="J99" i="5"/>
  <c r="J204" i="5" s="1"/>
  <c r="J57" i="5"/>
  <c r="J60" i="5"/>
  <c r="J41" i="5"/>
  <c r="J206" i="5" s="1"/>
  <c r="K193" i="5" l="1"/>
  <c r="K190" i="5"/>
  <c r="K179" i="5"/>
  <c r="K174" i="5"/>
  <c r="K168" i="5"/>
  <c r="K169" i="5" s="1"/>
  <c r="K147" i="5"/>
  <c r="K146" i="5"/>
  <c r="K142" i="5"/>
  <c r="K137" i="5"/>
  <c r="K135" i="5"/>
  <c r="K131" i="5"/>
  <c r="K124" i="5"/>
  <c r="K114" i="5"/>
  <c r="K112" i="5"/>
  <c r="K60" i="5"/>
  <c r="K57" i="5"/>
  <c r="K55" i="5"/>
  <c r="K26" i="5"/>
  <c r="K51" i="5" s="1"/>
  <c r="J193" i="5"/>
  <c r="J190" i="5"/>
  <c r="J179" i="5"/>
  <c r="J180" i="5" s="1"/>
  <c r="J168" i="5"/>
  <c r="J169" i="5" s="1"/>
  <c r="J149" i="5"/>
  <c r="J142" i="5"/>
  <c r="J137" i="5"/>
  <c r="J135" i="5"/>
  <c r="J131" i="5"/>
  <c r="J124" i="5"/>
  <c r="J114" i="5"/>
  <c r="J112" i="5"/>
  <c r="J55" i="5"/>
  <c r="J53" i="5"/>
  <c r="J48" i="5"/>
  <c r="J46" i="5"/>
  <c r="J43" i="5"/>
  <c r="J39" i="5"/>
  <c r="J37" i="5"/>
  <c r="J35" i="5"/>
  <c r="J33" i="5"/>
  <c r="J26" i="5"/>
  <c r="K180" i="5" l="1"/>
  <c r="K149" i="5"/>
  <c r="K204" i="5"/>
  <c r="K203" i="5" s="1"/>
  <c r="K202" i="5" s="1"/>
  <c r="K219" i="5" s="1"/>
  <c r="K61" i="5"/>
  <c r="K194" i="5"/>
  <c r="J215" i="5"/>
  <c r="K150" i="5"/>
  <c r="J194" i="5"/>
  <c r="J203" i="5"/>
  <c r="J51" i="5"/>
  <c r="J61" i="5" s="1"/>
  <c r="J150" i="5"/>
  <c r="L218" i="5"/>
  <c r="L217" i="5"/>
  <c r="L216" i="5"/>
  <c r="L214" i="5"/>
  <c r="L213" i="5"/>
  <c r="L212" i="5"/>
  <c r="L211" i="5"/>
  <c r="L210" i="5"/>
  <c r="L209" i="5"/>
  <c r="L208" i="5"/>
  <c r="L207" i="5"/>
  <c r="L206" i="5"/>
  <c r="L205" i="5"/>
  <c r="L204" i="5"/>
  <c r="L193" i="5"/>
  <c r="L190" i="5"/>
  <c r="L174" i="5"/>
  <c r="L168" i="5"/>
  <c r="L169" i="5" s="1"/>
  <c r="L149" i="5"/>
  <c r="L146" i="5"/>
  <c r="L142" i="5"/>
  <c r="L137" i="5"/>
  <c r="L135" i="5"/>
  <c r="L131" i="5"/>
  <c r="L114" i="5"/>
  <c r="L112" i="5"/>
  <c r="L60" i="5"/>
  <c r="L57" i="5"/>
  <c r="L55" i="5"/>
  <c r="L26" i="5"/>
  <c r="L51" i="5" s="1"/>
  <c r="K195" i="5" l="1"/>
  <c r="K196" i="5" s="1"/>
  <c r="J202" i="5"/>
  <c r="J219" i="5" s="1"/>
  <c r="L180" i="5"/>
  <c r="L194" i="5" s="1"/>
  <c r="L203" i="5"/>
  <c r="L202" i="5" s="1"/>
  <c r="L61" i="5"/>
  <c r="L215" i="5"/>
  <c r="J195" i="5"/>
  <c r="J196" i="5" s="1"/>
  <c r="L150" i="5"/>
  <c r="L195" i="5" l="1"/>
  <c r="L196" i="5" s="1"/>
  <c r="L219" i="5"/>
  <c r="I14" i="3" l="1"/>
  <c r="O32" i="3" l="1"/>
  <c r="P29" i="3"/>
  <c r="P32" i="3" s="1"/>
  <c r="P33" i="3" s="1"/>
  <c r="P40" i="3" s="1"/>
  <c r="L32" i="3"/>
  <c r="M29" i="3"/>
  <c r="M32" i="3" s="1"/>
  <c r="M33" i="3" s="1"/>
  <c r="I29" i="3" l="1"/>
  <c r="I32" i="3" l="1"/>
  <c r="J29" i="3"/>
  <c r="I20" i="3"/>
  <c r="I60" i="3" l="1"/>
  <c r="I71" i="3"/>
  <c r="P146" i="3" l="1"/>
  <c r="P142" i="3"/>
  <c r="P141" i="3"/>
  <c r="P140" i="3"/>
  <c r="P139" i="3"/>
  <c r="J44" i="3" l="1"/>
  <c r="J45" i="3" l="1"/>
  <c r="J30" i="3" l="1"/>
  <c r="J24" i="3"/>
  <c r="I22" i="3"/>
  <c r="J22" i="3" s="1"/>
  <c r="J20" i="3"/>
  <c r="P106" i="3" l="1"/>
  <c r="P105" i="3"/>
  <c r="M105" i="3"/>
  <c r="M107" i="3" s="1"/>
  <c r="N104" i="3"/>
  <c r="O104" i="3"/>
  <c r="L104" i="3"/>
  <c r="K104" i="3"/>
  <c r="P102" i="3"/>
  <c r="P144" i="3" s="1"/>
  <c r="P107" i="3" l="1"/>
  <c r="P101" i="3"/>
  <c r="M101" i="3"/>
  <c r="P104" i="3" l="1"/>
  <c r="P138" i="3"/>
  <c r="P137" i="3" s="1"/>
  <c r="M104" i="3"/>
  <c r="M111" i="3" s="1"/>
  <c r="M112" i="3" s="1"/>
  <c r="M138" i="3"/>
  <c r="P111" i="3"/>
  <c r="P112" i="3" s="1"/>
  <c r="K107" i="3"/>
  <c r="L107" i="3"/>
  <c r="N107" i="3"/>
  <c r="O107" i="3"/>
  <c r="I107" i="3"/>
  <c r="O141" i="3" l="1"/>
  <c r="O140" i="3"/>
  <c r="O139" i="3"/>
  <c r="O142" i="3"/>
  <c r="O146" i="3"/>
  <c r="O144" i="3"/>
  <c r="N146" i="3"/>
  <c r="N144" i="3"/>
  <c r="N142" i="3"/>
  <c r="N141" i="3"/>
  <c r="N140" i="3"/>
  <c r="N139" i="3"/>
  <c r="L139" i="3"/>
  <c r="L146" i="3"/>
  <c r="L144" i="3"/>
  <c r="L141" i="3"/>
  <c r="L140" i="3"/>
  <c r="K146" i="3"/>
  <c r="K144" i="3"/>
  <c r="K142" i="3"/>
  <c r="K141" i="3"/>
  <c r="K140" i="3"/>
  <c r="K139" i="3"/>
  <c r="N46" i="3"/>
  <c r="N57" i="3" s="1"/>
  <c r="O131" i="3"/>
  <c r="O128" i="3"/>
  <c r="O117" i="3"/>
  <c r="O110" i="3"/>
  <c r="O111" i="3" s="1"/>
  <c r="O85" i="3"/>
  <c r="O82" i="3"/>
  <c r="O80" i="3"/>
  <c r="O71" i="3"/>
  <c r="O77" i="3" s="1"/>
  <c r="O70" i="3"/>
  <c r="O59" i="3"/>
  <c r="O46" i="3"/>
  <c r="O57" i="3" s="1"/>
  <c r="O39" i="3"/>
  <c r="O37" i="3"/>
  <c r="O35" i="3"/>
  <c r="O27" i="3"/>
  <c r="O25" i="3"/>
  <c r="O23" i="3"/>
  <c r="O21" i="3"/>
  <c r="O14" i="3"/>
  <c r="O19" i="3" s="1"/>
  <c r="N131" i="3"/>
  <c r="N128" i="3"/>
  <c r="N117" i="3"/>
  <c r="N110" i="3"/>
  <c r="N111" i="3" s="1"/>
  <c r="N112" i="3" s="1"/>
  <c r="N85" i="3"/>
  <c r="N82" i="3"/>
  <c r="N80" i="3"/>
  <c r="N71" i="3"/>
  <c r="N77" i="3" s="1"/>
  <c r="N70" i="3"/>
  <c r="N59" i="3"/>
  <c r="N39" i="3"/>
  <c r="N37" i="3"/>
  <c r="N35" i="3"/>
  <c r="N32" i="3"/>
  <c r="N27" i="3"/>
  <c r="N25" i="3"/>
  <c r="N23" i="3"/>
  <c r="N21" i="3"/>
  <c r="N14" i="3"/>
  <c r="K46" i="3"/>
  <c r="K57" i="3" s="1"/>
  <c r="L131" i="3"/>
  <c r="L128" i="3"/>
  <c r="L117" i="3"/>
  <c r="L110" i="3"/>
  <c r="L111" i="3" s="1"/>
  <c r="L85" i="3"/>
  <c r="L82" i="3"/>
  <c r="L80" i="3"/>
  <c r="L77" i="3"/>
  <c r="L71" i="3"/>
  <c r="L70" i="3"/>
  <c r="L59" i="3"/>
  <c r="L46" i="3"/>
  <c r="L145" i="3" s="1"/>
  <c r="L39" i="3"/>
  <c r="L37" i="3"/>
  <c r="L35" i="3"/>
  <c r="L27" i="3"/>
  <c r="L25" i="3"/>
  <c r="L23" i="3"/>
  <c r="L21" i="3"/>
  <c r="L14" i="3"/>
  <c r="L138" i="3" s="1"/>
  <c r="K131" i="3"/>
  <c r="K128" i="3"/>
  <c r="K117" i="3"/>
  <c r="I110" i="3"/>
  <c r="J110" i="3"/>
  <c r="K110" i="3"/>
  <c r="H110" i="3"/>
  <c r="I104" i="3"/>
  <c r="H104" i="3"/>
  <c r="K85" i="3"/>
  <c r="K82" i="3"/>
  <c r="K80" i="3"/>
  <c r="K71" i="3"/>
  <c r="K77" i="3" s="1"/>
  <c r="K70" i="3"/>
  <c r="K59" i="3"/>
  <c r="K39" i="3"/>
  <c r="K37" i="3"/>
  <c r="K35" i="3"/>
  <c r="K32" i="3"/>
  <c r="K27" i="3"/>
  <c r="K25" i="3"/>
  <c r="K23" i="3"/>
  <c r="K21" i="3"/>
  <c r="K14" i="3"/>
  <c r="I46" i="3"/>
  <c r="J46" i="3" s="1"/>
  <c r="K111" i="3" l="1"/>
  <c r="K112" i="3" s="1"/>
  <c r="N132" i="3"/>
  <c r="O33" i="3"/>
  <c r="O40" i="3" s="1"/>
  <c r="K138" i="3"/>
  <c r="K137" i="3" s="1"/>
  <c r="N138" i="3"/>
  <c r="N137" i="3" s="1"/>
  <c r="O86" i="3"/>
  <c r="O132" i="3"/>
  <c r="K19" i="3"/>
  <c r="K33" i="3" s="1"/>
  <c r="K40" i="3" s="1"/>
  <c r="L19" i="3"/>
  <c r="L33" i="3" s="1"/>
  <c r="L40" i="3" s="1"/>
  <c r="K132" i="3"/>
  <c r="M46" i="3"/>
  <c r="N19" i="3"/>
  <c r="O138" i="3"/>
  <c r="O137" i="3" s="1"/>
  <c r="K145" i="3"/>
  <c r="K143" i="3" s="1"/>
  <c r="L132" i="3"/>
  <c r="L57" i="3"/>
  <c r="L86" i="3" s="1"/>
  <c r="P46" i="3"/>
  <c r="P145" i="3" s="1"/>
  <c r="O145" i="3"/>
  <c r="O143" i="3" s="1"/>
  <c r="N145" i="3"/>
  <c r="N143" i="3" s="1"/>
  <c r="L112" i="3"/>
  <c r="O112" i="3"/>
  <c r="L143" i="3"/>
  <c r="N86" i="3"/>
  <c r="K86" i="3"/>
  <c r="I78" i="3"/>
  <c r="J78" i="3" s="1"/>
  <c r="I96" i="3"/>
  <c r="J96" i="3" s="1"/>
  <c r="N33" i="3" l="1"/>
  <c r="N40" i="3" s="1"/>
  <c r="N133" i="3" s="1"/>
  <c r="N134" i="3" s="1"/>
  <c r="K133" i="3"/>
  <c r="K134" i="3" s="1"/>
  <c r="K147" i="3"/>
  <c r="O133" i="3"/>
  <c r="O134" i="3" s="1"/>
  <c r="P57" i="3"/>
  <c r="P86" i="3" s="1"/>
  <c r="P133" i="3" s="1"/>
  <c r="P134" i="3" s="1"/>
  <c r="L133" i="3"/>
  <c r="L134" i="3" s="1"/>
  <c r="M57" i="3"/>
  <c r="M86" i="3" s="1"/>
  <c r="M133" i="3" s="1"/>
  <c r="M134" i="3" s="1"/>
  <c r="M145" i="3"/>
  <c r="O147" i="3"/>
  <c r="N147" i="3"/>
  <c r="H146" i="3" l="1"/>
  <c r="H145" i="3"/>
  <c r="H144" i="3"/>
  <c r="H142" i="3"/>
  <c r="H140" i="3"/>
  <c r="H139" i="3"/>
  <c r="H14" i="3"/>
  <c r="J105" i="3"/>
  <c r="J107" i="3" s="1"/>
  <c r="J101" i="3"/>
  <c r="J104" i="3" s="1"/>
  <c r="J97" i="3"/>
  <c r="H95" i="3"/>
  <c r="H91" i="3"/>
  <c r="H89" i="3"/>
  <c r="H82" i="3"/>
  <c r="H80" i="3"/>
  <c r="H71" i="3"/>
  <c r="H77" i="3" s="1"/>
  <c r="H60" i="3"/>
  <c r="H58" i="3"/>
  <c r="H59" i="3" s="1"/>
  <c r="H57" i="3"/>
  <c r="H13" i="3"/>
  <c r="H141" i="3" s="1"/>
  <c r="H70" i="3" l="1"/>
  <c r="J60" i="3"/>
  <c r="P143" i="3"/>
  <c r="H111" i="3"/>
  <c r="H112" i="3" s="1"/>
  <c r="J14" i="3"/>
  <c r="H138" i="3"/>
  <c r="H137" i="3" s="1"/>
  <c r="H147" i="3" s="1"/>
  <c r="H143" i="3"/>
  <c r="P147" i="3" l="1"/>
  <c r="J142" i="3"/>
  <c r="I142" i="3"/>
  <c r="I141" i="3" l="1"/>
  <c r="J83" i="3" l="1"/>
  <c r="J85" i="3" s="1"/>
  <c r="I85" i="3"/>
  <c r="H85" i="3"/>
  <c r="H86" i="3" s="1"/>
  <c r="T42" i="3" l="1"/>
  <c r="S42" i="3"/>
  <c r="I58" i="3" l="1"/>
  <c r="J58" i="3" s="1"/>
  <c r="H32" i="3" l="1"/>
  <c r="I91" i="3" l="1"/>
  <c r="I89" i="3" l="1"/>
  <c r="J71" i="3" l="1"/>
  <c r="J89" i="3" l="1"/>
  <c r="J91" i="3"/>
  <c r="I95" i="3"/>
  <c r="I111" i="3" s="1"/>
  <c r="I112" i="3" s="1"/>
  <c r="J42" i="3"/>
  <c r="J95" i="3" l="1"/>
  <c r="J111" i="3" s="1"/>
  <c r="J112" i="3" s="1"/>
  <c r="R42" i="3"/>
  <c r="H131" i="3"/>
  <c r="H128" i="3"/>
  <c r="H117" i="3"/>
  <c r="H39" i="3"/>
  <c r="H37" i="3"/>
  <c r="H35" i="3"/>
  <c r="H27" i="3"/>
  <c r="H25" i="3"/>
  <c r="H23" i="3"/>
  <c r="H21" i="3"/>
  <c r="J13" i="3" l="1"/>
  <c r="J141" i="3" s="1"/>
  <c r="H19" i="3"/>
  <c r="H132" i="3"/>
  <c r="H33" i="3" l="1"/>
  <c r="H40" i="3" s="1"/>
  <c r="I140" i="3" l="1"/>
  <c r="I57" i="3" l="1"/>
  <c r="J140" i="3" l="1"/>
  <c r="J128" i="3" l="1"/>
  <c r="I131" i="3"/>
  <c r="I128" i="3"/>
  <c r="I117" i="3"/>
  <c r="I80" i="3"/>
  <c r="I70" i="3"/>
  <c r="I59" i="3"/>
  <c r="I39" i="3"/>
  <c r="I37" i="3"/>
  <c r="I35" i="3"/>
  <c r="I27" i="3"/>
  <c r="I25" i="3"/>
  <c r="I23" i="3"/>
  <c r="I21" i="3"/>
  <c r="J82" i="3"/>
  <c r="J77" i="3"/>
  <c r="I82" i="3"/>
  <c r="J146" i="3"/>
  <c r="I146" i="3"/>
  <c r="J145" i="3"/>
  <c r="J144" i="3"/>
  <c r="I144" i="3"/>
  <c r="J139" i="3"/>
  <c r="I139" i="3"/>
  <c r="J131" i="3"/>
  <c r="J117" i="3"/>
  <c r="J80" i="3"/>
  <c r="I77" i="3"/>
  <c r="J70" i="3"/>
  <c r="J59" i="3"/>
  <c r="J57" i="3"/>
  <c r="J39" i="3"/>
  <c r="J37" i="3"/>
  <c r="J35" i="3"/>
  <c r="J32" i="3"/>
  <c r="J27" i="3"/>
  <c r="J25" i="3"/>
  <c r="J23" i="3"/>
  <c r="J19" i="3"/>
  <c r="I86" i="3" l="1"/>
  <c r="J86" i="3"/>
  <c r="I19" i="3"/>
  <c r="I132" i="3"/>
  <c r="J132" i="3"/>
  <c r="J143" i="3"/>
  <c r="I145" i="3"/>
  <c r="I143" i="3" s="1"/>
  <c r="N135" i="2"/>
  <c r="R134" i="2"/>
  <c r="Q134" i="2"/>
  <c r="M17" i="2"/>
  <c r="I33" i="3" l="1"/>
  <c r="I40" i="3" s="1"/>
  <c r="I133" i="3" s="1"/>
  <c r="I134" i="3" s="1"/>
  <c r="J21" i="3"/>
  <c r="J33" i="3" s="1"/>
  <c r="M18" i="2"/>
  <c r="J40" i="3" l="1"/>
  <c r="J133" i="3" s="1"/>
  <c r="R66" i="2"/>
  <c r="Q66" i="2"/>
  <c r="R124" i="2"/>
  <c r="R123" i="2"/>
  <c r="R122" i="2"/>
  <c r="Q122" i="2"/>
  <c r="R121" i="2"/>
  <c r="R119" i="2"/>
  <c r="R118" i="2"/>
  <c r="Q131" i="2"/>
  <c r="R143" i="2"/>
  <c r="R136" i="2"/>
  <c r="Q136" i="2"/>
  <c r="Q137" i="2"/>
  <c r="P137" i="2"/>
  <c r="R132" i="2"/>
  <c r="R135" i="2" s="1"/>
  <c r="R110" i="2"/>
  <c r="Q109" i="2"/>
  <c r="N109" i="2"/>
  <c r="R109" i="2" s="1"/>
  <c r="N106" i="2"/>
  <c r="R102" i="2"/>
  <c r="Q102" i="2"/>
  <c r="Q101" i="2"/>
  <c r="N101" i="2"/>
  <c r="R101" i="2" s="1"/>
  <c r="Q96" i="2"/>
  <c r="N96" i="2"/>
  <c r="R96" i="2" s="1"/>
  <c r="N93" i="2"/>
  <c r="R84" i="2"/>
  <c r="Q84" i="2"/>
  <c r="R55" i="2"/>
  <c r="Q55" i="2"/>
  <c r="Q47" i="2"/>
  <c r="N47" i="2"/>
  <c r="R47" i="2" s="1"/>
  <c r="Q45" i="2"/>
  <c r="N45" i="2"/>
  <c r="R45" i="2" s="1"/>
  <c r="N43" i="2"/>
  <c r="Q33" i="2"/>
  <c r="Q31" i="2"/>
  <c r="N39" i="2"/>
  <c r="N36" i="2"/>
  <c r="N31" i="2"/>
  <c r="R31" i="2" s="1"/>
  <c r="N29" i="2"/>
  <c r="Q27" i="2"/>
  <c r="Q22" i="2"/>
  <c r="M139" i="3" l="1"/>
  <c r="M142" i="3"/>
  <c r="M140" i="3"/>
  <c r="M144" i="3"/>
  <c r="M141" i="3"/>
  <c r="M146" i="3"/>
  <c r="L142" i="3"/>
  <c r="L137" i="3" s="1"/>
  <c r="L147" i="3" s="1"/>
  <c r="J134" i="3"/>
  <c r="N21" i="2"/>
  <c r="M137" i="3" l="1"/>
  <c r="M143" i="3"/>
  <c r="R87" i="2"/>
  <c r="M147" i="3" l="1"/>
  <c r="N105" i="2"/>
  <c r="O105" i="2"/>
  <c r="P105" i="2"/>
  <c r="Q105" i="2"/>
  <c r="R105" i="2"/>
  <c r="M105" i="2"/>
  <c r="K105" i="2"/>
  <c r="Q92" i="2"/>
  <c r="K92" i="2"/>
  <c r="M90" i="2"/>
  <c r="M92" i="2" s="1"/>
  <c r="M77" i="2"/>
  <c r="N61" i="2"/>
  <c r="O61" i="2"/>
  <c r="R238" i="2"/>
  <c r="Q238" i="2"/>
  <c r="M238" i="2"/>
  <c r="L238" i="2"/>
  <c r="K238" i="2"/>
  <c r="L237" i="2"/>
  <c r="R236" i="2"/>
  <c r="Q236" i="2"/>
  <c r="M236" i="2"/>
  <c r="L236" i="2"/>
  <c r="K236" i="2"/>
  <c r="M234" i="2"/>
  <c r="K234" i="2"/>
  <c r="R233" i="2"/>
  <c r="Q233" i="2"/>
  <c r="M233" i="2"/>
  <c r="L233" i="2"/>
  <c r="K233" i="2"/>
  <c r="M232" i="2"/>
  <c r="K232" i="2"/>
  <c r="L231" i="2"/>
  <c r="K231" i="2"/>
  <c r="L230" i="2"/>
  <c r="K230" i="2"/>
  <c r="L229" i="2"/>
  <c r="K229" i="2"/>
  <c r="R219" i="2"/>
  <c r="Q219" i="2"/>
  <c r="P219" i="2"/>
  <c r="M219" i="2"/>
  <c r="L219" i="2"/>
  <c r="K219" i="2"/>
  <c r="R215" i="2"/>
  <c r="Q215" i="2"/>
  <c r="P215" i="2"/>
  <c r="O215" i="2"/>
  <c r="O220" i="2" s="1"/>
  <c r="M215" i="2"/>
  <c r="L215" i="2"/>
  <c r="K215" i="2"/>
  <c r="N208" i="2"/>
  <c r="N215" i="2" s="1"/>
  <c r="N220" i="2" s="1"/>
  <c r="R202" i="2"/>
  <c r="Q202" i="2"/>
  <c r="P202" i="2"/>
  <c r="M202" i="2"/>
  <c r="K202" i="2"/>
  <c r="L199" i="2"/>
  <c r="L234" i="2" s="1"/>
  <c r="L192" i="2"/>
  <c r="K192" i="2"/>
  <c r="L189" i="2"/>
  <c r="K189" i="2"/>
  <c r="L185" i="2"/>
  <c r="K185" i="2"/>
  <c r="O180" i="2"/>
  <c r="O194" i="2" s="1"/>
  <c r="L179" i="2"/>
  <c r="K179" i="2"/>
  <c r="L177" i="2"/>
  <c r="K177" i="2"/>
  <c r="R173" i="2"/>
  <c r="R171" i="2"/>
  <c r="Q171" i="2"/>
  <c r="N168" i="2"/>
  <c r="M168" i="2"/>
  <c r="L165" i="2"/>
  <c r="K165" i="2"/>
  <c r="P164" i="2"/>
  <c r="P165" i="2" s="1"/>
  <c r="P163" i="2"/>
  <c r="M163" i="2"/>
  <c r="L163" i="2"/>
  <c r="K163" i="2"/>
  <c r="N161" i="2"/>
  <c r="M161" i="2"/>
  <c r="L161" i="2"/>
  <c r="K161" i="2"/>
  <c r="Q158" i="2"/>
  <c r="Q180" i="2" s="1"/>
  <c r="Q194" i="2" s="1"/>
  <c r="P158" i="2"/>
  <c r="M158" i="2"/>
  <c r="L152" i="2"/>
  <c r="K152" i="2"/>
  <c r="L150" i="2"/>
  <c r="K150" i="2"/>
  <c r="R147" i="2"/>
  <c r="Q147" i="2"/>
  <c r="R144" i="2"/>
  <c r="N144" i="2"/>
  <c r="L144" i="2"/>
  <c r="K144" i="2"/>
  <c r="M143" i="2"/>
  <c r="Q143" i="2" s="1"/>
  <c r="Q144" i="2" s="1"/>
  <c r="P142" i="2"/>
  <c r="O142" i="2"/>
  <c r="L142" i="2"/>
  <c r="M141" i="2"/>
  <c r="K141" i="2"/>
  <c r="K142" i="2" s="1"/>
  <c r="M139" i="2"/>
  <c r="M138" i="2"/>
  <c r="P135" i="2"/>
  <c r="O135" i="2"/>
  <c r="L135" i="2"/>
  <c r="K135" i="2"/>
  <c r="M133" i="2"/>
  <c r="M132" i="2"/>
  <c r="Q132" i="2" s="1"/>
  <c r="Q135" i="2" s="1"/>
  <c r="M131" i="2"/>
  <c r="P126" i="2"/>
  <c r="O126" i="2"/>
  <c r="N126" i="2"/>
  <c r="L126" i="2"/>
  <c r="K126" i="2"/>
  <c r="M124" i="2"/>
  <c r="Q124" i="2" s="1"/>
  <c r="M123" i="2"/>
  <c r="Q123" i="2" s="1"/>
  <c r="M121" i="2"/>
  <c r="Q121" i="2" s="1"/>
  <c r="Q120" i="2"/>
  <c r="M120" i="2"/>
  <c r="M119" i="2"/>
  <c r="Q119" i="2" s="1"/>
  <c r="M118" i="2"/>
  <c r="Q118" i="2" s="1"/>
  <c r="N116" i="2"/>
  <c r="M116" i="2" s="1"/>
  <c r="L116" i="2"/>
  <c r="K116" i="2"/>
  <c r="Q115" i="2"/>
  <c r="Q116" i="2" s="1"/>
  <c r="N113" i="2"/>
  <c r="M113" i="2"/>
  <c r="P111" i="2"/>
  <c r="O111" i="2"/>
  <c r="N111" i="2"/>
  <c r="K111" i="2"/>
  <c r="M110" i="2"/>
  <c r="Q110" i="2" s="1"/>
  <c r="M107" i="2"/>
  <c r="Q106" i="2"/>
  <c r="P98" i="2"/>
  <c r="O98" i="2"/>
  <c r="N98" i="2"/>
  <c r="K98" i="2"/>
  <c r="M97" i="2"/>
  <c r="M98" i="2" s="1"/>
  <c r="Q93" i="2"/>
  <c r="Q98" i="2" s="1"/>
  <c r="P92" i="2"/>
  <c r="O92" i="2"/>
  <c r="N92" i="2"/>
  <c r="P86" i="2"/>
  <c r="O86" i="2"/>
  <c r="K86" i="2"/>
  <c r="M82" i="2"/>
  <c r="M86" i="2" s="1"/>
  <c r="R77" i="2"/>
  <c r="Q77" i="2"/>
  <c r="P77" i="2"/>
  <c r="O77" i="2"/>
  <c r="K77" i="2"/>
  <c r="P68" i="2"/>
  <c r="O68" i="2"/>
  <c r="K68" i="2"/>
  <c r="M64" i="2"/>
  <c r="R61" i="2"/>
  <c r="Q61" i="2"/>
  <c r="P61" i="2"/>
  <c r="K61" i="2"/>
  <c r="L56" i="2"/>
  <c r="L232" i="2" s="1"/>
  <c r="M54" i="2"/>
  <c r="M61" i="2" s="1"/>
  <c r="R50" i="2"/>
  <c r="Q50" i="2"/>
  <c r="N50" i="2"/>
  <c r="M50" i="2" s="1"/>
  <c r="R48" i="2"/>
  <c r="Q48" i="2"/>
  <c r="N48" i="2"/>
  <c r="M48" i="2" s="1"/>
  <c r="L48" i="2"/>
  <c r="K48" i="2"/>
  <c r="R46" i="2"/>
  <c r="Q46" i="2"/>
  <c r="N46" i="2"/>
  <c r="M46" i="2" s="1"/>
  <c r="L46" i="2"/>
  <c r="K46" i="2"/>
  <c r="N44" i="2"/>
  <c r="M44" i="2" s="1"/>
  <c r="L44" i="2"/>
  <c r="K44" i="2"/>
  <c r="R43" i="2"/>
  <c r="Q43" i="2"/>
  <c r="Q44" i="2" s="1"/>
  <c r="O41" i="2"/>
  <c r="N41" i="2"/>
  <c r="L41" i="2"/>
  <c r="K41" i="2"/>
  <c r="M40" i="2"/>
  <c r="M38" i="2"/>
  <c r="R36" i="2"/>
  <c r="R41" i="2" s="1"/>
  <c r="Q36" i="2"/>
  <c r="Q41" i="2" s="1"/>
  <c r="Q34" i="2"/>
  <c r="L34" i="2"/>
  <c r="K34" i="2"/>
  <c r="N33" i="2"/>
  <c r="R32" i="2"/>
  <c r="Q32" i="2"/>
  <c r="N32" i="2"/>
  <c r="M32" i="2" s="1"/>
  <c r="L32" i="2"/>
  <c r="K32" i="2"/>
  <c r="O30" i="2"/>
  <c r="N30" i="2"/>
  <c r="M30" i="2" s="1"/>
  <c r="L30" i="2"/>
  <c r="K30" i="2"/>
  <c r="Q29" i="2"/>
  <c r="Q30" i="2" s="1"/>
  <c r="P28" i="2"/>
  <c r="O28" i="2"/>
  <c r="M28" i="2"/>
  <c r="L28" i="2"/>
  <c r="K28" i="2"/>
  <c r="N27" i="2"/>
  <c r="R27" i="2" s="1"/>
  <c r="Q25" i="2"/>
  <c r="N25" i="2"/>
  <c r="R25" i="2" s="1"/>
  <c r="R24" i="2"/>
  <c r="Q24" i="2"/>
  <c r="N24" i="2"/>
  <c r="Q23" i="2"/>
  <c r="R23" i="2" s="1"/>
  <c r="N23" i="2"/>
  <c r="R22" i="2"/>
  <c r="N22" i="2"/>
  <c r="Q21" i="2"/>
  <c r="R21" i="2" s="1"/>
  <c r="P20" i="2"/>
  <c r="O20" i="2"/>
  <c r="L20" i="2"/>
  <c r="K20" i="2"/>
  <c r="M19" i="2"/>
  <c r="M20" i="2" s="1"/>
  <c r="R18" i="2"/>
  <c r="Q18" i="2"/>
  <c r="N18" i="2"/>
  <c r="R17" i="2"/>
  <c r="Q17" i="2"/>
  <c r="N17" i="2"/>
  <c r="R15" i="2"/>
  <c r="Q15" i="2"/>
  <c r="Q141" i="2" l="1"/>
  <c r="Q142" i="2" s="1"/>
  <c r="R141" i="2"/>
  <c r="R142" i="2" s="1"/>
  <c r="Q20" i="2"/>
  <c r="N34" i="2"/>
  <c r="M34" i="2" s="1"/>
  <c r="R33" i="2"/>
  <c r="R34" i="2" s="1"/>
  <c r="Q111" i="2"/>
  <c r="Q126" i="2"/>
  <c r="N64" i="2"/>
  <c r="N68" i="2" s="1"/>
  <c r="Q64" i="2"/>
  <c r="M135" i="2"/>
  <c r="M68" i="2"/>
  <c r="L235" i="2"/>
  <c r="Q86" i="2"/>
  <c r="M41" i="2"/>
  <c r="M42" i="2" s="1"/>
  <c r="M51" i="2" s="1"/>
  <c r="N20" i="2"/>
  <c r="L228" i="2"/>
  <c r="N86" i="2"/>
  <c r="R220" i="2"/>
  <c r="L42" i="2"/>
  <c r="Q220" i="2"/>
  <c r="R115" i="2"/>
  <c r="R116" i="2" s="1"/>
  <c r="R120" i="2"/>
  <c r="R126" i="2" s="1"/>
  <c r="M220" i="2"/>
  <c r="P51" i="2"/>
  <c r="M126" i="2"/>
  <c r="M237" i="2"/>
  <c r="M235" i="2" s="1"/>
  <c r="N142" i="2"/>
  <c r="Q232" i="2"/>
  <c r="Q237" i="2"/>
  <c r="Q235" i="2" s="1"/>
  <c r="M230" i="2"/>
  <c r="N77" i="2"/>
  <c r="R93" i="2"/>
  <c r="R98" i="2" s="1"/>
  <c r="R106" i="2"/>
  <c r="R111" i="2" s="1"/>
  <c r="R180" i="2"/>
  <c r="R194" i="2" s="1"/>
  <c r="K228" i="2"/>
  <c r="N28" i="2"/>
  <c r="P114" i="2"/>
  <c r="P153" i="2" s="1"/>
  <c r="O114" i="2"/>
  <c r="O153" i="2" s="1"/>
  <c r="L114" i="2"/>
  <c r="L153" i="2" s="1"/>
  <c r="N180" i="2"/>
  <c r="N194" i="2" s="1"/>
  <c r="K180" i="2"/>
  <c r="P220" i="2"/>
  <c r="Q28" i="2"/>
  <c r="R29" i="2"/>
  <c r="R30" i="2" s="1"/>
  <c r="K42" i="2"/>
  <c r="K51" i="2" s="1"/>
  <c r="O42" i="2"/>
  <c r="O51" i="2" s="1"/>
  <c r="K114" i="2"/>
  <c r="K153" i="2" s="1"/>
  <c r="M111" i="2"/>
  <c r="M114" i="2" s="1"/>
  <c r="L180" i="2"/>
  <c r="K193" i="2"/>
  <c r="K220" i="2"/>
  <c r="R28" i="2"/>
  <c r="L193" i="2"/>
  <c r="L51" i="2"/>
  <c r="P180" i="2"/>
  <c r="P194" i="2" s="1"/>
  <c r="M165" i="2"/>
  <c r="M180" i="2" s="1"/>
  <c r="M194" i="2" s="1"/>
  <c r="R44" i="2"/>
  <c r="L202" i="2"/>
  <c r="L220" i="2" s="1"/>
  <c r="K237" i="2"/>
  <c r="K235" i="2" s="1"/>
  <c r="M142" i="2"/>
  <c r="M144" i="2"/>
  <c r="R20" i="2"/>
  <c r="N42" i="2" l="1"/>
  <c r="N51" i="2" s="1"/>
  <c r="R64" i="2"/>
  <c r="R230" i="2" s="1"/>
  <c r="Q230" i="2"/>
  <c r="L239" i="2"/>
  <c r="R86" i="2"/>
  <c r="N114" i="2"/>
  <c r="N153" i="2" s="1"/>
  <c r="N221" i="2" s="1"/>
  <c r="N222" i="2" s="1"/>
  <c r="R42" i="2"/>
  <c r="R51" i="2" s="1"/>
  <c r="Q42" i="2"/>
  <c r="Q51" i="2" s="1"/>
  <c r="O221" i="2"/>
  <c r="O222" i="2" s="1"/>
  <c r="R237" i="2"/>
  <c r="R235" i="2" s="1"/>
  <c r="M153" i="2"/>
  <c r="M221" i="2" s="1"/>
  <c r="M222" i="2" s="1"/>
  <c r="K239" i="2"/>
  <c r="L194" i="2"/>
  <c r="R232" i="2"/>
  <c r="M229" i="2"/>
  <c r="M228" i="2" s="1"/>
  <c r="M239" i="2" s="1"/>
  <c r="K194" i="2"/>
  <c r="K221" i="2" s="1"/>
  <c r="K222" i="2" s="1"/>
  <c r="K240" i="2" s="1"/>
  <c r="P221" i="2"/>
  <c r="P222" i="2" s="1"/>
  <c r="L221" i="2"/>
  <c r="L222" i="2" s="1"/>
  <c r="Q68" i="2"/>
  <c r="Q229" i="2"/>
  <c r="Q228" i="2" l="1"/>
  <c r="Q239" i="2" s="1"/>
  <c r="R68" i="2"/>
  <c r="L240" i="2"/>
  <c r="M240" i="2"/>
  <c r="Q114" i="2"/>
  <c r="Q153" i="2" s="1"/>
  <c r="Q221" i="2" s="1"/>
  <c r="Q222" i="2" s="1"/>
  <c r="Q240" i="2" s="1"/>
  <c r="R92" i="2"/>
  <c r="R114" i="2" s="1"/>
  <c r="R153" i="2" s="1"/>
  <c r="R221" i="2" s="1"/>
  <c r="R222" i="2" s="1"/>
  <c r="R229" i="2"/>
  <c r="R228" i="2" s="1"/>
  <c r="R239" i="2" s="1"/>
  <c r="R240" i="2" l="1"/>
  <c r="I138" i="3"/>
  <c r="H133" i="3"/>
  <c r="H134" i="3" s="1"/>
  <c r="J138" i="3"/>
  <c r="J137" i="3" l="1"/>
  <c r="J147" i="3" s="1"/>
  <c r="I137" i="3"/>
  <c r="I147" i="3" s="1"/>
</calcChain>
</file>

<file path=xl/comments1.xml><?xml version="1.0" encoding="utf-8"?>
<comments xmlns="http://schemas.openxmlformats.org/spreadsheetml/2006/main">
  <authors>
    <author>Snieguole Kacerauskaite</author>
    <author>Indre Buteniene</author>
  </authors>
  <commentList>
    <comment ref="L54" authorId="0" shapeId="0">
      <text>
        <r>
          <rPr>
            <b/>
            <sz val="9"/>
            <color indexed="81"/>
            <rFont val="Tahoma"/>
            <family val="2"/>
            <charset val="186"/>
          </rPr>
          <t>Bendra visų įstaigų SB suma pagal 2015-10-29sprendimą Nr. T2-265</t>
        </r>
        <r>
          <rPr>
            <sz val="9"/>
            <color indexed="81"/>
            <rFont val="Tahoma"/>
            <family val="2"/>
            <charset val="186"/>
          </rPr>
          <t xml:space="preserve">
</t>
        </r>
      </text>
    </comment>
    <comment ref="E123" authorId="1" shapeId="0">
      <text>
        <r>
          <rPr>
            <b/>
            <sz val="9"/>
            <color indexed="81"/>
            <rFont val="Tahoma"/>
            <family val="2"/>
            <charset val="186"/>
          </rPr>
          <t>Indre Buteniene:</t>
        </r>
        <r>
          <rPr>
            <sz val="9"/>
            <color indexed="81"/>
            <rFont val="Tahoma"/>
            <family val="2"/>
            <charset val="186"/>
          </rPr>
          <t xml:space="preserve">
Siūloma keisti technines sąlygas ir pirkti paslaugas</t>
        </r>
      </text>
    </comment>
  </commentList>
</comments>
</file>

<file path=xl/sharedStrings.xml><?xml version="1.0" encoding="utf-8"?>
<sst xmlns="http://schemas.openxmlformats.org/spreadsheetml/2006/main" count="2694" uniqueCount="1051">
  <si>
    <t xml:space="preserve">2016–2018 M. KLAIPĖDOS MIESTO SAVIVALDYBĖS  </t>
  </si>
  <si>
    <t>SOCIALINĖS ATSKIRTIES MAŽINIMO PROGRAMOS (NR. 12)</t>
  </si>
  <si>
    <t xml:space="preserve"> TIKSLŲ, UŽDAVINIŲ, PRIEMONIŲ, PRIEMONIŲ IŠLAIDŲ IR PRODUKTO KRITERIJŲ SUVESTINĖ</t>
  </si>
  <si>
    <t>tūkst. Eur</t>
  </si>
  <si>
    <t>Programos tikslo kodas</t>
  </si>
  <si>
    <t>Uždavinio kodas</t>
  </si>
  <si>
    <t>Priemonės kodas</t>
  </si>
  <si>
    <t>Pavadinimas</t>
  </si>
  <si>
    <t>Priemonės požymis</t>
  </si>
  <si>
    <r>
      <t xml:space="preserve">Funkcinės klasifikacijos kodas* </t>
    </r>
    <r>
      <rPr>
        <b/>
        <sz val="10"/>
        <rFont val="Times New Roman"/>
        <family val="1"/>
      </rPr>
      <t xml:space="preserve"> </t>
    </r>
  </si>
  <si>
    <t>Asignavimų valdytojo kodas</t>
  </si>
  <si>
    <t>Finansavimo šaltinis</t>
  </si>
  <si>
    <t>2016-ųjų metų asignavimų planas</t>
  </si>
  <si>
    <t>2017-ųjų metų lėšų projektas</t>
  </si>
  <si>
    <t>2018-ųjų metų lėšų projektas</t>
  </si>
  <si>
    <t>Produkto kriterijaus</t>
  </si>
  <si>
    <t>Planas</t>
  </si>
  <si>
    <t>2016-ieji metai</t>
  </si>
  <si>
    <t>2017-ieji metai</t>
  </si>
  <si>
    <t>2018-ieji metai</t>
  </si>
  <si>
    <t>03 Strateginis tikslas. Užtikrinti gyventojams aukštą švietimo, kultūros, socialinių, sporto ir sveikatos apsaugos paslaugų kokybę ir prieinamumą</t>
  </si>
  <si>
    <t>12 Socialinės atskirties mažinimo programa</t>
  </si>
  <si>
    <t>01</t>
  </si>
  <si>
    <t>Įgyvendinti socialinės paramos politiką siekiant sumažinti socialinę atskirtį Klaipėdos mieste</t>
  </si>
  <si>
    <t>Užtikrinti Lietuvos Respublikos įstatymais, Vyriausybės nutarimais ir kitais teisės aktais numatytų socialinių išmokų ir kompensacijų mokėjimą</t>
  </si>
  <si>
    <t>Socialinių paslaugų ir kitos socialinės paramos teikimas</t>
  </si>
  <si>
    <t>10</t>
  </si>
  <si>
    <t>3</t>
  </si>
  <si>
    <t>SB(VB)</t>
  </si>
  <si>
    <t>Vidutinis išmokamų kompensacijų nepriklausomybes gynejams skaičius per mėn.</t>
  </si>
  <si>
    <t xml:space="preserve">Piniginės socialinės paramos nepasiturinčioms šeimoms ir vieniems gyvenantiems asmenims bei paramos mirties atveju teikimas, išmokant pašalpas ir kompensacijas </t>
  </si>
  <si>
    <t>SB</t>
  </si>
  <si>
    <t>Vidutinškai per mėn. išmokamų laidojimo pašalpų skaičius</t>
  </si>
  <si>
    <t xml:space="preserve">Vidutinis išmokamų socialinių pašalpų skaičius per mėn. </t>
  </si>
  <si>
    <t>Vidutinis išmokamų kompensacijų skaičius per mėn.</t>
  </si>
  <si>
    <t xml:space="preserve">Vidutinis išmokamų kompensacijų kreditams ir kredito palūkanoms skaičius per mėn. </t>
  </si>
  <si>
    <t>Iš viso:</t>
  </si>
  <si>
    <t>Socialinės globos paslaugų teikimas asmenims su sunkia negalia</t>
  </si>
  <si>
    <t xml:space="preserve">Asmenų su sunkia negalia, kuriems teikiamos socialinės globos paslaugos, skaičius </t>
  </si>
  <si>
    <t>Pagalbos socialinės rizikos šeimoms teikimas</t>
  </si>
  <si>
    <t>Darbuotojų, dirbančių su socialinės rizikos šeimomis, skaičius</t>
  </si>
  <si>
    <t>Mokinių nemokamo maitinimo ir aprūpinimo mokinio reikmenimis organizavimas</t>
  </si>
  <si>
    <t>Nemokamą maitinimą gaunančių bei aprūpinamų mokinio reikmenimis mokinių skaičius</t>
  </si>
  <si>
    <t>2100</t>
  </si>
  <si>
    <t>1600</t>
  </si>
  <si>
    <t>Mokinių iš mažas pajamas gaunančių šeimų nemokamo maitinimo gamybos išlaidų padengimas</t>
  </si>
  <si>
    <r>
      <t>Projekto „</t>
    </r>
    <r>
      <rPr>
        <b/>
        <sz val="10"/>
        <rFont val="Times New Roman"/>
        <family val="1"/>
      </rPr>
      <t>Integralios socialinės globos paslaugų teikimas Klaipėdos mieste</t>
    </r>
    <r>
      <rPr>
        <sz val="10"/>
        <rFont val="Times New Roman"/>
        <family val="1"/>
      </rPr>
      <t xml:space="preserve">“ įgyvendinimas (dienos socialinės globos ir slaugos paslaugos į namus)                   </t>
    </r>
  </si>
  <si>
    <t>Asmenų su sunkia negalia, kuriems teikiamos socialinės globos paslaugos, skaičius, iš jų:</t>
  </si>
  <si>
    <t xml:space="preserve"> - BĮ Neįgaliųjų centre „Klaipėdos lakštutė“</t>
  </si>
  <si>
    <t>Iš viso priemonei:</t>
  </si>
  <si>
    <t>02</t>
  </si>
  <si>
    <t xml:space="preserve">Tikslinių kompensacijų ir išmokų skaičiavimas ir mokėjimas, siekiant neįgaliesiems kompensuoti specialiųjų poreikių tenkinimo išlaidas </t>
  </si>
  <si>
    <t>LRVB</t>
  </si>
  <si>
    <t>Išmokų gavėjų skaičius, žm.</t>
  </si>
  <si>
    <t>03</t>
  </si>
  <si>
    <t>Išmokų vaikams skaičiavimas ir mokėjimas</t>
  </si>
  <si>
    <t>04</t>
  </si>
  <si>
    <t>Vienkartinių išmokų socialiai pažeidžiamiems žmonėms išmokėjimas</t>
  </si>
  <si>
    <t xml:space="preserve">Vidutinis vienkartinių išmokų socialiai pažeidžiamiems asmenims skaičius per mėn. </t>
  </si>
  <si>
    <t>05</t>
  </si>
  <si>
    <t>Pagalbos šeimoms, globojančioms be tėvų globos likusius vaikus, teikimas (periodinė išmoka)</t>
  </si>
  <si>
    <t>Vidutinis naujai šeimoje paskirtų globėjų skaičius per mėn.</t>
  </si>
  <si>
    <t>Iš viso uždaviniui:</t>
  </si>
  <si>
    <t xml:space="preserve">Teikti visuomenės poreikius atitinkančias socialines paslaugas įvairioms gyventojų grupėms </t>
  </si>
  <si>
    <t>Socialinių paslaugų teikimas socialinėse įstaigose:</t>
  </si>
  <si>
    <t>Paslaugų gavėjų skaičius, iš jų:</t>
  </si>
  <si>
    <t>BĮ Klaipėdos miesto globos namuose;</t>
  </si>
  <si>
    <t>BĮ Klaipėdos miesto socialinės paramos centre;</t>
  </si>
  <si>
    <t>SB(SP)</t>
  </si>
  <si>
    <t>631</t>
  </si>
  <si>
    <t>BĮ Neįgaliųjų centre „Klaipėdos lakštutė“;</t>
  </si>
  <si>
    <t>Kt</t>
  </si>
  <si>
    <t>Išduota techninės pagalbos priemonių, vnt. / asm.</t>
  </si>
  <si>
    <t>1400/ 992</t>
  </si>
  <si>
    <t>BĮ Klaipėdos miesto šeimos ir vaiko gerovės centre, iš jų:</t>
  </si>
  <si>
    <t>450</t>
  </si>
  <si>
    <t xml:space="preserve"> - projekto „Kompleksinė pagalba Klaipėdos miesto socialinės grupės vaikams ir jaunimui“ įgyvendinimas;</t>
  </si>
  <si>
    <t>BĮ Klaipėdos miesto nakvynės namuose;</t>
  </si>
  <si>
    <t>BĮ Klaipėdos vaikų globos namuose „Smiltelė“;</t>
  </si>
  <si>
    <t>BĮ Klaipėdos socialinių paslaugų centre „Danė“;</t>
  </si>
  <si>
    <t>BĮ Klaipėdos vaikų globos namuose „Rytas“</t>
  </si>
  <si>
    <t>Socialinės globos paslaugų teikimas senyvo amžiaus asmenims ir asmenims su negalia ne savivaldybės institucijose</t>
  </si>
  <si>
    <t>Dienos socialinės globos, trumpalaikės socialinės globos ir socialinės priežiūros paslaugų teikimo organizavimas miesto gyventojams ne savivaldybės institucijose:</t>
  </si>
  <si>
    <t>Dienos socialinę globą per mėn. gaunančių asmenų skaičius</t>
  </si>
  <si>
    <t>Vidutiniškai per dieną maitinimo ir apnakvindinimo paslaugas gaunančių asmenų skaičius</t>
  </si>
  <si>
    <t>Asmenų, įrašytų į eilę pagalbos į namus paslaugoms gauti, skaičius</t>
  </si>
  <si>
    <t>40</t>
  </si>
  <si>
    <t>45</t>
  </si>
  <si>
    <t>Psichosocialinės pagalbos teikimas šeimoms, auginančioms vaiką su negalia ir patiriančioms krizes</t>
  </si>
  <si>
    <t>Socialinių projektų dalinis finansavimas:</t>
  </si>
  <si>
    <t>NVO projektų, gaunančių dalinį finansavimą iš savivaldybės biudžeto, skaičius</t>
  </si>
  <si>
    <t xml:space="preserve">Nevyriausybinių organizacijų socialinių projektų </t>
  </si>
  <si>
    <t xml:space="preserve">Nevyriausybinių organizacijų socialinių projektų, skirtų šeimoms, turinčioms socialinių problemų, stiprinimui, </t>
  </si>
  <si>
    <t xml:space="preserve">Socialinės reabilitacijos paslaugų neįgaliesiems bendruomenėje projektų </t>
  </si>
  <si>
    <t>Būsto pritaikymas neįgaliesiems</t>
  </si>
  <si>
    <t>6</t>
  </si>
  <si>
    <t>Pritaikyta butų neįgaliesiems, skaičius</t>
  </si>
  <si>
    <t>06</t>
  </si>
  <si>
    <r>
      <rPr>
        <b/>
        <sz val="10"/>
        <rFont val="Times New Roman"/>
        <family val="1"/>
        <charset val="186"/>
      </rPr>
      <t>Vietos bendruomenių savivaldos 2016 m. programos</t>
    </r>
    <r>
      <rPr>
        <sz val="10"/>
        <rFont val="Times New Roman"/>
        <family val="1"/>
        <charset val="186"/>
      </rPr>
      <t xml:space="preserve"> įgyvendinimas </t>
    </r>
  </si>
  <si>
    <t>Finansuotų projektų skaičius</t>
  </si>
  <si>
    <t>07</t>
  </si>
  <si>
    <t>Senyvo amžiaus asmenų globos paslaugų plėtra</t>
  </si>
  <si>
    <t>Parengtas techninis projektas</t>
  </si>
  <si>
    <t>ES</t>
  </si>
  <si>
    <t>Atlikta statybos darbų, proc.</t>
  </si>
  <si>
    <t>Plėtoti socialinių paslaugų infrastruktūrą, įrengiant  naujus ir modernizuojant esamus socialines paslaugas teikiančių įstaigų pastatus</t>
  </si>
  <si>
    <t>Teikiamų socialinių paslaugų infrastruktūros tobulinimas siekiant atitikti keliamus reikalavimus:</t>
  </si>
  <si>
    <t>Parengtas techninis projektas, vnt.</t>
  </si>
  <si>
    <t>Atlikta remonto darbų, proc</t>
  </si>
  <si>
    <t>BĮ Neįgaliųjų centro „Klaipėdos lakštutė“ (Lakštučių g. 6) rūsio  remontas</t>
  </si>
  <si>
    <t>Atlikti darbai, proc.</t>
  </si>
  <si>
    <t>Pakeisti stoglangiai, vnt.</t>
  </si>
  <si>
    <t>Patalpų pritaikymas BĮ Klaipėdos miesto šeimos ir vaiko gerovės centro veiklai patalpose Debreceno g. 48</t>
  </si>
  <si>
    <t>Pritaikytos patalpos, proc.</t>
  </si>
  <si>
    <t>BĮ Klaipėdos miesto socialinės paramos centro pastato (Taikos pr.76) remonto darbai</t>
  </si>
  <si>
    <t>I</t>
  </si>
  <si>
    <t xml:space="preserve">Parengtas investicijų projektas
</t>
  </si>
  <si>
    <t>Atlikta darbų, proc.</t>
  </si>
  <si>
    <t>Parengtas investicijų projektas</t>
  </si>
  <si>
    <t xml:space="preserve">Užtikrinti Klaipėdos miesto socialinio būsto fondo plėtrą ir valstybės politikos, padedančios apsirūpinti būstu, įgyvendinimą </t>
  </si>
  <si>
    <t>Socialinio būsto fondo plėtra:</t>
  </si>
  <si>
    <t>Savivaldybės socialinio būsto fondo gyvenamojo namo statyba žemės sklypuose Irklų g. 1 ir Rambyno g. 14</t>
  </si>
  <si>
    <t>Įgyvendintas projektas, proc.</t>
  </si>
  <si>
    <t>Savivaldybės gyvenamųjų patalpų  tinkamos fizinės būklės užtikrinimas ir nuomos administravimas:</t>
  </si>
  <si>
    <t xml:space="preserve">Savivaldybės gyvenamųjų patalpų techninės būklės vertinimas ir remontas </t>
  </si>
  <si>
    <t>P1.3.5.3</t>
  </si>
  <si>
    <t>Suremontuotų butų skaičius</t>
  </si>
  <si>
    <t xml:space="preserve">Apmokėjimas savivaldybei tenkančia dalimi už daugiabučių namų bendrosios  nuosavybės objektų atnaujinimą ir renovaciją bei lėšų kaupimą </t>
  </si>
  <si>
    <t>Rezervo naudojimas nenumatytiems darbams apmokėti ir avarinėms situacijoms likviduoti</t>
  </si>
  <si>
    <t>Savivaldybės gyvenamųjų patalpų nuomos administravimas</t>
  </si>
  <si>
    <t xml:space="preserve">Surinkta  nuomos mokesčio  proc. nuo priskaičiuoto </t>
  </si>
  <si>
    <t>Savininkams grąžintų nuomotų patalpų vertės įskaičiavimas į nuompinigius</t>
  </si>
  <si>
    <t>Apmokėjimas už daugiabučių namų bendrųjų objektų administravimą ir nuolatinę techninę priežiūrą</t>
  </si>
  <si>
    <t>Užtikrintas privalomojo gyvenamųjų namų naudojimo ir priežiūros reikalavimų įgyvendinimas, proc.</t>
  </si>
  <si>
    <t xml:space="preserve">Politinių kalinių ir tremtinių bei jų šeimų narių sugrįžimo į Lietuvą programos įgyvendinimas: </t>
  </si>
  <si>
    <t xml:space="preserve">Butų pirkimas politinių kalinių ir tremtiniams bei jų šeimų nariams </t>
  </si>
  <si>
    <t>1</t>
  </si>
  <si>
    <t>Iš viso tikslui:</t>
  </si>
  <si>
    <t>12</t>
  </si>
  <si>
    <t xml:space="preserve">Iš viso programai: </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</si>
  <si>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įsakymas Nr. 1K-085)</t>
  </si>
  <si>
    <t>Finansavimo šaltinių suvestinė</t>
  </si>
  <si>
    <t>Finansavimo šaltiniai</t>
  </si>
  <si>
    <t>2016 m. asignavimų planas</t>
  </si>
  <si>
    <t>SAVIVALDYBĖS  LĖŠOS, IŠ VISO:</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</si>
  <si>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</si>
  <si>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</si>
  <si>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Valstybės biudžeto specialiosios tikslinės dotacijos lėšos </t>
    </r>
    <r>
      <rPr>
        <b/>
        <sz val="10"/>
        <rFont val="Times New Roman"/>
        <family val="1"/>
        <charset val="186"/>
      </rPr>
      <t>SB(VB)</t>
    </r>
  </si>
  <si>
    <t>KITI ŠALTINIAI, IŠ VISO:</t>
  </si>
  <si>
    <r>
      <t xml:space="preserve">Europos Sąjungos paramos lėšos </t>
    </r>
    <r>
      <rPr>
        <b/>
        <sz val="10"/>
        <rFont val="Times New Roman"/>
        <family val="1"/>
      </rPr>
      <t>ES</t>
    </r>
  </si>
  <si>
    <r>
      <t xml:space="preserve">Valstybės biudžeto lėšos </t>
    </r>
    <r>
      <rPr>
        <b/>
        <sz val="10"/>
        <rFont val="Times New Roman"/>
        <family val="1"/>
      </rPr>
      <t>LRVB</t>
    </r>
  </si>
  <si>
    <r>
      <t xml:space="preserve">Kiti finansavimo šaltiniai </t>
    </r>
    <r>
      <rPr>
        <b/>
        <sz val="10"/>
        <rFont val="Times New Roman"/>
        <family val="1"/>
      </rPr>
      <t>Kt</t>
    </r>
  </si>
  <si>
    <t>IŠ VISO:</t>
  </si>
  <si>
    <t>Eur</t>
  </si>
  <si>
    <t>Vykdytojas (skyrius / asmuo)</t>
  </si>
  <si>
    <t>2015 m. patvirtintas asignavimų planas**</t>
  </si>
  <si>
    <t>2015 m. asignavimų plano pakeitimas***</t>
  </si>
  <si>
    <t>Iš viso</t>
  </si>
  <si>
    <t>Išlaidoms</t>
  </si>
  <si>
    <t>Turtui įsigyti ir finansiniams įsipareigojimams vykdyti</t>
  </si>
  <si>
    <t>Iš jų darbo užmokesčiui</t>
  </si>
  <si>
    <t>Socialinės paramos skyrius</t>
  </si>
  <si>
    <t xml:space="preserve"> Socialinės paramos skyrius</t>
  </si>
  <si>
    <t>Asmenų su sunkia negalia, kuriems teikiamos socialinės globos paslaugos, skaičius (perkamos paslaugos)</t>
  </si>
  <si>
    <t>Asmenų su sunkia negalia, kuriems teikiamos socialinės globos paslaugos, skaičius („Klaipėdos lakštutė“)</t>
  </si>
  <si>
    <t>Asmenų su sunkia negalia, kuriems teikiamos socialinės globos paslaugos, skaičius (SPC)</t>
  </si>
  <si>
    <t>Asmenų su sunkia negalia, kuriems teikiamos socialinės globos paslaugos, skaičius (Globos namai)</t>
  </si>
  <si>
    <t>Asmenų su sunkia negalia, kuriems teikiamos socialinės globos paslaugos, skaičius (Senyvo amžiaus asmenų dienos socialinės globos centre „Danė“)</t>
  </si>
  <si>
    <t>Asmenų su sunkia negalia, kuriems teikiamos socialinės globos paslaugos, skaičius (Suaugusių asmenų su psichine negalia dienos socialinės globos centre „Danė“)</t>
  </si>
  <si>
    <t>Kūdikių su sunkia negalia, gaunančių „atokvėpio“ paslaugą, skaičius (Sutrikusio vystymosi kūdikių namai)</t>
  </si>
  <si>
    <t>BĮ Neįgaliųjų centre „Klaipėdos lakštutė“</t>
  </si>
  <si>
    <t>Slaugytojų padėjėjų 3 mėn. DUF, etatų sk.</t>
  </si>
  <si>
    <t>(BĮ Klaipėdos miesto socialines paramos centre</t>
  </si>
  <si>
    <t>BĮ Klaipėdos miesto globos namuose</t>
  </si>
  <si>
    <t>Vietų skaičius įstaigoje</t>
  </si>
  <si>
    <t>Darbuotojų skaičius įstaigoje</t>
  </si>
  <si>
    <t>SB(L)</t>
  </si>
  <si>
    <t>Įsigyta skalbimo mašina</t>
  </si>
  <si>
    <t>SB(SPL)</t>
  </si>
  <si>
    <t>BĮ Klaipėdos miesto socialinės paramos centre</t>
  </si>
  <si>
    <t>300/55</t>
  </si>
  <si>
    <t>325/55</t>
  </si>
  <si>
    <t>Įsigyta kompiuterinės įrangos, vnt.</t>
  </si>
  <si>
    <t>Suteikta transporto paslaugų, asmenų skaičius</t>
  </si>
  <si>
    <t>70/35</t>
  </si>
  <si>
    <t>Priežiūrą namuose gaunančių asmenų skaičius</t>
  </si>
  <si>
    <t>37</t>
  </si>
  <si>
    <t>Pakeista terasa, kv m</t>
  </si>
  <si>
    <t>Kondensacinio katilo įsigyjimas, vnt</t>
  </si>
  <si>
    <t>Terasos stoginės įrengimas, kv m</t>
  </si>
  <si>
    <t>Įsigyta kompiuterių, vnt.</t>
  </si>
  <si>
    <t xml:space="preserve">Įsigytas multimedia projektorius </t>
  </si>
  <si>
    <t xml:space="preserve">Įsigyta greitaeigė indaplovė </t>
  </si>
  <si>
    <t xml:space="preserve">Darbo vietų įrengimas Debreceno g. 48 , vnt. </t>
  </si>
  <si>
    <t>Darbuotojų, teikiančių prevencines paslaugas šeimoms, patiriančioms rizikas, sk. (2 soc. darbuotojai, 1 psichologas)</t>
  </si>
  <si>
    <t>Intensyvios krizių įveikimo pagalbos paslaugai gauti vaikų vietų skaičius</t>
  </si>
  <si>
    <t>Trumpalaikė socialinė globa moterims ir motinoms su vaikais, nukentėjusiems nuo smurto šeimoje ar prekybos žmonėmis, vietų skaičius</t>
  </si>
  <si>
    <t>Trumpalaikės socialinės globos paslaugai gauti vaikų vietų skaičius</t>
  </si>
  <si>
    <t>Socialinių įgūdžių ugdymo ir palaikymo paslaugos socialinės  rizikos vaikų ir socialinės rizikos  šeimų vaikams (dienos centre) vietų skaičius</t>
  </si>
  <si>
    <t xml:space="preserve"> - projekto „Kompleksinė pagalba Klaipėdos miesto socialinės grupės vaikams ir jaunimui“ įgyvendinimas</t>
  </si>
  <si>
    <t>BĮ Klaipėdos miesto nakvynės namuose</t>
  </si>
  <si>
    <t>Socialinės rizikos asmenų, kuriems suteiktos trumpalaikės socialinės globos paslaugos/ laikino apnakvindinimo paslaugos per metus, skaičius</t>
  </si>
  <si>
    <t>275/ 340</t>
  </si>
  <si>
    <t>74</t>
  </si>
  <si>
    <t>Įsigytas automobilis, vnt</t>
  </si>
  <si>
    <t>BĮ Klaipėdos vaikų globos namuose „Smiltelė“</t>
  </si>
  <si>
    <t>Socialinę globą teikiančių darbuotojų dalis bendroje vaikų globos namų  personalo struktūroje</t>
  </si>
  <si>
    <t>BĮ Klaipėdos socialinių paslaugų centre „Danė“</t>
  </si>
  <si>
    <t>Planinis vietų skaičius įstaigoje</t>
  </si>
  <si>
    <t xml:space="preserve">Paslaugos gavėjų skaičius suaugusių asmenų su psichine negalia dienos socialinės globos centre </t>
  </si>
  <si>
    <t>Paslaugos gavėjų skaičius senyvo amžiaus asmenų dienos socialinės globos centre</t>
  </si>
  <si>
    <t>08</t>
  </si>
  <si>
    <t>Suorganizuotas renginys – sporto šventė „Gatvės krepšinio 3x3 turnyras“</t>
  </si>
  <si>
    <t>Jaunuolių, kuriems teikamos „Apsaugoto būsto“ paslaugos, sk.</t>
  </si>
  <si>
    <t>09</t>
  </si>
  <si>
    <t>Biudžetinių įstaigų patalpų būklės gerinimas</t>
  </si>
  <si>
    <t xml:space="preserve"> Socislinės paramos skyrius</t>
  </si>
  <si>
    <t>Dienos socialinės globos paslaugų teikimas asmenims su psichine negalia dienos socialinės globos centre</t>
  </si>
  <si>
    <t>Dienos socialinę globą per mėn. gaunančių asmenų  su psichine negalia skaičius dienos socialinės globos centre</t>
  </si>
  <si>
    <t>Dienos socialinės globos paslaugų teikimas vaikams su negalia dienos socialinės globos centre</t>
  </si>
  <si>
    <t>Dienos socialinę globą per mėn. gaunančių vaikų su negalia skaičius dienos socialinės globos centre</t>
  </si>
  <si>
    <t>Dienos socialinės priežiūros paslauga vaikams iš socialinės rizikos šeimų vaikų dienos centruose</t>
  </si>
  <si>
    <t>Vidutiniškai per mėn. paslaugas gaunančių socialinės rizikos ir rizikos šeimų vaikų skaičius Dienos centre</t>
  </si>
  <si>
    <t>Pagalbos į namus paslaugos teikimas senyvo amžiaus asmenims ir suaugusiems asmenims su negalia</t>
  </si>
  <si>
    <t xml:space="preserve">Nemokamo maitinimo organizavimas labdaros valgykloje Klaipėdos mieste gyvenantiems asmenims, nepajėgiantiems maitintis savo namuose </t>
  </si>
  <si>
    <t>Vidutiniškai per dieną maitinimo paslaugas gaunančių asmenų skaičius</t>
  </si>
  <si>
    <t xml:space="preserve">Laikinai benamių asmenų, piktnaudžiaujančių alkoholiu ir psichotropinėmis medžiagomis, apgyvendinamas, esant krizinei situacijai  </t>
  </si>
  <si>
    <t>Vidutiniškai per dieną apnakvindinimo paslaugas gaunančių asmenų skaičius</t>
  </si>
  <si>
    <t>Atlikta kompleksinė viešųjų ryšių metodų analizė ir įgyvendinta įvaikinimo skatinimo informacinė kampanija</t>
  </si>
  <si>
    <t>Vidutinis šeimų, auginančių vaiką su negalia ir patiriančių krizes, skaičius per mėn., kurioms reikalingos psichosocialinės paslaugos</t>
  </si>
  <si>
    <t>Nevyriausybinių organizacijų socialinių projektų dalinis finansavimas</t>
  </si>
  <si>
    <t>Nevyriausybinių organizacijų socialinių projektų, skirtų šeimoms, turinčioms socialinių problemų, stiprinimui, dalinis finansavimas</t>
  </si>
  <si>
    <t>Nevyriausybinių organizacijų socialinių projektų, skirtų šeimoms, turinčioms socialinių problemų, stiprinimui, skaicius</t>
  </si>
  <si>
    <t>Iš dalies finansuotų projektų skaičius</t>
  </si>
  <si>
    <t>20</t>
  </si>
  <si>
    <t>Socialinės infrastruktūros poskyris</t>
  </si>
  <si>
    <t xml:space="preserve">Keltuvų, kuriems reikia eksploatavimo ir priežiūros, skaičius </t>
  </si>
  <si>
    <t>IED Projektų skyrius</t>
  </si>
  <si>
    <r>
      <t xml:space="preserve">Projekto </t>
    </r>
    <r>
      <rPr>
        <b/>
        <sz val="10"/>
        <rFont val="Times New Roman"/>
        <family val="1"/>
      </rPr>
      <t>„Ilgalaikės socialinės globos paslaugų infrastruktūros plėtra Klaipėdos mieste“</t>
    </r>
    <r>
      <rPr>
        <sz val="10"/>
        <rFont val="Times New Roman"/>
        <family val="1"/>
      </rPr>
      <t xml:space="preserve"> įgyvendinimas</t>
    </r>
  </si>
  <si>
    <t>Socialinės paramos skyrius, LSIŽG bendrija  ,,Klaipėdos viltis"</t>
  </si>
  <si>
    <t xml:space="preserve">Senjorų metų paminėjimas Klaipėdoje </t>
  </si>
  <si>
    <t>Socialinės infrastruktūros priežiūros sk.</t>
  </si>
  <si>
    <r>
      <rPr>
        <b/>
        <sz val="10"/>
        <rFont val="Times New Roman"/>
        <family val="1"/>
      </rPr>
      <t xml:space="preserve">Pastato adresu Kretingos g. 44, Klaipėda, I–IV aukštų rekonstrukcija, pritaikant Klaipėdos vaikų globos namams „Danė" </t>
    </r>
    <r>
      <rPr>
        <sz val="10"/>
        <rFont val="Times New Roman"/>
        <family val="1"/>
      </rPr>
      <t>(energiją taupančių priemonių, vykdant projektą „Energetikos efektyvumo didinimas Klaipėdos vaikų globos namuose „Danė“ (II etapas), įgyvendinimas ir kitų rekonstrukcijos darbų atlikimas)</t>
    </r>
  </si>
  <si>
    <t>BĮ Neįgaliųjų centro „Klaipėdos lakštutė“ (Suaugusių asmenų su protine negalia dienos socialinės globos centras, Panevėžio g. 2) tvoros įrengimas</t>
  </si>
  <si>
    <t>Socialinės infrastruktūros priežiūros skyrius</t>
  </si>
  <si>
    <t>Nestacionarių socialinių paslaugų infrastruktūros plėtros projektų įgyvendinimas:</t>
  </si>
  <si>
    <r>
      <t xml:space="preserve">Projekto </t>
    </r>
    <r>
      <rPr>
        <b/>
        <sz val="10"/>
        <rFont val="Times New Roman"/>
        <family val="1"/>
        <charset val="186"/>
      </rPr>
      <t>„Senyvo amžiaus asmenų dienos socialinės globos centras (Kretingos g. 44)“</t>
    </r>
    <r>
      <rPr>
        <sz val="10"/>
        <rFont val="Times New Roman"/>
        <family val="1"/>
        <charset val="186"/>
      </rPr>
      <t xml:space="preserve"> įgyvendinimas</t>
    </r>
  </si>
  <si>
    <t xml:space="preserve">I   </t>
  </si>
  <si>
    <t>Projektų skyrius</t>
  </si>
  <si>
    <t>SB(P)</t>
  </si>
  <si>
    <r>
      <t>Projekto</t>
    </r>
    <r>
      <rPr>
        <b/>
        <sz val="10"/>
        <rFont val="Times New Roman"/>
        <family val="1"/>
        <charset val="186"/>
      </rPr>
      <t xml:space="preserve"> „Suaugusių asmenų su psichine negalia dienos socialinės globos centras (Kretingos g. 44)“</t>
    </r>
    <r>
      <rPr>
        <sz val="10"/>
        <rFont val="Times New Roman"/>
        <family val="1"/>
        <charset val="186"/>
      </rPr>
      <t xml:space="preserve"> įgyvendinimas</t>
    </r>
  </si>
  <si>
    <r>
      <t xml:space="preserve">Projekto </t>
    </r>
    <r>
      <rPr>
        <b/>
        <sz val="10"/>
        <rFont val="Times New Roman"/>
        <family val="1"/>
        <charset val="186"/>
      </rPr>
      <t>„Suaugusių asmenų su proto negalia dienos socialinės globos centras (2 spec. mokykla, III a.)“</t>
    </r>
    <r>
      <rPr>
        <sz val="10"/>
        <rFont val="Times New Roman"/>
        <family val="1"/>
        <charset val="186"/>
      </rPr>
      <t xml:space="preserve"> įgyvendinimas</t>
    </r>
  </si>
  <si>
    <t>Socialinių butų pirkimas</t>
  </si>
  <si>
    <t>Turto skyrius</t>
  </si>
  <si>
    <t>Socialinio būsto skyrius</t>
  </si>
  <si>
    <t xml:space="preserve">Laikinai neišnuomotų gyvenamųjų patalpų priežiūra </t>
  </si>
  <si>
    <t>** pagal Klaipėdos miesto savivaldybės tarybos 2015 m. vasario 19 d. sprendimą Nr. T2-12</t>
  </si>
  <si>
    <t>Lėšų poreikis  2016 m.</t>
  </si>
  <si>
    <t>2017 m. projektas</t>
  </si>
  <si>
    <t>2018 m. projektas</t>
  </si>
  <si>
    <r>
      <t xml:space="preserve">Pajamos už atsitiktines paslaugas likutis </t>
    </r>
    <r>
      <rPr>
        <b/>
        <sz val="10"/>
        <rFont val="Times New Roman"/>
        <family val="1"/>
        <charset val="186"/>
      </rPr>
      <t>SB(SPL)</t>
    </r>
  </si>
  <si>
    <r>
      <t>Paskolos lėšos</t>
    </r>
    <r>
      <rPr>
        <sz val="10"/>
        <rFont val="Times New Roman"/>
        <family val="1"/>
        <charset val="186"/>
      </rPr>
      <t xml:space="preserve"> </t>
    </r>
    <r>
      <rPr>
        <b/>
        <sz val="10"/>
        <rFont val="Times New Roman"/>
        <family val="1"/>
        <charset val="186"/>
      </rPr>
      <t>SB(P)</t>
    </r>
  </si>
  <si>
    <r>
      <t xml:space="preserve">Programų lėšų likučių laikinai laisvos lėšos </t>
    </r>
    <r>
      <rPr>
        <b/>
        <sz val="10"/>
        <rFont val="Times New Roman"/>
        <family val="1"/>
        <charset val="186"/>
      </rPr>
      <t xml:space="preserve">SB(L) </t>
    </r>
  </si>
  <si>
    <t xml:space="preserve"> Socialinės paramos sk.</t>
  </si>
  <si>
    <t>Butų, pritaikytų neįgaliesiems su judėjimo sutrikimu, skaičius</t>
  </si>
  <si>
    <t>Sutrumpėjęs nuomininkų pasirinktos garantijos įvykdymo terminas, mėn.</t>
  </si>
  <si>
    <t>Vidutiniškai per mėn. išmokamų laidojimo pašalpų skaičius</t>
  </si>
  <si>
    <t>Vidutinis išmokamų kompensacijų nepriklausomybės gynėjams skaičius per mėn.</t>
  </si>
  <si>
    <t xml:space="preserve"> - BĮ Klaipėdos miesto socialinės paramos centre</t>
  </si>
  <si>
    <t>Savarankiško gyvenimo namų steigimas socialinės rizikos asmenims</t>
  </si>
  <si>
    <t>Būsto nuomos ar išperkamosios būsto nuomos mokesčių dalies kompensaciją gavusių asmenų skaičius</t>
  </si>
  <si>
    <t>Nemokamą maitinimą gaunančių mokinių skaičius</t>
  </si>
  <si>
    <t>Nestacionarių socialinių paslaugų gavėjai, skaičius</t>
  </si>
  <si>
    <t>Stacionarių socialinių paslaugų gavėjai, skaičius</t>
  </si>
  <si>
    <t>Atliktas ilgalaikio turto remontas socialinėse biudžetinėse įstaigose, įstaigų skaičius</t>
  </si>
  <si>
    <t>Senyvo amžiaus asmenų bei asmenų su negalia, apgyvendintų globos institucijose per metus, skaičius</t>
  </si>
  <si>
    <t>Įsigyta keltuvų, skirtų neįgaliems asmenims su ryškiu judėjimo sutrikimu, skaičius</t>
  </si>
  <si>
    <t>Daugiabučių namų, kuriuose vykdomi atnaujinimo darbai, skaičius</t>
  </si>
  <si>
    <t>Savivaldybės butų, kuriuose pašalintos avarijų grėsmės ar padariniai, skaičius</t>
  </si>
  <si>
    <t>Nupirktų butų skaičius</t>
  </si>
  <si>
    <t>Paramą rūbais, avalyne gaunančių asmenų skaičius per mėn.</t>
  </si>
  <si>
    <t>Organizuota tėvystės įgūdžių formavimo ir globėjų (rūpintojų), įtėvių užsiėmimų kursų</t>
  </si>
  <si>
    <t>Efektyvių globos ir įvaikinimo populiarinimo, globėjų, įtėvių paieškos formų įgyvendinimas</t>
  </si>
  <si>
    <t>Nemokamo maitinimo organizavimas labdaros valgykloje Klaipėdos mieste gyvenantiems asmenims, nepajėgiantiems maitintis savo namuose</t>
  </si>
  <si>
    <t>Laikinai benamių asmenų, piktnaudžiaujančių alkoholiu ir psichotropinėmis medžiagomis, apgyvendinamas, esant krizinei situacijai</t>
  </si>
  <si>
    <t>Nakvynės namų pastato (Viršutinė g. 21) techninio projekto parengimas ir remontas</t>
  </si>
  <si>
    <r>
      <t>BĮ Klaipėdos miesto globos namų pastato</t>
    </r>
    <r>
      <rPr>
        <sz val="10"/>
        <rFont val="Times New Roman"/>
        <family val="1"/>
        <charset val="186"/>
      </rPr>
      <t xml:space="preserve"> (Žalgirio g. 3A) </t>
    </r>
    <r>
      <rPr>
        <sz val="10"/>
        <rFont val="Times New Roman"/>
        <family val="1"/>
      </rPr>
      <t xml:space="preserve">konstrukcijos pažeidimų pašalinimas </t>
    </r>
  </si>
  <si>
    <t>Sutvarkytas fasadas, kv. m</t>
  </si>
  <si>
    <t>Atlikta remonto darbų, proc.</t>
  </si>
  <si>
    <t>Būsto nuomos ar išperkamosios būsto nuomos mokesčių dalies kompensacija gavusių asmenų skaičius</t>
  </si>
  <si>
    <t>Slaugytojų padėjėjų 3 mėn. DUF, etatų skaičius</t>
  </si>
  <si>
    <t>Įsigyta funkcinių lovų, skaičius</t>
  </si>
  <si>
    <t>Senyvo amžiaus asmenims ir suaugusiems asmenims su negalia asmens namuose teikiamos paslaugos (pagalba į namus; dienos socialine globa asmens namuose)/asmenų skaičius</t>
  </si>
  <si>
    <t>Dienos socialinės globos paslaugas  įstaigoje/asmens namuose gaunančių asmenų skaičius</t>
  </si>
  <si>
    <t>Vietų skaičius įstagoje</t>
  </si>
  <si>
    <t>Įsigytas kompiuteris ir programinė įranga</t>
  </si>
  <si>
    <t>San. mazgo patalpų remontas Viršutinė g. 21, skaičius</t>
  </si>
  <si>
    <t>Butų, pritaikytų neįgaliesiems, skaičius</t>
  </si>
  <si>
    <t>Laikino apnakvindinimo,  apgyvendinimo  namų infrastruktūros modernizavimas (Šilutės pl. 8, nakvynės namai)</t>
  </si>
  <si>
    <t>Aiškinamojo rašto priedas Nr.3</t>
  </si>
  <si>
    <t xml:space="preserve"> TIKSLŲ, UŽDAVINIŲ, PRIEMONIŲ, PRIEMONIŲ IŠLAIDŲ IR PRODUKTO KRITERIJŲ DETALI SUVESTINĖ</t>
  </si>
  <si>
    <t>Socialinės srities renginių organizavimas</t>
  </si>
  <si>
    <t>Suorganizuota renginių, skaičius</t>
  </si>
  <si>
    <t>2</t>
  </si>
  <si>
    <t>*** pagal Klaipėdos miesto savivaldybės tarybos 2015 m. lapkričio 26 d. sprendimą Nr. T2-.322</t>
  </si>
  <si>
    <r>
      <t>Ne savivaldybės įsteigtų įstaigų, teikiančių ilgalaikės socialinės globos paslaugas senyvo amžiaus asmenims</t>
    </r>
    <r>
      <rPr>
        <sz val="10"/>
        <rFont val="Times New Roman"/>
        <family val="1"/>
        <charset val="186"/>
      </rPr>
      <t xml:space="preserve"> ir neįgaliems asmenims bei dienos socialinę globą neįgaliems asmenims institucijoje,</t>
    </r>
    <r>
      <rPr>
        <sz val="10"/>
        <rFont val="Times New Roman"/>
        <family val="1"/>
      </rPr>
      <t xml:space="preserve"> projektų, skirtų socialinių paslaugų infrastruktūrai gerinti</t>
    </r>
  </si>
  <si>
    <t>Lyginamasis variantas</t>
  </si>
  <si>
    <t>Suorganizuota renginių</t>
  </si>
  <si>
    <t>Siūlomas keisti 2016-ųjų m. asignavimų planas</t>
  </si>
  <si>
    <t>Skirtumas</t>
  </si>
  <si>
    <t>Siūlomas keisti asignavimų planas</t>
  </si>
  <si>
    <t>1.3.1.5</t>
  </si>
  <si>
    <t>1.3.2.1</t>
  </si>
  <si>
    <t>1.3.2.2</t>
  </si>
  <si>
    <t>1.3.2.5</t>
  </si>
  <si>
    <t>1.3.3.1</t>
  </si>
  <si>
    <t>1.3.5.3</t>
  </si>
  <si>
    <t>1.3.1.4, 1.3.2.3</t>
  </si>
  <si>
    <t xml:space="preserve"> 1.3.2.3, 1.3.3.3</t>
  </si>
  <si>
    <t xml:space="preserve"> 1.3.3.2, 1.3.3.3, 1.3.3.5</t>
  </si>
  <si>
    <t>1.3.1.2, 1.3.1.3, 1.3.2.1,  1.3.2.3, 1.3.3.1, 1.3.3.2, 1.3.3.6</t>
  </si>
  <si>
    <t>1.3.3.6</t>
  </si>
  <si>
    <t>1.3.3.8</t>
  </si>
  <si>
    <t>1.3.3.1, 1.3.4.3</t>
  </si>
  <si>
    <t>1.3.2.3, 1.3.3.3</t>
  </si>
  <si>
    <t>1.3.5.2</t>
  </si>
  <si>
    <t>PAAIŠKINIMAI</t>
  </si>
  <si>
    <t>Būsto įsigijimas bendruomeniniams vaikų globos namams</t>
  </si>
  <si>
    <t>Ne savivaldybės įsteigtų įstaigų, teikiančių ilgalaikės socialinės globos paslaugas senyvo amžiaus ir neįgaliems asmenims bei dienos socialinę globą neįgaliems asmenims institucijoje, projektų, skirtų socialinių paslaugų infrastruktūrai gerinti</t>
  </si>
  <si>
    <t>Įsigyta būstų, vnt.</t>
  </si>
  <si>
    <t>Apgyvendinta vaikų, asm.</t>
  </si>
  <si>
    <t>Liftų keitimas BĮ Klaipėdos miesto globos namų pastate (Žalgirio g. 3A)</t>
  </si>
  <si>
    <t xml:space="preserve">Parengta paraiška, vnt. </t>
  </si>
  <si>
    <t>Paslaugų gavėjų skaičius</t>
  </si>
  <si>
    <t>SB(ES)</t>
  </si>
  <si>
    <r>
      <t>Europos Sąjungos paramos lėšos (dotacija)</t>
    </r>
    <r>
      <rPr>
        <b/>
        <sz val="10"/>
        <rFont val="Times New Roman"/>
        <family val="1"/>
        <charset val="186"/>
      </rPr>
      <t xml:space="preserve"> SB(ES)</t>
    </r>
  </si>
  <si>
    <t>1515/ 1037</t>
  </si>
  <si>
    <t>Projekto „Kompleksinės paslaugos šeimai Klaipėdos mieste“ įgyvendinimas</t>
  </si>
  <si>
    <t>Pakeistas liftų, vnt.</t>
  </si>
  <si>
    <t xml:space="preserve">BĮ Klaipėdos miesto globos namų pastato (Žalgirio g. 3A) konstrukcijos pažeidimų pašalinimas </t>
  </si>
  <si>
    <r>
      <t xml:space="preserve">07 </t>
    </r>
    <r>
      <rPr>
        <b/>
        <strike/>
        <sz val="10"/>
        <color rgb="FFFF0000"/>
        <rFont val="Times New Roman"/>
        <family val="1"/>
      </rPr>
      <t>08</t>
    </r>
  </si>
  <si>
    <r>
      <rPr>
        <sz val="10"/>
        <rFont val="Times New Roman"/>
        <family val="1"/>
        <charset val="186"/>
      </rPr>
      <t xml:space="preserve">Projekto </t>
    </r>
    <r>
      <rPr>
        <b/>
        <sz val="10"/>
        <rFont val="Times New Roman"/>
        <family val="1"/>
        <charset val="186"/>
      </rPr>
      <t>„Kompleksinės paslaugos šeimai Klaipėdos mieste“</t>
    </r>
    <r>
      <rPr>
        <sz val="10"/>
        <rFont val="Times New Roman"/>
        <family val="1"/>
        <charset val="186"/>
      </rPr>
      <t xml:space="preserve"> įgyvendinimas</t>
    </r>
  </si>
  <si>
    <t>Asmenų, kuriems teikiamos integracijos paslaugos, skaičius</t>
  </si>
  <si>
    <t>2017-ųjų metų asignavimų planas</t>
  </si>
  <si>
    <t>Siūlomas keisti 2017-ųjų m. asignavimų planas</t>
  </si>
  <si>
    <t>Siūlomas keisti 2018-ųjų m. asignavimų planas</t>
  </si>
  <si>
    <t>2018-ųjų metų asignavimų planas</t>
  </si>
  <si>
    <t>2017 m. asignavimų planas</t>
  </si>
  <si>
    <t>2018 m. asignavimų planas</t>
  </si>
  <si>
    <r>
      <t xml:space="preserve">Laikino apnakvindinimo namų steigimas </t>
    </r>
    <r>
      <rPr>
        <strike/>
        <sz val="10"/>
        <color rgb="FFFF0000"/>
        <rFont val="Times New Roman"/>
        <family val="1"/>
        <charset val="186"/>
      </rPr>
      <t xml:space="preserve">Savarankiško gyvenimo namų steigimas socialinės rizikos asmenims </t>
    </r>
  </si>
  <si>
    <t xml:space="preserve">Parengta galimybių studija </t>
  </si>
  <si>
    <r>
      <t xml:space="preserve">Laikino apnakvindinimo,  apgyvendinimo namų infrastruktūros modernizavimas (Šilutės pl. 8, </t>
    </r>
    <r>
      <rPr>
        <strike/>
        <sz val="10"/>
        <color rgb="FFFF0000"/>
        <rFont val="Times New Roman"/>
        <family val="1"/>
        <charset val="186"/>
      </rPr>
      <t>nakvynės namai)</t>
    </r>
  </si>
  <si>
    <r>
      <t>Projekto „</t>
    </r>
    <r>
      <rPr>
        <b/>
        <sz val="10"/>
        <rFont val="Times New Roman"/>
        <family val="1"/>
        <charset val="186"/>
      </rPr>
      <t xml:space="preserve">Integrali pagalba į namus </t>
    </r>
    <r>
      <rPr>
        <b/>
        <strike/>
        <sz val="10"/>
        <rFont val="Times New Roman"/>
        <family val="1"/>
        <charset val="186"/>
      </rPr>
      <t xml:space="preserve">Integralios socialinės globos paslaugų teikimas </t>
    </r>
    <r>
      <rPr>
        <b/>
        <sz val="10"/>
        <rFont val="Times New Roman"/>
        <family val="1"/>
      </rPr>
      <t>Klaipėdos mieste</t>
    </r>
    <r>
      <rPr>
        <sz val="10"/>
        <rFont val="Times New Roman"/>
        <family val="1"/>
      </rPr>
      <t xml:space="preserve">“ įgyvendinimas (dienos socialinės globos ir slaugos paslaugos į namus)                   </t>
    </r>
  </si>
  <si>
    <r>
      <rPr>
        <strike/>
        <sz val="10"/>
        <color rgb="FFFF0000"/>
        <rFont val="Times New Roman"/>
        <family val="1"/>
        <charset val="186"/>
      </rPr>
      <t>196</t>
    </r>
    <r>
      <rPr>
        <sz val="10"/>
        <color rgb="FFFF0000"/>
        <rFont val="Times New Roman"/>
        <family val="1"/>
        <charset val="186"/>
      </rPr>
      <t xml:space="preserve"> 186</t>
    </r>
  </si>
  <si>
    <r>
      <rPr>
        <strike/>
        <sz val="10"/>
        <color rgb="FFFF0000"/>
        <rFont val="Times New Roman"/>
        <family val="1"/>
        <charset val="186"/>
      </rPr>
      <t>6</t>
    </r>
    <r>
      <rPr>
        <sz val="10"/>
        <color rgb="FFFF0000"/>
        <rFont val="Times New Roman"/>
        <family val="1"/>
        <charset val="186"/>
      </rPr>
      <t xml:space="preserve"> 5</t>
    </r>
  </si>
  <si>
    <r>
      <rPr>
        <strike/>
        <sz val="10"/>
        <color rgb="FFFF0000"/>
        <rFont val="Times New Roman"/>
        <family val="1"/>
        <charset val="186"/>
      </rPr>
      <t>16280</t>
    </r>
    <r>
      <rPr>
        <sz val="10"/>
        <color rgb="FFFF0000"/>
        <rFont val="Times New Roman"/>
        <family val="1"/>
        <charset val="186"/>
      </rPr>
      <t xml:space="preserve"> 15800</t>
    </r>
  </si>
  <si>
    <t>2) dėl padidėjusios minimalios mėnesinės algos, sumažėjusios bedarbystės sumažėjo žmonių, turinčių teisę gauti pašalpas ir kompensacijas, skaičius (-25,5 tūkst. Eur SB);                                                                           3)  užsienyje mirusių (žuvusių) LR piliečių palaikams parvežti (SB(VB) didinama 3,52 tūkst. Eur)</t>
  </si>
  <si>
    <r>
      <t xml:space="preserve">760 </t>
    </r>
    <r>
      <rPr>
        <strike/>
        <sz val="10"/>
        <color rgb="FFFF0000"/>
        <rFont val="Times New Roman"/>
        <family val="1"/>
      </rPr>
      <t xml:space="preserve">639 </t>
    </r>
  </si>
  <si>
    <r>
      <t xml:space="preserve">1610 </t>
    </r>
    <r>
      <rPr>
        <strike/>
        <sz val="10"/>
        <color rgb="FFFF0000"/>
        <rFont val="Times New Roman"/>
        <family val="1"/>
      </rPr>
      <t>2100</t>
    </r>
  </si>
  <si>
    <r>
      <t xml:space="preserve">108 </t>
    </r>
    <r>
      <rPr>
        <strike/>
        <sz val="10"/>
        <color rgb="FFFF0000"/>
        <rFont val="Times New Roman"/>
        <family val="1"/>
        <charset val="186"/>
      </rPr>
      <t xml:space="preserve"> 68</t>
    </r>
  </si>
  <si>
    <r>
      <t xml:space="preserve">108  </t>
    </r>
    <r>
      <rPr>
        <strike/>
        <sz val="10"/>
        <color rgb="FFFF0000"/>
        <rFont val="Times New Roman"/>
        <family val="1"/>
        <charset val="186"/>
      </rPr>
      <t>68</t>
    </r>
  </si>
  <si>
    <r>
      <t xml:space="preserve">28  </t>
    </r>
    <r>
      <rPr>
        <strike/>
        <sz val="10"/>
        <color rgb="FFFF0000"/>
        <rFont val="Times New Roman"/>
        <family val="1"/>
      </rPr>
      <t>25</t>
    </r>
  </si>
  <si>
    <r>
      <t xml:space="preserve">40 </t>
    </r>
    <r>
      <rPr>
        <strike/>
        <sz val="10"/>
        <color rgb="FFFF0000"/>
        <rFont val="Times New Roman"/>
        <family val="1"/>
        <charset val="186"/>
      </rPr>
      <t xml:space="preserve"> 43</t>
    </r>
  </si>
  <si>
    <r>
      <t xml:space="preserve">40  </t>
    </r>
    <r>
      <rPr>
        <strike/>
        <sz val="10"/>
        <color rgb="FFFF0000"/>
        <rFont val="Times New Roman"/>
        <family val="1"/>
        <charset val="186"/>
      </rPr>
      <t>43</t>
    </r>
  </si>
  <si>
    <t>VšĮ Ori senatvė</t>
  </si>
  <si>
    <r>
      <t xml:space="preserve">10 </t>
    </r>
    <r>
      <rPr>
        <strike/>
        <sz val="10"/>
        <color rgb="FFFF0000"/>
        <rFont val="Times New Roman"/>
        <family val="1"/>
        <charset val="186"/>
      </rPr>
      <t xml:space="preserve"> 9</t>
    </r>
  </si>
  <si>
    <t>Atlikta rekonstrukcija, proc.</t>
  </si>
  <si>
    <t>Reikalinga sumažinti priemonės finansavimo apimtį ir patikslinti produkto vertinimo kriterijų reikšmes dėl šių priežasčių: 1) Socialinės apsaugos ir darbo ministro  2016-09-29 įsakymu Nr.A1-539 mažinama suma, skirta būsto nuomos ar išperkamosios būsto nuomos mokesčių dalies kompensacijoms ir laidojimo pašalpoms;</t>
  </si>
  <si>
    <r>
      <t xml:space="preserve">1510  </t>
    </r>
    <r>
      <rPr>
        <strike/>
        <sz val="10"/>
        <color rgb="FFFF0000"/>
        <rFont val="Times New Roman"/>
        <family val="1"/>
      </rPr>
      <t>1600</t>
    </r>
  </si>
  <si>
    <t xml:space="preserve">Reikalinga padidinti priemonės finansavimo apimtį ir patikslinti produkto vertinimo kriterijų reikšmes, nes Socialinės apsaugos ir darbo ministro  2016-09-29 įsakymu Nr.A1-539 padidinta suma, skirta socialinėms paslaugoms  </t>
  </si>
  <si>
    <t>Reikalinga padidinti priemonės finansavimo apimtį, nes Socialinės apsaugos ir darbo ministro  2016-09-29 įsakymu Nr.A1-539 padidinta suma, skirta pagalbos socialinės rizikos šeimoms teikimui  (skirta darbuotojų kvalifikacijos kėlimui)</t>
  </si>
  <si>
    <t>Siūloma sumažinti priemonės finansavimo apimtį, nes  papriemonei „Dienos socialinės globos paslaugų teikimas asmenims su psichine negalia dienos socialinės globos centre“  lėšų bus panaudota mažiau nei planuota.</t>
  </si>
  <si>
    <r>
      <t xml:space="preserve">Reikalinga sumažinti priemonės finansavimo apimtį ir patikslinti produkto vertinimo kriterijaus reikšmę, nes </t>
    </r>
    <r>
      <rPr>
        <sz val="10"/>
        <rFont val="Times New Roman"/>
        <family val="1"/>
      </rPr>
      <t>Socialinės apsaugos ir darbo ministro  2016-09-29 įsakymu Nr.A1-539 mažinama suma, skirta mokinių nemokamam maitinimui  SB(VB) -95,3 tūkst. Eur</t>
    </r>
  </si>
  <si>
    <t>Siūloma padidinti finansavimo apimtį šiai priemonei  ir patikslinti produkto vertinimo kriterijų reikšmes dėl šių priežasčių: 1) skirta valstybės dotacija minimaliai mėnesinei algai (MMA) padidinti 16,9 tūkst. Eur; 2) BĮ Klaipėdos miesto nakvynės namai ir Globos namai didina pajamų įmokas už paslaugas (SB(SP)) 39,3 tūkst. Eur; 3) BĮ Klaipėdos miesto socialinės paramos centras, vykdydamas Klaipėdos miesto savivaldybės tarybos 2015-10-29 sprendimą Nr. T2-269 „Dėl prieglobstį gavusių užsieniečių socialinės integracijos Klaipėdos mieste kvotų patvirtinimo“, organizuoja užsieniečių, gavusių prieglobstį Lietuvoje, integraciją Klaipėdos mieste. Dėl šios priežasties reikalinga įtraukti naują papriemonę - projekto „Lietuva - kitataučių užuovėja“ vykdymas, kuri bus finansuojama iš ES Prieglobsčio, migracijos ir integracijos fondo.</t>
  </si>
  <si>
    <t xml:space="preserve">Siūloma didinti finansavimo apimtį, nes papriemonei „Socialinės reabilitacijos paslaugų neįgaliesiems bendruomenėje projektų dalinis finansavimas“ įgyvendinti suplanuotos lėšos  yra 16 Eur mažesnės nei reglamentuota
</t>
  </si>
  <si>
    <t xml:space="preserve">Siūloma padidinti finansavimo apimtį priemonei, nes pradėjus įgyvendinti projektą, teikiamos paslaugos didesniam sunkią negalią turinčių klientų skaičiui. Klaipėdos miesto administracijos direktoriaus 2016-05-30 įsakymais P1-562 ir P1-563 buvo padidintas įstaigose didžiausias leistinas pareigybių skaičius (SPC-3,5 et. ir „Klaipėdos lakštutė“-5,5 et.). Taip pat reikalinga patikslinti projekto pavadinimą ir vertinimo kriterijus bei jų reikšmes siekiant atitikimo projekto paraiškoje nurodytiems duomenims ir Klaipėdos miesto savivaldybės tarybos 2016 m. kovo 31 d. sprendimu Nr. T2-80 patvirtintai jungtinės veiklos sutarčiai. 
</t>
  </si>
  <si>
    <t xml:space="preserve">Senyvo amžiaus asmenų globos paslaugų plėtra </t>
  </si>
  <si>
    <t xml:space="preserve"> - projekto „Lietuva – kitataučių užuovėja“ įgyvendinimas</t>
  </si>
  <si>
    <t>Siūloma padidinti finansavimo apimtį priemonei dėl šių priežasčių: 1) iškilo būtinybė atlikti papildomus BĮ Klaipėdos miesto socialinės paramos centro pastato (Taikos pr.76) remonto darbus - centro prieigų (cokolinės įėjimo dalies) bei nutrupėjusių laiptų remontą;                     2)  anksčiau, nei planuota,  gautas Regioninės plėtros departamento prie VRM kvietimas teikti projektinius pasiūlymus Klaipėdos regiono projektų sąrašui sudaryti pagal 2014–2020 m. ES fondų investicijų veiksmų programos 8 prioriteto „Socialinės įtraukties didinimas ir kova su skurdu“ įgyvendinimo priemonę Nr. 08.1.1-</t>
  </si>
  <si>
    <t xml:space="preserve">CPVA-R-407 „Socialinių paslaugų infrastruktūros plėtra“.                Pagal šią priemonę planuojama modernizuoti Nakvynės namų, adresu Šilutės pl. 8, 1-ą aukštą, kuriame teikiama laikino apgyvendinimo paslauga. Laikino apnakvindinimo paslaugą (vietų poreikis 50 asmenų) planuojama iš Šilutės pl. 8 rūsio iškelti į teritoriją adresu Dubysosg. 39a. Siūloma šioje teritorijoje laikino apnakvindinimo  paslaugos teikimui pastatyti  gyvenamuosius konteinerius/ modulinius namus. Jau pasirašytos Investicijų projektų rengiimo paslaugų ir galimybių tyrimo paslaugos sutartys (8,3 tūkst. Eur), atitinkamai tikslinamos 2017-2018 m. lėšos ir kriterijai;                                    3) tikslinamas pavadinimas „Senyvo amžiaus asmenų globos paslaugų plėtra“, nes atsilaisvinus patalpoms Vaivos g. 23, Melnragėje, siūloma rekonstruoti esamą pastatą ir pritaikyti jį Senyvo amžiaus asmenų globos namams 
</t>
  </si>
  <si>
    <t>Informacija apie pasiektus rezultatus, duomenys apie programai skirtų asignavimų panaudojimo tikslingumą</t>
  </si>
  <si>
    <t>Priežastys, dėl kurių planuotos rodiklių reikšmės nepasiektos</t>
  </si>
  <si>
    <t>faktinės reikšmės</t>
  </si>
  <si>
    <t>ĮVYKDYMO ATASKAITA</t>
  </si>
  <si>
    <r>
      <t>Programą vykdė:</t>
    </r>
    <r>
      <rPr>
        <sz val="12"/>
        <rFont val="Times New Roman"/>
        <family val="1"/>
        <charset val="186"/>
      </rPr>
      <t xml:space="preserve"> Socialinio departamento Socialinės paramos ir Socialinio būsto skyriai,  Miesto ūkio departamento Socialinės infrastruktūros priežiūros skyrius, Investicijų ir ekonomikos departamento Projektų bei Statybos ir infrastruktūros plėtros skyriai, Finansų ir turto departamento Turto skyrius.</t>
    </r>
  </si>
  <si>
    <t>faktiškai įvykdyta –</t>
  </si>
  <si>
    <t>(pagal planą arba geriau);</t>
  </si>
  <si>
    <t>iš dalies įvykdyta –</t>
  </si>
  <si>
    <r>
      <t xml:space="preserve">Asignavimų valdytojai: </t>
    </r>
    <r>
      <rPr>
        <sz val="12"/>
        <rFont val="Times New Roman"/>
        <family val="1"/>
      </rPr>
      <t>Klaipėdos miesto savivaldybės administracija (1), Socialinių reikalų departamentas (3), Investicijų ir ekonomikos departamentas (5), Miesto ūkio departamentas (6).</t>
    </r>
    <r>
      <rPr>
        <b/>
        <sz val="12"/>
        <rFont val="Times New Roman"/>
        <family val="1"/>
      </rPr>
      <t xml:space="preserve">
</t>
    </r>
  </si>
  <si>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</si>
  <si>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</si>
  <si>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1) priemonė ir papriemonė laikoma visiškai įvykdyta, jei pasiektos visos planuotų ataskaitiniais metais vertinimo kriterijų reikšmės;</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</si>
  <si>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ir papriemonių įgyvendinimo lygį:</t>
    </r>
  </si>
  <si>
    <t>Socialinės pašalpos gavėjų skaičius, tenkantis 1 tūkst. savivaldybės gyventojų (proc.)</t>
  </si>
  <si>
    <t>Perkamų (ir kompensuojamų) socialinių paslaugų vietų dalis, palyginti su savivaldybės įstaigų teikiamų paslaugų vietų skaičiumi, proc.</t>
  </si>
  <si>
    <t>Vidutinė laukimo eilėje nuo dienos socialinės globos asmens namuose paskyrimo iki jos gavimo dienos trukmė, dienų skaičius</t>
  </si>
  <si>
    <t>Vidutinė laukimo eilėje nuo pagalbos į namus paslaugos paskyrimo asmenims iki jos gavimo trukmė, dienų skaičius</t>
  </si>
  <si>
    <t xml:space="preserve"> </t>
  </si>
  <si>
    <t>Asmenų su sunkia negalia, kuriems teikiamos socialinės globos paslaugos, skaičius</t>
  </si>
  <si>
    <t>SB(ESL)</t>
  </si>
  <si>
    <t>Vietos bendruomenių savivaldos programos įgyvendinimas</t>
  </si>
  <si>
    <t>Iš dalies finansuota projektų</t>
  </si>
  <si>
    <t>Materialinės paramos Klaipėdos miesto savivaldybės gyventojams, atsidūrusiems sunkioje materialinėje padėtyje, teikimas</t>
  </si>
  <si>
    <t>Vidutinis materialinės paramos išmokų Klaipėdos miesto gyventojams, atsidūrusiems sunkioje materialinėje padėtyje, skaičius per mėn.</t>
  </si>
  <si>
    <t>SB(ESA)</t>
  </si>
  <si>
    <t xml:space="preserve"> - projekto „Jungtinio kompetencijų centro kūrimas ir išmaniųjų socialinių paslaugų senyvo amžiaus asmenims teikimas“ įgyvendinimas</t>
  </si>
  <si>
    <t>Asmenų, pasinaudojusių įdiegtomis inovatyviosiomis  paslaugomis, skaičius</t>
  </si>
  <si>
    <t xml:space="preserve"> - projekto „Lietuva – kitataučių užuovėja“ įgyvendinimas;</t>
  </si>
  <si>
    <t xml:space="preserve"> - smurto artimoje aplinkoje prevencijos priemonių įgyvendinimas</t>
  </si>
  <si>
    <t>Prižiūrima eksploatuojamų keltuvų, vnt.</t>
  </si>
  <si>
    <r>
      <t>Priemonių, mažinančių administracinę naštą juridiniams ir fiziniams asmenims, taikymas</t>
    </r>
    <r>
      <rPr>
        <sz val="10"/>
        <rFont val="Times New Roman"/>
        <family val="1"/>
        <charset val="186"/>
      </rPr>
      <t>, projekto „Paslaugų organizavimo ir asmenų aptarnavimo kokybės gerinimas teikiant socialinę paramą Klaipėdos miesto savivaldybėje“ įgyvendinimas</t>
    </r>
  </si>
  <si>
    <t xml:space="preserve">Klaipėdos miesto integruotų investicijų teritorijos vietos veiklos grupės 2016–2022 metų vietos plėtros įgyvendinimas ir veiklų administravimas </t>
  </si>
  <si>
    <t>Vykdoma projektų, vnt.</t>
  </si>
  <si>
    <t>Darbo rinkos politikos priemonių, skirtų socialinę atskirtį patiriantiems asmenims, vykdymas</t>
  </si>
  <si>
    <t>Laikiniesiems darbams įdarbintų bedarbių skaičius per metus</t>
  </si>
  <si>
    <t>Integravimo į darbo rinką projektų veiklose dalyvaujančių asmenų skaičius per metus</t>
  </si>
  <si>
    <t>Socialinių įstaigų patalpų šildymas</t>
  </si>
  <si>
    <t xml:space="preserve">Šîldoma įstaigų, skaičius  </t>
  </si>
  <si>
    <t>Socialinių būstų pirkimas</t>
  </si>
  <si>
    <t>Savivaldybės socialinio būsto fondo gyvenamųjų namų statyba žemės sklypuose Irklų g. 1 ir Rambyno g. 14A</t>
  </si>
  <si>
    <t xml:space="preserve">Butų pirkimas politiniams kaliniams ir tremtiniams bei jų šeimų nariams </t>
  </si>
  <si>
    <r>
      <t xml:space="preserve">Apyvartos lėšų likutis </t>
    </r>
    <r>
      <rPr>
        <b/>
        <sz val="10"/>
        <rFont val="Times New Roman"/>
        <family val="1"/>
        <charset val="186"/>
      </rPr>
      <t>SB(L)</t>
    </r>
  </si>
  <si>
    <r>
      <t xml:space="preserve">Europos Sąjungos paramos lėšos </t>
    </r>
    <r>
      <rPr>
        <b/>
        <sz val="10"/>
        <rFont val="Times New Roman"/>
        <family val="1"/>
        <charset val="186"/>
      </rPr>
      <t>ES</t>
    </r>
  </si>
  <si>
    <t>Asignavimai (tūkst. Eur)</t>
  </si>
  <si>
    <t>Vidutinė laukimo eilėje nuo dienos socialinės globos institucijoje paskyrimo iki jos gavimo dienos  trukmė (dienomis)</t>
  </si>
  <si>
    <t>Vidutinė laukimo eilėje nuo trumpalaikės socialinės globos paskyrimo suaugusiems su negalia ar senyvo amžiaus asmenims iki jos gavimo socialinės globos paslaugų įstaigoje trukmė, dienų skaičius</t>
  </si>
  <si>
    <t>Vidutinė laukimo eilėje nuo ilgalaikės socialinės globos paskyrimo suaugusiems su negalia ar senyvo amžiaus asmenims iki jos gavimo socialinės globos paslaugų įstaigoje trukmė, dienų skaičius</t>
  </si>
  <si>
    <r>
      <t xml:space="preserve">Projekto  </t>
    </r>
    <r>
      <rPr>
        <b/>
        <sz val="10"/>
        <rFont val="Times New Roman"/>
        <family val="1"/>
      </rPr>
      <t>„Integrali pagalba į namus</t>
    </r>
    <r>
      <rPr>
        <sz val="10"/>
        <rFont val="Times New Roman"/>
        <family val="1"/>
      </rPr>
      <t xml:space="preserve"> </t>
    </r>
    <r>
      <rPr>
        <b/>
        <sz val="10"/>
        <rFont val="Times New Roman"/>
        <family val="1"/>
      </rPr>
      <t>Klaipėdos mieste</t>
    </r>
    <r>
      <rPr>
        <sz val="10"/>
        <rFont val="Times New Roman"/>
        <family val="1"/>
      </rPr>
      <t xml:space="preserve">“ įgyvendinimas (dienos socialinės globos ir slaugos paslaugos į namus)                   </t>
    </r>
  </si>
  <si>
    <t>Paramos teikimas labiausiai skurstantiems asmenims, įgyvendinant projektą „Parama maisto produktais IV“ (projekto Nr. EPSF-2016-V-04-01)</t>
  </si>
  <si>
    <t>Vidutinis paramos gavėjo ir (ar) bendrai su juo gyvenančių asmenų skaičius per mėnesį</t>
  </si>
  <si>
    <t>Paramos teikimas labiausiai skurstantiems asmenims, įgyvendinant projektą „Parama higienos prekėmis“ Nr. EPSF-2017-V-05-01</t>
  </si>
  <si>
    <t>Suteikta paramos rūbais, avalyne, kt., asmenų skaičius</t>
  </si>
  <si>
    <t>1000/800</t>
  </si>
  <si>
    <t xml:space="preserve"> - projekto „Matyk kitą kelią“ įgyvendinimas</t>
  </si>
  <si>
    <t>Pravesta mokymų specialistams ir asmenims su regėjimo negalia, skaičius</t>
  </si>
  <si>
    <t xml:space="preserve">Dienos socialinės globos paslaugos įstaigoje gavėjų skaičius </t>
  </si>
  <si>
    <t>70</t>
  </si>
  <si>
    <t>Pagalbos į namus paslaugos gavėjų skaičius</t>
  </si>
  <si>
    <t>42</t>
  </si>
  <si>
    <t>63</t>
  </si>
  <si>
    <t>Intervencijų į šeimas skaičius</t>
  </si>
  <si>
    <t>14000</t>
  </si>
  <si>
    <t xml:space="preserve">Vietų skaičius trumpalaikės soc. globos paslaugai gauti </t>
  </si>
  <si>
    <t>Paslaugas gavusių asmenų skaičius</t>
  </si>
  <si>
    <t>Planinis vaikų skaičius</t>
  </si>
  <si>
    <t>Vaikų, gaunančių ilgalaikės globos paslaugas, skaičius</t>
  </si>
  <si>
    <t>Centralizuotas paviršinių (lietaus) nuotekų tvarkymas (paslaugos apmokėjimas)</t>
  </si>
  <si>
    <t>Įstaigų skaičius</t>
  </si>
  <si>
    <t xml:space="preserve">Pagalbos į namus paslaugos gavėjų skaičius per mėnesį </t>
  </si>
  <si>
    <t>Vidutiniškai per dieną nemokamą maitinimą gaunančių asmenų skaičius</t>
  </si>
  <si>
    <t>Atlikta kompleksinė viešųjų ryšių metodų analizė ir įgyvendinta įvaikinimą skatinanti informacinė kampanija</t>
  </si>
  <si>
    <t xml:space="preserve">Vidutinis šeimų, auginančių vaiką su negalia ir patiriančių krizes, skaičius per mėn. </t>
  </si>
  <si>
    <t xml:space="preserve">Parengta vadybos kokybės sistemos ar metodo įgyvendinimo / įdiegimo įstaigose dokumentacija, vnt. </t>
  </si>
  <si>
    <r>
      <rPr>
        <b/>
        <sz val="10"/>
        <rFont val="Times New Roman"/>
        <family val="1"/>
      </rPr>
      <t>Laikino apnakvindinimo namų steigimas</t>
    </r>
    <r>
      <rPr>
        <sz val="10"/>
        <rFont val="Times New Roman"/>
        <family val="1"/>
        <charset val="186"/>
      </rPr>
      <t xml:space="preserve"> (Dubysos g.) </t>
    </r>
  </si>
  <si>
    <r>
      <t xml:space="preserve">Laikino apgyvendinimo namų infrastruktūros modernizavimas </t>
    </r>
    <r>
      <rPr>
        <sz val="10"/>
        <rFont val="Times New Roman"/>
        <family val="1"/>
        <charset val="186"/>
      </rPr>
      <t xml:space="preserve">(Šilutės pl. 8, nakvynės namai) </t>
    </r>
  </si>
  <si>
    <r>
      <t xml:space="preserve">Senyvo amžiaus asmenų globos paslaugų plėtra </t>
    </r>
    <r>
      <rPr>
        <sz val="10"/>
        <rFont val="Times New Roman"/>
        <family val="1"/>
      </rPr>
      <t xml:space="preserve">rekonstruojant pastatą, esantį Melnragės gyvenamąjame rajone, Vaivos g. 23 </t>
    </r>
  </si>
  <si>
    <t xml:space="preserve">Nakvynės namų pastato (Viršutinė g. 21) rekonstravimas </t>
  </si>
  <si>
    <t>Sutrumpėjęs nuomininkų pasirinktos valstybės garantijos įvykdymo terminas, mėnesiai</t>
  </si>
  <si>
    <t>Nupirkta butų, vnt.</t>
  </si>
  <si>
    <r>
      <t xml:space="preserve">Europos Sąjungos paramos lėšos, kurios įtrauktos į savivaldybės biudžetą </t>
    </r>
    <r>
      <rPr>
        <b/>
        <sz val="10"/>
        <rFont val="Times New Roman"/>
        <family val="1"/>
        <charset val="186"/>
      </rPr>
      <t>SB(ES)</t>
    </r>
  </si>
  <si>
    <r>
      <t xml:space="preserve">Savivaldybės biudžeto apyvartos lėšos ES finansinės paramos programų laikinam lėšų stygiui dengti  </t>
    </r>
    <r>
      <rPr>
        <b/>
        <sz val="10"/>
        <rFont val="Times New Roman"/>
        <family val="1"/>
        <charset val="186"/>
      </rPr>
      <t>SB(ESA)</t>
    </r>
  </si>
  <si>
    <t>2019 m. asignavimų patvirtintas planas*</t>
  </si>
  <si>
    <t>2019 m. asignavimų patikslintas planas**</t>
  </si>
  <si>
    <t>2019 m. panaudotos lėšos (kasinės išlaidos)</t>
  </si>
  <si>
    <t>989</t>
  </si>
  <si>
    <t>700</t>
  </si>
  <si>
    <t xml:space="preserve">Budinčio globotojo veiklos organizavimas </t>
  </si>
  <si>
    <t>Išmokų gavėjų skaičius</t>
  </si>
  <si>
    <t>Rekonstruota dujinė katilinė</t>
  </si>
  <si>
    <t>220/55</t>
  </si>
  <si>
    <t>Kompiuterių įsigijimas naujoms darbo vietoms, vnt.</t>
  </si>
  <si>
    <t xml:space="preserve">Vietų skaičius  intensyvios krizių įveikimo  pagalbos paslaugai gauti </t>
  </si>
  <si>
    <t>Įveiklintas globos centras</t>
  </si>
  <si>
    <t>Sukurta papildomų darbo vietų</t>
  </si>
  <si>
    <t>Suremontuota bendruomeninių vaikų globos namų, butų skaičius</t>
  </si>
  <si>
    <t>Įsigyta apsaugos ir priešgaisrinė sistema, vnt.</t>
  </si>
  <si>
    <t>Įsigyta virtuvės įranga, baldai, vnt.</t>
  </si>
  <si>
    <t>11</t>
  </si>
  <si>
    <t>Darbuotojai, dalyvavę kompetencijų stiprinime, skaičius</t>
  </si>
  <si>
    <t>Įsigyti baldai ir įranga, proc.</t>
  </si>
  <si>
    <t>Atlikta rekonstravimo darbų, proc.</t>
  </si>
  <si>
    <t>Įsigyta įranga, baldai, proc.</t>
  </si>
  <si>
    <t>SB(F)</t>
  </si>
  <si>
    <t>Nupirkta butų, skaičius</t>
  </si>
  <si>
    <t>SB(FL)</t>
  </si>
  <si>
    <t>Savivaldybės biudžetas, iš jo:</t>
  </si>
  <si>
    <r>
      <t>Savivaldybės biudžeto lėšos, gautos už parduotus savivaldybės būstus</t>
    </r>
    <r>
      <rPr>
        <b/>
        <sz val="10"/>
        <rFont val="Times New Roman"/>
        <family val="1"/>
        <charset val="186"/>
      </rPr>
      <t xml:space="preserve"> SB(F)</t>
    </r>
  </si>
  <si>
    <t>____________________________________</t>
  </si>
  <si>
    <t>Papriemonės kodas</t>
  </si>
  <si>
    <t>Vykdytojas</t>
  </si>
  <si>
    <t>SRD Socialinės paramos skyrius</t>
  </si>
  <si>
    <t>Asmenų su sunkia negalia, kuriems teikiamos socialinės globos paslaugos, skaičius  (Socialinės paramos centras)</t>
  </si>
  <si>
    <t>Asmenų su sunkia negalia, kuriems teikiamos socialinės globos paslaugos, skaičius  (Klaipėdos lakštutė)</t>
  </si>
  <si>
    <t>Asmenų su sunkia negalia, kuriems teikiamos socialinės globos paslaugos, skaičius  (Globos namai)</t>
  </si>
  <si>
    <t>Asmenų su sunkia negalia, kuriems teikiamos socialinės globos paslaugos, skaičius  (Sutrikusio vystymosi kūdikių namai)</t>
  </si>
  <si>
    <t>Vidutinis prižiūrimų vaikų skaičius per mėnesį (Šeimos ir vaiko gerovės centras)</t>
  </si>
  <si>
    <t>Suteikta transporto paslaugų, asm.</t>
  </si>
  <si>
    <t>Įsigytos ir sumontuotos aliumininės durys, vnt.</t>
  </si>
  <si>
    <t>Įrengta kondicionavimo sistema, vnt.</t>
  </si>
  <si>
    <t>Išduota techninės pagalbos priemonių, vnt./asm.</t>
  </si>
  <si>
    <t xml:space="preserve"> - projekto „Atrask save Lietuvoje“ įgyvendinimas</t>
  </si>
  <si>
    <t xml:space="preserve"> - kovos su prekyba žmonėmis prevencinių priemonių  įgyvendinimas</t>
  </si>
  <si>
    <t>SB'</t>
  </si>
  <si>
    <t xml:space="preserve"> - projekto „Moterys ir vaikai – saugūs savo mieste“ įgyvendinimas</t>
  </si>
  <si>
    <r>
      <rPr>
        <sz val="10"/>
        <rFont val="Times New Roman"/>
        <family val="1"/>
        <charset val="186"/>
      </rPr>
      <t xml:space="preserve"> - projekto</t>
    </r>
    <r>
      <rPr>
        <b/>
        <sz val="10"/>
        <rFont val="Times New Roman"/>
        <family val="1"/>
        <charset val="186"/>
      </rPr>
      <t xml:space="preserve"> </t>
    </r>
    <r>
      <rPr>
        <sz val="10"/>
        <rFont val="Times New Roman"/>
        <family val="1"/>
        <charset val="186"/>
      </rPr>
      <t>„Vaikų gerovės ir saugumo didinimo, paslaugų šeimai, globėjams (rūpintojams) kokybės didinimo bei prieinamumo plėtra“ įgyvendinimas</t>
    </r>
  </si>
  <si>
    <t>Asmenų, pradėjusių gyventi savarankiškai skaičius</t>
  </si>
  <si>
    <t xml:space="preserve">11  </t>
  </si>
  <si>
    <t>Vidutiniškai per mėn. paslaugas gaunančių socialinės rizikos ir rizikos šeimų vaikų skaičius LPF „Dienvidis“ ir LPF „DPJC“</t>
  </si>
  <si>
    <t>MŪD Socialinės infrastruktūros skyrius</t>
  </si>
  <si>
    <t>SB(VBl)</t>
  </si>
  <si>
    <t>IED Tarptautinių ryšių ir ekonominės plėtros skyrius</t>
  </si>
  <si>
    <t>IED I. Gustaitienė ir J. Jasiulionienė</t>
  </si>
  <si>
    <t>IED V. Kovaitis</t>
  </si>
  <si>
    <t>IED Statybos ir infrastruktūros plėtros skyrius, I. Gustaitienė</t>
  </si>
  <si>
    <t>IED J. Vorobjova ir J. Poimanskienė</t>
  </si>
  <si>
    <r>
      <t>Pajamų imokų likutis</t>
    </r>
    <r>
      <rPr>
        <b/>
        <sz val="10"/>
        <rFont val="Times New Roman"/>
        <family val="1"/>
        <charset val="186"/>
      </rPr>
      <t xml:space="preserve"> SB(SPL)</t>
    </r>
  </si>
  <si>
    <r>
      <t xml:space="preserve">Valstybės biudžeto tikslinės dotacijos lėšų likutis </t>
    </r>
    <r>
      <rPr>
        <b/>
        <sz val="10"/>
        <rFont val="Times New Roman"/>
        <family val="1"/>
        <charset val="186"/>
      </rPr>
      <t>SB(VBL)</t>
    </r>
  </si>
  <si>
    <r>
      <t xml:space="preserve">Europos Sąjungos finansinės paramos lėšų likučio metų pradžioje lėšos </t>
    </r>
    <r>
      <rPr>
        <b/>
        <sz val="10"/>
        <rFont val="Times New Roman"/>
        <family val="1"/>
        <charset val="186"/>
      </rPr>
      <t>SB(ESL)</t>
    </r>
  </si>
  <si>
    <r>
      <t>Savivaldybės biudžeto lėšų, gautų už parduotus savivaldybės būstus</t>
    </r>
    <r>
      <rPr>
        <b/>
        <sz val="10"/>
        <rFont val="Times New Roman"/>
        <family val="1"/>
        <charset val="186"/>
      </rPr>
      <t xml:space="preserve"> </t>
    </r>
    <r>
      <rPr>
        <sz val="10"/>
        <rFont val="Times New Roman"/>
        <family val="1"/>
        <charset val="186"/>
      </rPr>
      <t>likutis</t>
    </r>
    <r>
      <rPr>
        <b/>
        <sz val="10"/>
        <rFont val="Times New Roman"/>
        <family val="1"/>
        <charset val="186"/>
      </rPr>
      <t xml:space="preserve"> SB(FL) </t>
    </r>
  </si>
  <si>
    <t>Kodas</t>
  </si>
  <si>
    <t>METINIO VEIKLOS PLANO VYKDYMO ATASKAITA</t>
  </si>
  <si>
    <t>Atsakingas (-i) asmuo (-ys)</t>
  </si>
  <si>
    <t>SP lėšos</t>
  </si>
  <si>
    <t>Patvirtintas asignavimų planas</t>
  </si>
  <si>
    <t>Patikslintas asignavimų planas</t>
  </si>
  <si>
    <t>Iš viso gauta asignavimų</t>
  </si>
  <si>
    <t>Likutis</t>
  </si>
  <si>
    <t>Efekto /Rezultato /Produkto</t>
  </si>
  <si>
    <t>Rodiklis</t>
  </si>
  <si>
    <t>Mato vnt.</t>
  </si>
  <si>
    <t>2019</t>
  </si>
  <si>
    <t>Aprašymas</t>
  </si>
  <si>
    <t>Pastaba</t>
  </si>
  <si>
    <t>Faktas</t>
  </si>
  <si>
    <t>Socialinės atskirties mažinimo programa</t>
  </si>
  <si>
    <t>Audronė Liesytė, Birutė Norvilaitė, Deividas Petrolevičius, Rasa Pozniakienė, Valdas Švedas</t>
  </si>
  <si>
    <t>12.01.</t>
  </si>
  <si>
    <t xml:space="preserve">Įgyvendinti socialinės paramos politiką siekiant sumažinti socialinę atskirtį Klaipėdos mieste   </t>
  </si>
  <si>
    <t>Audronė Liesytė, Inga Garlienė, Rasa Pozniakienė</t>
  </si>
  <si>
    <t>Vidutinė laukimo eilėje nuo trumpalaikės socialinės globos paskyrimo suaugusiems su negalia ar senyvo amžiaus asmenims iki jos gavimo socialinės globos paslaugų įstaigoje trukmė</t>
  </si>
  <si>
    <t>d.</t>
  </si>
  <si>
    <t>2,00</t>
  </si>
  <si>
    <t>1,00</t>
  </si>
  <si>
    <t>Vidutinė laukimo eilėje nuo dienos socialinės globos institucijoje paskyrimo iki jos gavimo dienos  trukmė</t>
  </si>
  <si>
    <t>96,00</t>
  </si>
  <si>
    <t>120,00</t>
  </si>
  <si>
    <t>Vidutinė laukimo eilėje nuo ilgalaikės socialinės globos paskyrimo suaugusiems su negalia ar senyvo amžiaus asmenims iki jos gavimo socialinės globos paslaugų įstaigoje trukmė</t>
  </si>
  <si>
    <t>169,00</t>
  </si>
  <si>
    <t>134,00</t>
  </si>
  <si>
    <t>Vidutinė laukimo eilėje nuo pagalbos į namus paslaugos paskyrimo  asmenims iki jos gavimo trukmė</t>
  </si>
  <si>
    <t>30,00</t>
  </si>
  <si>
    <t>92,00</t>
  </si>
  <si>
    <t>Augantis paslaugos poreikis. Paslaugą teikia biudžetinės įstaigos (2019.12.31 duomenimis) BĮ Socialinės paramos centras- 249 asm./per mėn (laukiančių - 112), BĮ Neįgaliųjų centras "Klaipėdos Lakštutė"-   40 asm./per mėn. (laukiančių - 8, nuo 2020-01-01 įvedus naujus etatus laukiančių nėra). Nupirkta paslauga VŠĮ "Ori senatvė"- 171 asm./per mėn.(laukiančių -49).</t>
  </si>
  <si>
    <t>Socialinės pašalpos gavėjų skaičius, tenkantis 1 tūkst. savivaldybės gyventojų</t>
  </si>
  <si>
    <t>proc.</t>
  </si>
  <si>
    <t>14,50</t>
  </si>
  <si>
    <t>13,30</t>
  </si>
  <si>
    <t>Perkamų (ir kompensuojamų) socialinių paslaugų vietų dalis, palyginti su savivaldybės įstaigų teikiamų paslaugų vietų skaičiumi</t>
  </si>
  <si>
    <t>46,00</t>
  </si>
  <si>
    <t>58,00</t>
  </si>
  <si>
    <t>Vidutinė laukimo eilėje nuo dienos socialinės globos asmens namuose paskyrimo iki jos gavimo dienos  trukmė</t>
  </si>
  <si>
    <t>45,00</t>
  </si>
  <si>
    <t>59,00</t>
  </si>
  <si>
    <t>Savivaldybės socialinių paslaugų (išskyrus bendrąsias socialines paslaugas) gavėjų dalis nuo visų socialinių paslaugų gavėjų</t>
  </si>
  <si>
    <t>69,00</t>
  </si>
  <si>
    <t>12.01.01.</t>
  </si>
  <si>
    <t xml:space="preserve">Užtikrinti Lietuvos Respublikos įstatymais, Vyriausybės nutarimais ir kitais teisės aktais numatytų socialinių išmokų ir kompensacijų mokėjimą  </t>
  </si>
  <si>
    <t>Audronė Liesytė</t>
  </si>
  <si>
    <t>12.01.01.01.</t>
  </si>
  <si>
    <t>Audronė Liesytė, Daiva Kietelienė</t>
  </si>
  <si>
    <t>skaičius</t>
  </si>
  <si>
    <t>4 500,00</t>
  </si>
  <si>
    <t>2 336,00</t>
  </si>
  <si>
    <t>Šiltas šildymo sezonas, gavėjai neįgijo teisės į šildymo kompensaciją.</t>
  </si>
  <si>
    <t>Vidutinis išmokamų kompensacijų kreditams ir kredito palūkanoms skaičius per mėn.</t>
  </si>
  <si>
    <t>vnt.</t>
  </si>
  <si>
    <t>90,00</t>
  </si>
  <si>
    <t>Vidutinis išmokamų socialinių pašalpų skaičius per mėn.</t>
  </si>
  <si>
    <t>1 000,00</t>
  </si>
  <si>
    <t>12.01.01.01.0101.</t>
  </si>
  <si>
    <t>Piniginės socialinės paramos nepasiturinčioms šeimoms ir vieniems gyvenantiems asmenims bei paramos mirties atveju teikimas, išmokant pašalpas ir kompensacijas (kompensacijos šildymui, teikiamam centralizuotai)</t>
  </si>
  <si>
    <t>Daiva Kietelienė</t>
  </si>
  <si>
    <t>12.01.01.01.0102.</t>
  </si>
  <si>
    <t>Piniginės socialinės paramos nepasiturinčioms šeimoms ir vieniems gyvenantiems asmenims bei paramos mirties atveju teikimas, išmokant pašalpas ir kompensacijas (kompensacijos  karštam vandeniui, teikiamam centralizuotai)</t>
  </si>
  <si>
    <t>Birutė Norvilaitė, Daiva Kietelienė, Inga Garlienė</t>
  </si>
  <si>
    <t>12.01.01.01.0103.</t>
  </si>
  <si>
    <t>Piniginės socialinės paramos nepasiturinčioms šeimoms ir vieniems gyvenantiems asmenims bei paramos mirties atveju teikimas, išmokant pašalpas ir kompensacijas (kompensacijos  šaltam vandeniui, teikiamam centralizuotai)</t>
  </si>
  <si>
    <t>12.01.01.01.0104.</t>
  </si>
  <si>
    <t>Piniginės socialinės paramos nepasiturinčioms šeimoms ir vieniems gyvenantiems asmenims bei paramos mirties atveju teikimas, išmokant pašalpas ir kompensacijas (kompensacijos  kietam kurui įsigyti)</t>
  </si>
  <si>
    <t>12.01.01.01.0105</t>
  </si>
  <si>
    <t>Piniginės socialinės paramos nepasiturinčioms šeimoms ir vieniems gyvenantiems asmenims bei paramos mirties atveju teikimas, išmokant pašalpas ir kompensacijas (kompensacijos patalpų šildymui dujomis)</t>
  </si>
  <si>
    <t>12.01.01.01.0106.</t>
  </si>
  <si>
    <t>Piniginės socialinės paramos nepasiturinčioms šeimoms ir vieniems gyvenantiems asmenims bei paramos mirties atveju teikimas, išmokant pašalpas ir kompensacijas (kompensacijos  karštam vandeniui, šildomam dujomis)</t>
  </si>
  <si>
    <t>12.01.01.01.0107.</t>
  </si>
  <si>
    <t>Piniginės socialinės paramos nepasiturinčioms šeimoms ir vieniems gyvenantiems asmenims bei paramos mirties atveju teikimas, išmokant pašalpas ir kompensacijas (kompensacijos nepriklausomybės gynėjams)</t>
  </si>
  <si>
    <t>5,00</t>
  </si>
  <si>
    <t>4,00</t>
  </si>
  <si>
    <t>Klaipėdos mieste liko 4 asmenys gaunantys šią išmoką.</t>
  </si>
  <si>
    <t>12.01.01.01.0108.</t>
  </si>
  <si>
    <t>Piniginės socialinės paramos nepasiturinčioms šeimoms ir vieniems gyv.asm. bei paramos mirties atveju teikimas, išmokant pašalpas ir komp. (kredito, palūk. apmokėjimas asm. turintiems teisę į būsto šild.išlaidų komp)</t>
  </si>
  <si>
    <t>Padidėjo administratorių kurie kreipėsi dėl naujai renovuotų  namų skaičius.</t>
  </si>
  <si>
    <t>12.01.01.01.0109.</t>
  </si>
  <si>
    <t>Piniginės socialinės paramos nepasiturinčioms šeimoms ir vieniems gyvenantiems asmenims bei paramos mirties atveju teikimas, išmokant pašalpas ir kompensacijas (laidojimo pašalpos)</t>
  </si>
  <si>
    <t>185,00</t>
  </si>
  <si>
    <t>12.01.01.01.0110.</t>
  </si>
  <si>
    <t>Socialinės išmokos natūra ir pinigais socialiai pažeidžiamiems asmenims SB (socialinės pašalpos)</t>
  </si>
  <si>
    <t>Rasa Pozniakienė</t>
  </si>
  <si>
    <t>Kreipėsi mažiau asmenų nei buvo planuota. Mažiausiai asmenų kreipėsi vasaros sezono metų (laikini, sezoniniai darbai).</t>
  </si>
  <si>
    <t>12.01.01.01.0111.</t>
  </si>
  <si>
    <t>Piniginės socialinės paramos nepasiturinčioms šeimoms ir vieniems gyvenantiems asmenims bei paramos mirties atveju teikimas, išmokant pašalpas ir kompensacijas (Būsto nuomos ar išperkamosios būsto nuomos mokesčių dalies kompensacija)</t>
  </si>
  <si>
    <t>117,00</t>
  </si>
  <si>
    <t>12.01.01.01.02.</t>
  </si>
  <si>
    <t>657,00</t>
  </si>
  <si>
    <t>448,00</t>
  </si>
  <si>
    <t>2018-07-13 VS-4233 nustatytas 2019 m. planinis rodiklis buvo 483 asmenys. Iš 448 faktinio rodiklio: 309 asm. - kompensuojamas sutartis ne savivaldybės institucijos globos namuose; 139 asm. - perkamos paslaugos. Nuo 2019-07-01 sugriežtėjus specialiųjų poreikių nustatymo procedūrai, sumažėjo asmenų kuriems nustatoma sunki negalia, tačiau paslaugos kaina išaugo.Perkamos paslaugos - 139.</t>
  </si>
  <si>
    <t>85,00</t>
  </si>
  <si>
    <t>89,00</t>
  </si>
  <si>
    <t>Asmenų su sunkia negalia, kuriems teikiamos socialinės globos paslaugos, skaičius  (DANĖ)</t>
  </si>
  <si>
    <t>40,00</t>
  </si>
  <si>
    <t>34,00</t>
  </si>
  <si>
    <t>2019-08-06 VS-4012 mažinamas rodiklis 2020 m. iki 35 asmenų. Dėl pakitusio poreikio, įstaigoje keisti rodikliai perkeliant 5 vietas iš asmenų su sunkia negalia (VB lėšos) į asmenų su negalia vietas (SB lėšos).</t>
  </si>
  <si>
    <t>55,00</t>
  </si>
  <si>
    <t>60,00</t>
  </si>
  <si>
    <t>29,00</t>
  </si>
  <si>
    <t>8,00</t>
  </si>
  <si>
    <t>12.01.01.01.03.</t>
  </si>
  <si>
    <t>51,00</t>
  </si>
  <si>
    <t>12.01.01.01.0401.</t>
  </si>
  <si>
    <t>Mokinių nemokamo maitinimo organizavimas</t>
  </si>
  <si>
    <t>Greta Gaudiešiūtė</t>
  </si>
  <si>
    <t>1 128,00</t>
  </si>
  <si>
    <t>1 071,00</t>
  </si>
  <si>
    <t>2019 m. faktinis rodiklis sumažėjo dėl pasikeitusio įstatymo, padidėjus minimaliam atlyginimui, padidėjo pareiškėjų pajamos, sumažėjo asmenų, kuriems priklauso socialinė parama.</t>
  </si>
  <si>
    <t>12.01.01.01.0402.</t>
  </si>
  <si>
    <t>Mokinių nemokamo aprūpinimo mokinio reikmenimis organizavimas</t>
  </si>
  <si>
    <t>Nemokamai aprūpinamų mokinio reikmenimis mokinių skaičius</t>
  </si>
  <si>
    <t>700,00</t>
  </si>
  <si>
    <t>2019 metais pasikeitus socialinės paramos mokiniams įstatymui, padidėjo asmenų skaičius, kurie  turi teisę kreiptis, dėl socialinės paramos mokinio reikmenims įsigyti.</t>
  </si>
  <si>
    <t>12.01.01.01.0403.</t>
  </si>
  <si>
    <t>Socialinė parama mokiniams už įsigytus maisto produktus VB, VšĮ Klaipėdos licėjus</t>
  </si>
  <si>
    <t>12.01.01.01.0404.</t>
  </si>
  <si>
    <t>Socialinė parama mokiniams už įsigytus maisto produktus VB, VšĮ Vaivorykštės tako pagrindinė mokykla</t>
  </si>
  <si>
    <t>12.01.01.01.0405.</t>
  </si>
  <si>
    <t>Socialinė parama mokiniams už įsigytus maisto produktus VB, VšĮ Klaipėdos specialioji mokykla - daugiafunkcis centras "Svetliačiok"</t>
  </si>
  <si>
    <t>12.01.01.01.0406.</t>
  </si>
  <si>
    <t>Socialinė parama mokiniams už įsigytus maisto produktus VB, VšĮ Klaipėdos "Universa Via" tarptaurinė mokykla</t>
  </si>
  <si>
    <t>12.01.01.01.05.</t>
  </si>
  <si>
    <t>12.01.01.01.06.</t>
  </si>
  <si>
    <t>Projekto „Integrali pagalba į namus Klaipėdos mieste“ įgyvendinimas (dienos socialinės globos ir slaugos paslaugos į namus)</t>
  </si>
  <si>
    <t>Rima Ignatavičienė</t>
  </si>
  <si>
    <t>108,00</t>
  </si>
  <si>
    <t>12.01.01.01.0601.</t>
  </si>
  <si>
    <t>Projekto „Integrali pagalba į namus Klaipėdos mieste“ įgyvendinimas (Viešoji įstaiga „Ori senatvė“)</t>
  </si>
  <si>
    <t>12.01.01.01.07.</t>
  </si>
  <si>
    <t>Socialinio globėjo veiklos organizavimas</t>
  </si>
  <si>
    <t>Vidutinis prižiūrimų vaikų skaičius per mėnesį</t>
  </si>
  <si>
    <t>asm.</t>
  </si>
  <si>
    <t>9,00</t>
  </si>
  <si>
    <t>10,00</t>
  </si>
  <si>
    <t>VŠĮ "SOS vaikų kaimas"- 8 vaikai. Šeimos ir vaiko gerovės centras - 2 vaikai.</t>
  </si>
  <si>
    <t>12.01.01.01.08.</t>
  </si>
  <si>
    <t xml:space="preserve">Vietos bendruomenių savivaldos programos įgyvendinimas </t>
  </si>
  <si>
    <t>Renata Razgienė</t>
  </si>
  <si>
    <t>24,00</t>
  </si>
  <si>
    <t>Gautos 39 projektų paraiškos. išplėstinės seniūnaičių sueigos įvertino ir savo sprendimais patvirtino finansavimą  24 projektams.</t>
  </si>
  <si>
    <t>12.01.01.02.</t>
  </si>
  <si>
    <t>12.01.01.02.01.</t>
  </si>
  <si>
    <t>Tikslinių kompensacijų ir išmokų skaičiavimas ir mokėjimas, siekiant neįgaliesiems kompensuoti specialiųjų poreikių tenkinimo išlaidas</t>
  </si>
  <si>
    <t>4 300,00</t>
  </si>
  <si>
    <t>4 257,00</t>
  </si>
  <si>
    <t>12.01.01.03.</t>
  </si>
  <si>
    <t>Greta Levickytė, Lina Rubienė</t>
  </si>
  <si>
    <t>12.01.01.03.01.</t>
  </si>
  <si>
    <t>32 000,00</t>
  </si>
  <si>
    <t>31 417,00</t>
  </si>
  <si>
    <t>2019 m. duomenys</t>
  </si>
  <si>
    <t>12.01.01.03.02.</t>
  </si>
  <si>
    <t>Išmokų vaikams skaičiavimo ir mokėjimo administravimas</t>
  </si>
  <si>
    <t>Birutė Norvilaitė, Greta Gaudiešiūtė, Inga Garlienė</t>
  </si>
  <si>
    <t>12.01.01.04.</t>
  </si>
  <si>
    <t>12.01.01.04.01.</t>
  </si>
  <si>
    <t>450,00</t>
  </si>
  <si>
    <t>Nuo 2019 -10-01 pakeistas tvarkos aprašas padidėjo gavėjų skaičius.</t>
  </si>
  <si>
    <t>12.01.01.05.</t>
  </si>
  <si>
    <t>Lina Rubienė</t>
  </si>
  <si>
    <t>12.01.01.05.01.</t>
  </si>
  <si>
    <t>Daiva Kietelienė, Lina Rubienė, Rima Ignatavičienė</t>
  </si>
  <si>
    <t>200,00</t>
  </si>
  <si>
    <t>87,00</t>
  </si>
  <si>
    <t>Vykdant priemonę per I-IV ketv. įdarbinti 87 asmenys atliekantys laikinuosius darbus. Dėl darbuotojų stokos ir neatitikimo keliamiems reikalavimams galimas ne pilnas lėšų panaudojimas.</t>
  </si>
  <si>
    <t>50,00</t>
  </si>
  <si>
    <t>Vadovaujantis 2019-04-05 direktoriaus įsakymu Nr. AD1-585 "Dėl socialinę atskirtį patiriančių asmenų integracijos į darbo rinką projekto ir skiriamo finansavimo patvirtinimo" pagal patvirtinto priemonės vykdytojo siekiamus rodiklius planuojamas rodiklis - 4.
I-IV ketv. rodiklis pasiektas ir lėšos skirtos 2019 m. panaudotos.</t>
  </si>
  <si>
    <t>12.01.02.</t>
  </si>
  <si>
    <t xml:space="preserve">Teikti visuomenės poreikius atitinkančias socialines paslaugas įvairioms gyventojų grupėms   </t>
  </si>
  <si>
    <t>12.01.02.01.</t>
  </si>
  <si>
    <t>Socialinių paslaugų teikimas socialinėse įstaigose</t>
  </si>
  <si>
    <t>12.01.02.01.01.</t>
  </si>
  <si>
    <t>Socialinių paslaugų teikimas BĮ Klaipėdos miesto globos namuose</t>
  </si>
  <si>
    <t>Birutė Norvilaitė, Inga Garlienė</t>
  </si>
  <si>
    <t>82,00</t>
  </si>
  <si>
    <t>0,00</t>
  </si>
  <si>
    <t>Vyksta rekonstrukcijos darbai pagal įstaigos pasirašytą 2019.05.17 Viešojo darbų atlikimo sutartį Nr. 199/22. Darbų atlikimo terminas iki 2019.09.30.</t>
  </si>
  <si>
    <t>12.01.02.01.0101.</t>
  </si>
  <si>
    <t>Projekto „Jungtinio kompetencijų centro kūrimas ir išmaniųjų socialinių paslaugų senyvo amžiaus asmenims teikimas“ įgyvendinimas</t>
  </si>
  <si>
    <t>54,00</t>
  </si>
  <si>
    <t>Rodiklis buvo numatytas įvykdyti per visą projekto „Jungtinio kompetencijų centro kūrimas ir išmaniųjų socialinių paslaugų senyvo amžiaus asmenims teikimas“ vykdymo laikotarpį. Visos projekto veiklos įgyvendintos, viršyti numatyti rodikliai. Projektas užbaigtas 2019-04-02.</t>
  </si>
  <si>
    <t>12.01.02.01.02.</t>
  </si>
  <si>
    <t>Socialinių paslaugų teikimas BĮ Klaipėdos miesto socialinės paramos centre</t>
  </si>
  <si>
    <t>Suteikta transporto paslaugų, asmenims</t>
  </si>
  <si>
    <t>160,00</t>
  </si>
  <si>
    <t>272,00</t>
  </si>
  <si>
    <t>Išduota techninės pagalbos priemonių</t>
  </si>
  <si>
    <t>1 492,00</t>
  </si>
  <si>
    <t>Asmenų, gaunančių soc. globos paslaugas namuose, skaičius</t>
  </si>
  <si>
    <t>94,00</t>
  </si>
  <si>
    <t>Suteikta paslaugų asmenims į namus</t>
  </si>
  <si>
    <t>220,00</t>
  </si>
  <si>
    <t>339,00</t>
  </si>
  <si>
    <t>Asmenų, kuriems suteikta parama rūbais, avalyne, kt., skaičius</t>
  </si>
  <si>
    <t>280,00</t>
  </si>
  <si>
    <t>824,00</t>
  </si>
  <si>
    <t>Asmenų, kuriems išduota techninės pagalbos priemonių, skaičius</t>
  </si>
  <si>
    <t>800,00</t>
  </si>
  <si>
    <t>1 320,00</t>
  </si>
  <si>
    <t>12.01.02.01.0203.</t>
  </si>
  <si>
    <t>Projekto „Matyk kitą kelią“ įgyvendinimas</t>
  </si>
  <si>
    <t>3,00</t>
  </si>
  <si>
    <t>20,00</t>
  </si>
  <si>
    <t>Mokymuose dalyvavo 320 dalyvių</t>
  </si>
  <si>
    <t>12.01.02.01.03.</t>
  </si>
  <si>
    <t>Socialinių paslaugų teikimas BĮ Neįgaliųjų centre „Klaipėdos lakštutė“</t>
  </si>
  <si>
    <t>Pagalbos į namus paslaugos gavėjų</t>
  </si>
  <si>
    <t>42,00</t>
  </si>
  <si>
    <t>Paslaugų gavėjų skaičius padidėjo dėl padidėjusio paslaugų poreikio.</t>
  </si>
  <si>
    <t>Asmenų, gaunančių dienos socialinės globos paslaugas namuose, skaičius</t>
  </si>
  <si>
    <t>63,00</t>
  </si>
  <si>
    <t>75,00</t>
  </si>
  <si>
    <t>Paslaugų gavėjai pageidavo  mažesnių valandų skaičiaus, todėl buvo didinamas paslaugų gavėjų skaičius.</t>
  </si>
  <si>
    <t>Asmenų, gaunančių dienos socialinės globos paslaugas įstaigoje, skaičius</t>
  </si>
  <si>
    <t>70,00</t>
  </si>
  <si>
    <t>Paslaugų gavėjai susimažino lankomų dienų skaičių, todėl į atsiradusias laisvas dienas buvo priimti nauji paslaugų gavėjai.</t>
  </si>
  <si>
    <t>12.01.02.01.04.</t>
  </si>
  <si>
    <t>Socialinių paslaugų teikimas BĮ Klaipėdos miesto šeimos ir vaiko gerovės centre</t>
  </si>
  <si>
    <t>Organizuota tėvystės įgūdžių/globėjų (rūpintojų) mokymų, skaičius</t>
  </si>
  <si>
    <t>Įvyko 3 tėvystės įgūdžių užsiėmimai, nes buvo poreikis. Poreikis kiekvienais metais gali skirtis, dėl paslaugų gavėjų.</t>
  </si>
  <si>
    <t>Psichosocialinės pagalbos paslaugų gavėjų</t>
  </si>
  <si>
    <t>130,00</t>
  </si>
  <si>
    <t>279,00</t>
  </si>
  <si>
    <t>Planinis rodiklis buvo viršytas, nes apie teikiamą paslaugą buvo rengiami viešinimo renginiai. Moterys sužinojusios apie paslaugas pasinaudojo jomis.</t>
  </si>
  <si>
    <t>Įsigyta kompiuterių</t>
  </si>
  <si>
    <t>15,00</t>
  </si>
  <si>
    <t>Sutaupius lėšas buvo įsigyta daugiau kompiuterių.</t>
  </si>
  <si>
    <t>Įsigyta licencijų ir programinės įrangos</t>
  </si>
  <si>
    <t>Sutaupius lėšas įsigyta daugiau licencijų ir programinės įrangos.</t>
  </si>
  <si>
    <t>Vietų skaičius trumpalaikės soc. globos paslaugai gauti</t>
  </si>
  <si>
    <t>12,00</t>
  </si>
  <si>
    <t>Vietų skaičius intensyvios krizių įveikimo pagalbos paslaugai gauti</t>
  </si>
  <si>
    <t>14 000,00</t>
  </si>
  <si>
    <t>15 568,00</t>
  </si>
  <si>
    <t>Intervencijų į šeimas atlikta daugiau, nes buvo poreikis teikti paslaugas apsilankant šeimų namuose.</t>
  </si>
  <si>
    <t>12.01.02.01.0403.</t>
  </si>
  <si>
    <t>Projekto „Moterys ir vaikai - saugūs savo mieste“ įgyvendinimas</t>
  </si>
  <si>
    <t>16,00</t>
  </si>
  <si>
    <t>Asmenų, gaunančių paslaugas BĮ Klaipėdos miesto šeimos  ir vaiko gerovės centro Pagalbos moterims padalinyje, sk.- 16</t>
  </si>
  <si>
    <t>12.01.02.01.0404</t>
  </si>
  <si>
    <t>Projekto „Vaikų gerovės ir saugumo didinimo, paslaugų šeimai, globėjams (rūpintojams) kokybės didinimo bei prieinamumo plėtra“ įgyvendinimas</t>
  </si>
  <si>
    <t>6,00</t>
  </si>
  <si>
    <t>12.01.02.01.05.</t>
  </si>
  <si>
    <t>Socialinių paslaugų teikimas BĮ Klaipėdos miesto nakvynės namuose</t>
  </si>
  <si>
    <t>187,00</t>
  </si>
  <si>
    <t>Paslaugų vietų sumažėjo, nes vykdomi renovacijos darbai adresu Viršutinė g. 21 (70 vietų)</t>
  </si>
  <si>
    <t>Dėl žmogiškųjų faktorių (klientų socialinės grupės, amžiaus ir sveikatos būklės) savarankiškai išėjusių gyventojų planas sumažėjo</t>
  </si>
  <si>
    <t>Įsigyta baldų</t>
  </si>
  <si>
    <t>159,00</t>
  </si>
  <si>
    <t>232,00</t>
  </si>
  <si>
    <t>Vykdant paslaugų, adresu Viršutinė g. 21, tikslingą įgyvendinimą ir įvertinus poreikį, baldų kiekis padidėjo (įsigytos lovos, spintos, spintelės, kėdės (60 vietų)).</t>
  </si>
  <si>
    <t>12.01.02.01.06.</t>
  </si>
  <si>
    <t>Socialinių paslaugų teikimas BĮ Klaipėdos vaikų globos namuose „Smiltelė“</t>
  </si>
  <si>
    <t>Vaikų skaičius</t>
  </si>
  <si>
    <t>Vaikų skaičius sumažėjo, nes dalis vaikų išvyko sulaukę pilnametystės, taip pat 11-12 mėn. dalis vaikų perkelta į "Ryto" bendruomeninius namus.</t>
  </si>
  <si>
    <t>12.01.02.01.07.</t>
  </si>
  <si>
    <t>Socialinių paslaugų teikimas BĮ Klaipėdos socialinių paslaugų centre „Danė“</t>
  </si>
  <si>
    <t>Įsigyta oro vėsinimo siurblių</t>
  </si>
  <si>
    <t>19,00</t>
  </si>
  <si>
    <t>2018 m. rugpjūčio 1 d. Nr. AD1-1927 įsakymu patvirtintas vietų sk. įstaigoje - 19.</t>
  </si>
  <si>
    <t>12.01.02.01.0701.</t>
  </si>
  <si>
    <t>Senyvo amžiaus asmenų ir suaugusių asmenų su psichine negalia dienos socialinės globos centrai (Kretingos g. 44)</t>
  </si>
  <si>
    <t>12.01.02.01.08.</t>
  </si>
  <si>
    <t>Socialinių paslaugų teikimas BĮ Klaipėdos vaikų globos namuose „Rytas“</t>
  </si>
  <si>
    <t>48,00</t>
  </si>
  <si>
    <t>Įsigyta virtuvės įranga ir baldai (skaičius vienetais)</t>
  </si>
  <si>
    <t>74,00</t>
  </si>
  <si>
    <t>37,00</t>
  </si>
  <si>
    <t>Įsigyta mažiau virtuvės įrangos ir baldų, nes nupirktas vienas butas, vietoj planuotų dviejų.</t>
  </si>
  <si>
    <t>Įsigyta apsaugos ir priešgaisrinė sistema</t>
  </si>
  <si>
    <t>Nupirktas 1 butas.</t>
  </si>
  <si>
    <t>12.01.02.01.09.</t>
  </si>
  <si>
    <t>Savivaldybės įstaigų skaičius</t>
  </si>
  <si>
    <t>12.01.02.02.</t>
  </si>
  <si>
    <t>12.01.02.02.01.</t>
  </si>
  <si>
    <t>97,00</t>
  </si>
  <si>
    <t>138,00</t>
  </si>
  <si>
    <t>Nuolat augantis paslaugos poreikis. Nuo 2019-07-01 sugriežtėjus specialiųjų poreikių nustatymo procedūrai, sumažėjo asmenų kuriems nustatoma sunki negalia ( VB lėšos) ir jie tada patenka į asmenų su negalia grupę (SB lėšos).</t>
  </si>
  <si>
    <t>12.01.02.03.</t>
  </si>
  <si>
    <t>Dienos socialinės globos, trumpalaikės socialinės globos ir socialinės priežiūros paslaugų teikimo organizavimas miesto gyventojams ne savivaldybės institucijose</t>
  </si>
  <si>
    <t>Daiva Kietelienė, Rasa Pozniakienė</t>
  </si>
  <si>
    <t>12.01.02.03.01.</t>
  </si>
  <si>
    <t>Dienos socialinę globą dienos socialinės globos centre gaunančių asmenų su psichine negalia skaičius per mėn.</t>
  </si>
  <si>
    <t>13,00</t>
  </si>
  <si>
    <t>Dienos socialinę globą dienos socialinės globos centre gaunančių asmenų su psichine negalia skaičius per mėn. (VšĮ Klaipėdos specialioji mokykla - daugiafunkcinis centras „Svetliačiok“)</t>
  </si>
  <si>
    <t>VšĮ Klaipėdos specialioji mokykla - daugiafunkcinis centras „Svetliačiok“.</t>
  </si>
  <si>
    <t>12.01.02.03.02.</t>
  </si>
  <si>
    <t>Dienos socialinę globą gaunančių dienos socialinės globos centre vaikų  su negalia skaičius per mėn.</t>
  </si>
  <si>
    <t>18,00</t>
  </si>
  <si>
    <t>12.01.02.03.03.</t>
  </si>
  <si>
    <t>Vidutiniškai per mėn. paslaugas gaunančių socialinės rizikos ir rizikos šeimų vaikų skaičius</t>
  </si>
  <si>
    <t>Padidėjusi paklausa. LPF "Dienvidis" - 14, LPF "Dvasinės paramos jaunimui centras" - 20.</t>
  </si>
  <si>
    <t>12.01.02.03.04.</t>
  </si>
  <si>
    <t>Pagalbos į namus paslaugos gavėjų skaičius per mėnesį</t>
  </si>
  <si>
    <t>161,00</t>
  </si>
  <si>
    <t>Paslaugas teikia VšĮ Ori senatvė. Augantis paslaugų poreikis.</t>
  </si>
  <si>
    <t>12.01.02.03.05.</t>
  </si>
  <si>
    <t>150,00</t>
  </si>
  <si>
    <t>95,00</t>
  </si>
  <si>
    <t>Paslaugas teikia LPF "Maisto bankas". Dėl augančių pajamų, mažiau asmenų gali naudotis paslauga.</t>
  </si>
  <si>
    <t>12.01.02.03.06.</t>
  </si>
  <si>
    <t>Efektyvių globos ir įvaikinimo populiarinimo, globėjų (įtėvių) paieškos formų įgyvendinimas</t>
  </si>
  <si>
    <t>12.01.02.03.07.</t>
  </si>
  <si>
    <t>Vidutinis šeimų, auginančių vaiką su negalia ir patiriančių krizes, skaičius per mėn.</t>
  </si>
  <si>
    <t>22,00</t>
  </si>
  <si>
    <t>Paslaugas teikia UAB "Projektų įgyvendinimo grupė".</t>
  </si>
  <si>
    <t>12.01.02.04.</t>
  </si>
  <si>
    <t>Socialinių projektų dalinis finansavimas</t>
  </si>
  <si>
    <t>12.01.02.04.01.</t>
  </si>
  <si>
    <t>21,00</t>
  </si>
  <si>
    <t>Daugiau, nei planuota, paraiškų buvo įvertinta teigiamai.</t>
  </si>
  <si>
    <t>12.01.02.04.02.</t>
  </si>
  <si>
    <t>Socialinės reabilitacijos paslaugų neįgaliesiems bendruomenėje projektų dalinis finansavimas</t>
  </si>
  <si>
    <t>Iš dalies finansuojama projektų</t>
  </si>
  <si>
    <t>11,00</t>
  </si>
  <si>
    <t>12.01.02.05.</t>
  </si>
  <si>
    <t>Inga Kubilienė</t>
  </si>
  <si>
    <t>12.01.02.05.01.</t>
  </si>
  <si>
    <t>Įsigyta keltuvų, skirtų neįgaliems asmenims su ryškiu judėjimo sutrikimu</t>
  </si>
  <si>
    <t>7,00</t>
  </si>
  <si>
    <t>Įvykdyta, pagal  poreikį ir lėšų skaičių</t>
  </si>
  <si>
    <t>Pritaikyta butų neįgaliesiems</t>
  </si>
  <si>
    <t>įvykdyta</t>
  </si>
  <si>
    <t>Prižiūrima, eksploatuojamų keltuvų</t>
  </si>
  <si>
    <t>Priemonė vykdoma pagal planą</t>
  </si>
  <si>
    <t>Pritaikyta būstų vaikams su sunkia negalia</t>
  </si>
  <si>
    <t>Įvykdyta</t>
  </si>
  <si>
    <t>12.01.02.06.</t>
  </si>
  <si>
    <t>12.01.02.06.01.</t>
  </si>
  <si>
    <t>12.01.02.07.</t>
  </si>
  <si>
    <t>Zigmantė Petrauskienė</t>
  </si>
  <si>
    <t>350,00</t>
  </si>
  <si>
    <t>12.01.02.07.01.</t>
  </si>
  <si>
    <t>Projekto „Kompleksinės paslaugos šeimai Klaipėdos mieste“ įgyvendinimas - Klaipėdos miesto savivaldybės administracija</t>
  </si>
  <si>
    <t>12.01.02.07.02.</t>
  </si>
  <si>
    <t>Projekto „Kompleksinės paslaugos šeimai Klaipėdos mieste“ įgyvendinimas - BĮ Klaipėdos miesto šeimos ir vaiko gerovės centras</t>
  </si>
  <si>
    <t>12.01.02.07.03.</t>
  </si>
  <si>
    <t>Projekto „Kompleksinės paslaugos šeimai Klaipėdos mieste“ įgyvendinimas - Labdaros paramos fondas „Dienvidis“</t>
  </si>
  <si>
    <t>12.01.02.07.04.</t>
  </si>
  <si>
    <t>Projekto „Kompleksinės paslaugos šeimai Klaipėdos mieste“ įgyvendinimas - Labdaros ir paramos fondas „Dvasinės pagalbos jaunimui centras“</t>
  </si>
  <si>
    <t>12.01.02.07.05.</t>
  </si>
  <si>
    <t>Projekto „Kompleksinės paslaugos šeimai Klaipėdos mieste“ įgyvendinimas - VšĮ Socialinių paslaugų informacijos centras</t>
  </si>
  <si>
    <t>12.01.02.07.051.</t>
  </si>
  <si>
    <t>Projekto „Kompleksinės paslaugos šeimai Klaipėdos mieste“ įgyvendinimas - VšĮ Socialinių paslaugų informacijos centras (asistento paslauga)</t>
  </si>
  <si>
    <t>12.01.02.08.</t>
  </si>
  <si>
    <t>Priemonių, mažinančių administracinę naštą juridiniams ir fiziniams asmenims, taikymas, projekto „Paslaugų organizavimo ir asmenų aptarnavimo kokybės gerinimas teikiant socialinę paramą Klaipėdos miesto savivaldybėje“ įgyvendinimas</t>
  </si>
  <si>
    <t>12.01.02.08.01.</t>
  </si>
  <si>
    <t>Darbuotojų, dalyvavusių kompetencijų stiprinime, skaičius</t>
  </si>
  <si>
    <t>340,00</t>
  </si>
  <si>
    <t>Pasislinko projekto įgyvendinimo laikotarpis. Atlikus Socialinės paramos paslaugų teikimui naudojamų IS ir asmenų aptarnavimo procesų auditą bus vykdomas pasirinkto kokybės metodo diegimas (įsigijimas) ir darbuotojų mokymai. 2020 m. sausio mėn. pradėtas vykdyti kokybės vadybos sistemos diegimo paslaugų pirkimas.</t>
  </si>
  <si>
    <t>Parengta vadybos kokybės sistemos ar metodo įgyvendinimo / įdiegimo įstaigose dokumentacija</t>
  </si>
  <si>
    <t>Paruošta Socialinės paramos paslaugų teikimui naudojamų IS ir asmenų aptarnavimo procesų audito ataskaita.</t>
  </si>
  <si>
    <t>12.01.02.09.</t>
  </si>
  <si>
    <t>Klaipėdos miesto integruotų investicijų teritorijos vietos veiklos grupės 2016-2022 metų vietos plėtros įgyvendinimas ir veiklų administravimas</t>
  </si>
  <si>
    <t>12.01.02.09.01.</t>
  </si>
  <si>
    <t>Jurgita Činauskaitė, Reda Švelniūtė</t>
  </si>
  <si>
    <t>Vykdoma projektų</t>
  </si>
  <si>
    <t>8 projektai vykdomi, 3 projektus vertina ESFA, 2 projektus atsisakė vykdyti projektų pareiškėjai (deramasi su jais, kad visgi projketus vykdytų, jeigu nevykdys bus skelbiamas pakartotinis kvietimas).
2019 m. dar bus šaukiami dar 4 pakarotiniai ir 1 naujas kvietimas.</t>
  </si>
  <si>
    <t>12.01.03.</t>
  </si>
  <si>
    <t xml:space="preserve">Plėtoti socialinių paslaugų infrastruktūrą, įrengiant  naujus ir modernizuojant esamus socialines paslaugas teikiančių įstaigų pastatus  </t>
  </si>
  <si>
    <t>Edvardas Simokaitis, Elona Jurkevičienė, Valdas Švedas</t>
  </si>
  <si>
    <t>12.01.03.01.</t>
  </si>
  <si>
    <t>Teikiamų socialinių paslaugų infrastruktūros tobulinimas siekiant atitikti keliamus reikalavimus</t>
  </si>
  <si>
    <t>Edvardas Simokaitis, Elona Jurkevičienė, Inga Kubilienė, Valdas Švedas</t>
  </si>
  <si>
    <t>12.01.03.01.01.</t>
  </si>
  <si>
    <t>Laikino apnakvindinimo namų steigimas (Dubysos g.)</t>
  </si>
  <si>
    <t>Jurgita Jasilionienė</t>
  </si>
  <si>
    <t>Įsigyta baldų (procentais)</t>
  </si>
  <si>
    <t>100,00</t>
  </si>
  <si>
    <t>Įsigyta 100 proc. baldų.</t>
  </si>
  <si>
    <t>Atlikta statybos darbų. Užbaigtumas</t>
  </si>
  <si>
    <t>Atlikta 100 proc. projekto „Laikino apnakvindinimo namų steigimas“ statybos darbų.Objektas perduotas VšĮ Klaipėdos nakvynės namams.</t>
  </si>
  <si>
    <t>12.01.03.01.02.</t>
  </si>
  <si>
    <t>Laikino apgyvendinimo namų infrastruktūros modernizavimas (Šilutės pl. 8, nakvynės namai)</t>
  </si>
  <si>
    <t>Atlikta rekonstravimo darbų. Užbaigtumas</t>
  </si>
  <si>
    <t>Parengtas kapitalinio remonto techninis projektas.  Projektuotojui už darbų atlikimo terminų pradelsimą išrašyta 1450,50 eur delspinigių sąskaita. Vykdomos kapitalinio remonto viešųjų pirkimų procedūros. Pirkimo sąlygos pateiktos CPVA patikrai.</t>
  </si>
  <si>
    <t>Įsigyta įrangos, baldų (procentais)</t>
  </si>
  <si>
    <t>12.01.03.01.03.</t>
  </si>
  <si>
    <t>Senyvo amžiaus asmenų globos paslaugų plėtra rekonstruojant pastatą, esantį Melnragės gyvenamajame rajone, Vaivos g. 23</t>
  </si>
  <si>
    <t>Daina Stankevičienė, Edita Dolėbienė</t>
  </si>
  <si>
    <t>Techninio projekto parengimo 2018-06-28 sutarts Nr. J9-1484 su UAB "Uostamiesčio projektas" sustabdyta iki bendrojo plano pakeitimo (2019-02-18 susitarimas Nr. J9-743)</t>
  </si>
  <si>
    <t>Atlikta rangos darbų</t>
  </si>
  <si>
    <t>12.01.03.01.04.</t>
  </si>
  <si>
    <t>Nakvynės namų pastato (Viršutinė g. 21) rekonstravimas</t>
  </si>
  <si>
    <t>Edita Dolėbienė, Inesa Gustaitienė</t>
  </si>
  <si>
    <t>Rangovas UAB "Lyderio grupė" pagal 2018-07-24 rangos sutartį Nr. J9-1656 vėlavo atlikti darbus  dėl įmonės bankroto paskelbimo, todėl 10% rangos darbų užbaigimas bus atliekamas 2020 m.</t>
  </si>
  <si>
    <t>12.01.03.01.05.</t>
  </si>
  <si>
    <t>Komunalinių paslaugų (šildymo, vandens, nuotekų) įsigijimas</t>
  </si>
  <si>
    <t>Inga Kubilienė, Skirmantas Adašiūnas</t>
  </si>
  <si>
    <t>Šildoma įstaigų</t>
  </si>
  <si>
    <t>12.01.03.01.06.</t>
  </si>
  <si>
    <t>Simona Razgutė-Mažūnienė</t>
  </si>
  <si>
    <t>Įsigyta būstų</t>
  </si>
  <si>
    <t>2019 metais Įsigytas vienas butas. Likusių dviejų butų pirkimo procedūros bus vykdomos 2020 metais.</t>
  </si>
  <si>
    <t>12.01.04.</t>
  </si>
  <si>
    <t xml:space="preserve">Užtikrinti Klaipėdos miesto socialinio būsto fondo plėtrą ir  valstybės politikos, padedančios apsirūpinti būstu, įgyvendinimą   </t>
  </si>
  <si>
    <t>Danguolė Netikšienė, Edvardas Simokaitis, Elona Jurkevičienė, Valdas Švedas</t>
  </si>
  <si>
    <t>12.01.04.01.</t>
  </si>
  <si>
    <t>Socialinio būsto fondo plėtra</t>
  </si>
  <si>
    <t>12.01.04.01.01.</t>
  </si>
  <si>
    <t>Edvardas Simokaitis</t>
  </si>
  <si>
    <t>Nupirkta butų</t>
  </si>
  <si>
    <t>2019 metais nupirkti 7 butai skirti socialinio fondo plėtrai.</t>
  </si>
  <si>
    <t xml:space="preserve">12.01.04.01.02. </t>
  </si>
  <si>
    <t>Savivaldybės socialinio būsto fondo gyvenamojo namo statyba žemės sklype Irklų g. 1</t>
  </si>
  <si>
    <t>Jurgita Poimanskienė</t>
  </si>
  <si>
    <t>Įgyvendintas projektas</t>
  </si>
  <si>
    <t>0,60</t>
  </si>
  <si>
    <t>2019-04-29 gautas daugiabučio gyvenamojo namo sklype Irklų g. 1, Klaipėdoje statybos darbų užbaigimo aktas. 2019 m. rugsėjo mėn. pradėti daugiabučio gyvenamojo namo sklype Rambyno g. 14A, Klaipėdoje darbai. 2019-10-01 pasirašytas papildomas susitarimas dėl papildomų ir nevykdomų daugiabučio gyvenamojo namo sklype Rambyno g. 14A, Klaipėdoje darbų. Atlikta 18,70 proc. daugiabučio gyvenamojo namo sklype Rambyno g. 14A, Klaipėdoje statybos darbų.</t>
  </si>
  <si>
    <t>12.01.04.02.</t>
  </si>
  <si>
    <t>Savivaldybės gyvenamųjų patalpų  tinkamos fizinės būklės užtikrinimas ir nuomos administravimas</t>
  </si>
  <si>
    <t>Danguolė Netikšienė</t>
  </si>
  <si>
    <t>12.01.04.02.01.</t>
  </si>
  <si>
    <t>Savivaldybės gyvenamųjų patalpų techninės būklės vertinimas ir remontas</t>
  </si>
  <si>
    <t>Suremontuota butų</t>
  </si>
  <si>
    <t>35,00</t>
  </si>
  <si>
    <t>23,00</t>
  </si>
  <si>
    <t>Pradėti ir vykdomi dar 26 butų remonto darbai.</t>
  </si>
  <si>
    <t>12.01.04.02.02.</t>
  </si>
  <si>
    <t>Apmokėjimas savivaldybei tenkančia dalimi už daugiabučių namų bendrosios  nuosavybės objektų atnaujinimą ir renovaciją bei lėšų kaupimą</t>
  </si>
  <si>
    <t>240,00</t>
  </si>
  <si>
    <t>637,00</t>
  </si>
  <si>
    <t>12.01.04.02.03.</t>
  </si>
  <si>
    <t>Savivaldybės butai, kuriuose pašalintos avarijų grėsmės ar padariniai</t>
  </si>
  <si>
    <t>12.01.04.02.04.</t>
  </si>
  <si>
    <t>Surinkta  nuomos mokesčio  (proc. nuo priskaičiuoto)</t>
  </si>
  <si>
    <t>98,00</t>
  </si>
  <si>
    <t>12.01.04.02.06.</t>
  </si>
  <si>
    <t>Užtikrintas privalomojo gyvenamųjų namų naudojimo ir priežiūros reikalavimų įgyvendinimas</t>
  </si>
  <si>
    <t>12.01.04.03.</t>
  </si>
  <si>
    <t>Politinių kalinių ir tremtinių bei jų šeimų narių sugrįžimo į Lietuvą programos įgyvendinimas</t>
  </si>
  <si>
    <t>12.01.04.03.01.</t>
  </si>
  <si>
    <t>Butų pirkimas politiniams kaliniams ir tremtiniams bei jų šeimų nariams</t>
  </si>
  <si>
    <t>2019 metais nupirktas vienas butas.</t>
  </si>
  <si>
    <t>Europos Sąjungos paramos lėšos</t>
  </si>
  <si>
    <t>Europos Sąjungos paramos lėšų likutis (Savivaldybės biudžetas)</t>
  </si>
  <si>
    <t>Programų lėšų likučių laikinai laisvos lėšos  (apyvartos lėšų likutis)</t>
  </si>
  <si>
    <t>Įstaigų pajamos</t>
  </si>
  <si>
    <t>Pajamų imokų likutis</t>
  </si>
  <si>
    <t>Valstybės biudžeto specialiosios tikslinės dotacijos lėšos</t>
  </si>
  <si>
    <t>Kiti šaltiniai</t>
  </si>
  <si>
    <t>Valstybės biudžeto lėšos</t>
  </si>
  <si>
    <t>Savivaldybės biudžeto</t>
  </si>
  <si>
    <t>Europos Sąjungos paramos lėšos (Savivaldybės biudžetas)</t>
  </si>
  <si>
    <t>2 336</t>
  </si>
  <si>
    <t>Kreipėsi mažiau asmenų, nei buvo planuota. Mažiausiai asmenų kreipėsi vasaros sezono metų (laikini, sezoniniai darbai).</t>
  </si>
  <si>
    <t>1071</t>
  </si>
  <si>
    <t>869</t>
  </si>
  <si>
    <t>Gautos 39 projektų paraiškos, tačiau išplėstinės seniūnaičių sueigos įvertino ir savo sprendimais patvirtino finansavimą  24 projektams.</t>
  </si>
  <si>
    <t>4 257</t>
  </si>
  <si>
    <t>Savivaldybės socialinių paslaugų (išskyrus bendrąsias socialines paslaugas) gavėjų dalis nuo visų socialinių paslaugų gavėjų, proc.</t>
  </si>
  <si>
    <t>Vidutinis prižiūrimų vaikų skaičius per mėnesį (VšĮ „Vilniaus SOS vaikų kaimas“)</t>
  </si>
  <si>
    <t xml:space="preserve">Vykdant priemonę įdarbinti 87 asmenys, atliekantys laikinuosius darbus. </t>
  </si>
  <si>
    <t>1492/1320</t>
  </si>
  <si>
    <t>339/94</t>
  </si>
  <si>
    <t>75</t>
  </si>
  <si>
    <t>50</t>
  </si>
  <si>
    <t>Paslaugų gavėjai pageidavo  mažesnio valandų skaičiaus, todėl buvo padidintas paslaugų gavėjų skaičius.</t>
  </si>
  <si>
    <t>15568</t>
  </si>
  <si>
    <t>Įsigyta oro vėsinimo siurblių, vnt.</t>
  </si>
  <si>
    <t>Įsigyta mažiau virtuvės įrangos ir baldų, nes nupirktas vienas butas vietoj planuotų dviejų.</t>
  </si>
  <si>
    <t>13</t>
  </si>
  <si>
    <t>Paslauga teikiama VšĮ Klaipėdos specialioji mokykla - daugiafunkcinis centre „Svetliačiok“.</t>
  </si>
  <si>
    <t>Paslaugas teikia UAB „Projektų įgyvendinimo grupė“.</t>
  </si>
  <si>
    <t>Pritaikyta 20 butų neįgaliesiems ir 7 būstai vaikams su sunkia negalia</t>
  </si>
  <si>
    <t xml:space="preserve">Įvykdyta pagal  poreikį </t>
  </si>
  <si>
    <r>
      <t xml:space="preserve">2019 M. KLAIPĖDOS MIESTO SAVIVALDYBĖS </t>
    </r>
    <r>
      <rPr>
        <b/>
        <sz val="12"/>
        <rFont val="Times New Roman"/>
        <family val="1"/>
      </rPr>
      <t xml:space="preserve">                        
SOCIALINĖS ATSKIRTIES MAŽINIMO  </t>
    </r>
    <r>
      <rPr>
        <b/>
        <sz val="12"/>
        <rFont val="Times New Roman"/>
        <family val="1"/>
        <charset val="186"/>
      </rPr>
      <t>PROGRAMOS (NR. 12)</t>
    </r>
  </si>
  <si>
    <t>neįvykdyta –</t>
  </si>
  <si>
    <r>
      <t xml:space="preserve">Iš </t>
    </r>
    <r>
      <rPr>
        <b/>
        <sz val="12"/>
        <rFont val="Times New Roman"/>
        <family val="1"/>
        <charset val="186"/>
      </rPr>
      <t>2019 m. planuotų įvykdyti</t>
    </r>
    <r>
      <rPr>
        <sz val="12"/>
        <rFont val="Times New Roman"/>
        <family val="1"/>
        <charset val="186"/>
      </rPr>
      <t xml:space="preserve"> 54 priemonių ir papriemonių (kurioms patvirtinti / skirti asignavimai): </t>
    </r>
  </si>
  <si>
    <t>planuotos reikšmės</t>
  </si>
  <si>
    <t xml:space="preserve">* Pagal Klaipėdos miesto savivaldybės administracijos direktoriaus 2019-03-04 įsakymą Nr. AD1-399       
</t>
  </si>
  <si>
    <t>* Pagal Klaipėdos miesto savivaldybės administracijos direktoriaus 2019-10-30 įsakymą Nr. AD1-1349</t>
  </si>
  <si>
    <t>Dėl žmogiškųjų faktorių (klientų socialinės grupės, amžiaus ir sveikatos būklės) savarankiškai išėjusių gyventojų skaičius sumažėjo.</t>
  </si>
  <si>
    <t>Priemonė vykdoma pagal planą.</t>
  </si>
  <si>
    <t>0</t>
  </si>
  <si>
    <t>Migracijos centras nutraukė sutartį, nes nebuvo asmenų, kuriems būtų reikėję suteikti integracijos paslaugas.</t>
  </si>
  <si>
    <t xml:space="preserve">Mažesnis, nei planuota, asmenų, gaunančių paslaugas BĮ Klaipėdos miesto šeimos  ir vaiko gerovės centro Pagalbos moterims padalinyje, skaičius. </t>
  </si>
  <si>
    <t>Klaipėdos mieste liko 4 asmenys, gaunantys šią išmoką.</t>
  </si>
  <si>
    <t>2019 m., pasikeitus socialinės paramos mokiniams įstatymui, išaugo asmenų, kurie turi teisę kreiptis dėl socialinės paramos mokinio reikmenims įsigyti, skaičius</t>
  </si>
  <si>
    <t>Nuo 2019-10-01, pakeitus Materialinės paramos teikimo tvarkos aprašą, išaugo gavėjų skaičius.</t>
  </si>
  <si>
    <t>Kriterijaus reikšmė „60“ buvo numatyta pasiekti per visą projekto „Jungtinio kompetencijų centro kūrimas ir išmaniųjų socialinių paslaugų senyvo amžiaus asmenims teikimas“ vykdymo laikotarpį. Visos projekto veiklos įgyvendintos, tačiau pasiektas mažesnis rodiklis. Projektas užbaigtas 2019-04-02.</t>
  </si>
  <si>
    <t>Migracijos centras atsiuntė tik tris asmenis, kuriems reikalingos šios paslaugos.</t>
  </si>
  <si>
    <t>Paslaugų gavėjų skaičius padidėjo dėl išaugusio paslaugų poreikio.</t>
  </si>
  <si>
    <t>Paslaugų gavėjai pageidavo mažesnio lankomų dienų skaičiaus, todėl į atsiradusias laisvas vietas buvo priimti nauji paslaugų gavėjai.</t>
  </si>
  <si>
    <t>Planinis rodiklis buvo viršytas, nes apie teikiamą paslaugą buvo rengiami viešinimo renginiai. Daugiau asmenų sužinojo apie paslaugas ir pasinaudojo jomis.</t>
  </si>
  <si>
    <t>Paslaugos poreikis nuolat auga. Nuo 2019-07-01 sugriežtėjus specialiųjų poreikių nustatymo procedūrai, sumažėjo asmenų, kuriems nustatyta sunki negalia (dotuojama iš VB lėšų) ir jie pateko į asmenų su negalia grupę (finansuojama iš SB lėšų).</t>
  </si>
  <si>
    <t>Organizuoti renginiai Socialinio darbuotojo ir Neįgaliųjų dienoms paminėti.</t>
  </si>
  <si>
    <t>Pratęstas projekto įgyvendinimo laikotarpis. Atlikus Socialinės paramos paslaugų teikimui naudojamų IS ir asmenų aptarnavimo procesų auditą, bus vykdomas pasirinkto kokybės metodo diegimas (įsigijimas) ir darbuotojų mokymai. 2020 m. sausį pradėtas vykdyti kokybės vadybos sistemos diegimo paslaugų pirkimas.</t>
  </si>
  <si>
    <t>Parengtas kapitalinio remonto techninis projektas.  Projektuotojui už darbų atlikimo terminų pradelsimą išrašyta 1450,5 Eur delspinigių sąskaita. Vykdomos kapitalinio remonto viešųjų pirkimų procedūros. Pirkimo sąlygos pateiktos Centrinės projektų valdymo agentūros patikrai.</t>
  </si>
  <si>
    <t>Rangovas vėlavo atlikti darbus dėl įmonės bankroto paskelbimo, todėl 1ikę 10 proc. rangos darbų bus atlikti 2020 m.</t>
  </si>
  <si>
    <t>2019 m. buvo įsigyti 2 butai. Trečias butas neįsigytas, nes pateiktų pasiūlymų kainos buvo per didelės, daugiau pirkimo sąlygas atitinkančių pasiūlymų nebuvo gauta.</t>
  </si>
  <si>
    <t>2019-04-29 gautas daugiabučio gyvenamojo namo sklype Irklų g. 1 statybos darbų užbaigimo aktas. 2019 m. rugsėjį pradėti daugiabučio gyvenamojo namo sklype Rambyno g. 14A rangos darbai. 2019-10-01 pasirašytas papildomas susitarimas dėl papildomų ir nevykdomų daugiabučio gyvenamojo namo sklype Rambyno g. 14A darbų. Atlikta 18,7 proc. daugiabučio gyvenamojo namo sklype Rambyno g. 14A statybos darbų.</t>
  </si>
  <si>
    <t>Dar 26 butų remonto darbai yra pradėti ir vykdomi 2020 m.</t>
  </si>
  <si>
    <t>Laukimo trukmė auga, nes didėja paslaugos poreikis, o darbuotojų trūksta. 2019 m. paslaugą teikė BĮ Klaipėdos socialinės paramos centras – 249 asm./ mėn (laukiančiųjų – 112), BĮ Neįgaliųjų centras „Klaipėdos Lakštutė“ – 40 asm./ mėn. (laukiančiųjų – 8, nuo 2020-01-01 įvedus naujus etatus, laukiančiųjų nėra). Nupirkta paslauga iš VšĮ „Ori senatvė“ – 171 asm./mėn. (laukiančiųjų – 49).</t>
  </si>
  <si>
    <t>Asmenų su sunkia negalia, kuriems teikiamos socialinės globos paslaugos, skaičius (Socialinės paramos centras)</t>
  </si>
  <si>
    <t>Pasiekta didesnė kriterijaus reikšmė, nes išaugo administratorių, kurie kreipėsi dėl naujai renovuotų namų, skaičius.</t>
  </si>
  <si>
    <t>Pasiekta mažesnė, nei planuota, kriterijaus reikšmė, nes dėl šilto šildymo sezono dalis kompensacijų gavėjų neįgijo teisės į šildymo kompensaciją.</t>
  </si>
  <si>
    <t>Asmenų su sunkia negalia, kuriems teikiamos socialinės globos paslaugos, skaičius („Danė“)</t>
  </si>
  <si>
    <t>Asmenų su sunkia negalia, kuriems teikiamos socialinės globos paslaugos, skaičius (Sutrikusio vystymosi kūdikių namai)</t>
  </si>
  <si>
    <t>Savivaldybės administracijos direktoriaus 2019-04-05 įsakymu Nr. AD1-585 „Dėl Socialinę atskirtį patiriančių asmenų integracijos į darbo rinką projekto ir skiriamo finansavimo patvirtinimo“ patvirtintas labdaros ir paramos fondo „Maisto bankas“ vykdomas projektas „Socialinę atskirtį patiriančių asmenų integracija įtraukiant į savanorišką darbą „Maisto banke“ su rodikliu „Tikslinės grupės asmenų dalyvavimas projekto veiklose“ – 4.</t>
  </si>
  <si>
    <t>Suteikta į namus paslaugų / soc. globos asmens namuose paslaugų, asm.</t>
  </si>
  <si>
    <t>Pareigybių, skirtų padėti adaptuotis prieglobstį Lietuvos Respublikoje gavusiems  užsieniečiams, skaičius</t>
  </si>
  <si>
    <t>Pasikeitus poreikiui, vietoj aliumininių durų įsigytas daugiafunkcis įrenginys (spalvoto spausdinimo, kopijavimo, skenavimo funkcijos).</t>
  </si>
  <si>
    <t>Mokymuose dalyvavo 20 dalyvių.</t>
  </si>
  <si>
    <t>Dienos socialinės globos paslaugos asmens namuose gavėjų skaičius</t>
  </si>
  <si>
    <t>Licencijų ir programinės įrangos įsigijimas, vnt.</t>
  </si>
  <si>
    <t>Organizuota tėvystės įgūdžių / globėjų (rūpintojų) mokymų, skaičius</t>
  </si>
  <si>
    <t>Psichosocialinės pagalbos paslaugų gavėjų skaičius</t>
  </si>
  <si>
    <t>Asmenų, pradėjusių gyventi savarankiškai, skaičius</t>
  </si>
  <si>
    <t>Įsigyta baldų gyventojų kambariuose (Viršutinė g. 21), vnt.</t>
  </si>
  <si>
    <t>Paslaugų vietų sumažėjo, nes buvo vykdomi renovacijos darbai nakvynės namuose Viršutinė g. 21 (70 vietų).</t>
  </si>
  <si>
    <t>Įvertinus poreikį, įsigyta daugiau baldų (lovų, spintų, spintelių, kėdžių (60 vietų).</t>
  </si>
  <si>
    <t>Vaikų skaičius sumažėjo, nes dalis jų išvyko sulaukę pilnametystės, taip pat lapkritį–gruodį dalis vaikų perkelta į BĮ Klaipėdos vaikų globos namų „Rytas“ bendruomeninius vaikų namus.</t>
  </si>
  <si>
    <t>Dienos socialinę globą per mėn. gaunančių asmenų  su psichine negalia dienos socialinės globos centre skaičius (VšĮ Klaipėdos specialioji mokykla-daugiafunkcinis centras „Svetliačiok“)</t>
  </si>
  <si>
    <t>Vidutiniškai per mėn. paslaugas gaunančių socialinės rizikos ir rizikos šeimų vaikų skaičius labdaros ir paramos fonde „Dienvidis“ ir labdaros ir paramos fonde „DPJC“</t>
  </si>
  <si>
    <t xml:space="preserve">Paslaugų poreikis auga. Paslaugas teikia VšĮ „Ori senatvė“. </t>
  </si>
  <si>
    <t>NVO projektų, gaunančių dalinį finansavimą iš savivaldybės biudžeto, skaičius / kofinansavimo procentas</t>
  </si>
  <si>
    <t>Asociacija Klaipėdos miesto integruotų investicijų teritorijos vietos veiklos grupė 2019 m. paskelbė visus planuotus kvietimus ir atrinko visus planuotus projektus vietos plėtros strategijai įgyvendinti. Užtrukus paraiškų derinimui su Europos socialinio fondo agentūra, taip pat dėl projektų finanansavimo ir administravimo sąlygų keitimo, buvo pradėta vykdyti mažiau projektų ir mažiau, nei planuota, savivaldybės biudžeto lėšų panaudota jiems kofinansuoti.</t>
  </si>
  <si>
    <t>Techninio projekto parengimo (pasirašyta 2018-06-28) sutartis su UAB „Uostamiesčio projektas“ sustabdyta iki Bendrojo plano patvirtinimo (2019-02-18 susitarimas Nr. J9-743).</t>
  </si>
  <si>
    <t xml:space="preserve">2019 m. nupirkti 7 butai, skirti socialinio fondo plėtrai. Daugiau nebuvo gauta pirkimo sąlygas atitinkančių pasiūlymų. </t>
  </si>
  <si>
    <t xml:space="preserve">STRATEGINIO VEIKLOS PLANO VYKDYMO ATASKAITA </t>
  </si>
  <si>
    <t>SOCIALINĖS ATSKIRTIES MAŽINIMO PROGRAMA (NR. 12)</t>
  </si>
  <si>
    <t>Atliktas rekonstravimas, proc.</t>
  </si>
  <si>
    <t>(blogiau, nei planuota);</t>
  </si>
  <si>
    <t>1.</t>
  </si>
  <si>
    <t>Klaipėdos miesto savivaldybės 2019–2021 m. 
strateginio veiklos plano įgyvendinimo       2019 m. ataskaitos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</si>
</sst>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409]General"/>
    <numFmt numFmtId="167" formatCode="[$-10427]#,##0.00;\-#,##0.00;&quot;&quot;"/>
  </numFmts>
  <fonts count="42"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font>
    <font>
      <sz val="10"/>
      <name val="Times New Roman"/>
      <family val="1"/>
    </font>
    <font>
      <b/>
      <u/>
      <sz val="10"/>
      <name val="Times New Roman"/>
      <family val="1"/>
    </font>
    <font>
      <b/>
      <sz val="10"/>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
      <sz val="10"/>
      <name val="Calibri"/>
      <family val="2"/>
      <charset val="186"/>
    </font>
    <font>
      <sz val="9"/>
      <name val="Times New Roman"/>
      <family val="1"/>
    </font>
    <font>
      <sz val="12"/>
      <name val="Times New Roman"/>
      <family val="1"/>
      <charset val="186"/>
    </font>
    <font>
      <sz val="12"/>
      <name val="Arial"/>
      <family val="2"/>
      <charset val="186"/>
    </font>
    <font>
      <b/>
      <sz val="12"/>
      <name val="Times New Roman"/>
      <family val="1"/>
    </font>
    <font>
      <sz val="12"/>
      <name val="Times New Roman"/>
      <family val="1"/>
    </font>
    <font>
      <b/>
      <sz val="12"/>
      <name val="Times New Roman"/>
      <family val="1"/>
      <charset val="186"/>
    </font>
    <font>
      <sz val="11"/>
      <name val="Calibri"/>
      <family val="2"/>
      <charset val="186"/>
      <scheme val="minor"/>
    </font>
    <font>
      <sz val="10"/>
      <color rgb="FFFF0000"/>
      <name val="Times New Roman"/>
      <family val="1"/>
      <charset val="186"/>
    </font>
    <font>
      <sz val="10"/>
      <color rgb="FFFF0000"/>
      <name val="Times New Roman"/>
      <family val="1"/>
    </font>
    <font>
      <sz val="11"/>
      <color theme="0"/>
      <name val="Calibri"/>
      <family val="2"/>
      <charset val="186"/>
      <scheme val="minor"/>
    </font>
    <font>
      <sz val="8"/>
      <name val="Times New Roman"/>
      <family val="1"/>
      <charset val="186"/>
    </font>
    <font>
      <strike/>
      <sz val="10"/>
      <color rgb="FFFF0000"/>
      <name val="Times New Roman"/>
      <family val="1"/>
      <charset val="186"/>
    </font>
    <font>
      <strike/>
      <sz val="10"/>
      <color rgb="FFFF0000"/>
      <name val="Times New Roman"/>
      <family val="1"/>
    </font>
    <font>
      <b/>
      <sz val="10"/>
      <color rgb="FFFF0000"/>
      <name val="Times New Roman"/>
      <family val="1"/>
    </font>
    <font>
      <b/>
      <strike/>
      <sz val="10"/>
      <color rgb="FFFF0000"/>
      <name val="Times New Roman"/>
      <family val="1"/>
    </font>
    <font>
      <b/>
      <strike/>
      <sz val="10"/>
      <name val="Times New Roman"/>
      <family val="1"/>
      <charset val="186"/>
    </font>
    <font>
      <sz val="10"/>
      <color rgb="FF00B050"/>
      <name val="Times New Roman"/>
      <family val="1"/>
    </font>
    <font>
      <b/>
      <sz val="11"/>
      <name val="Calibri"/>
      <family val="2"/>
      <charset val="186"/>
      <scheme val="minor"/>
    </font>
    <font>
      <sz val="11"/>
      <name val="Times New Roman"/>
      <family val="1"/>
      <charset val="186"/>
    </font>
    <font>
      <b/>
      <sz val="11"/>
      <name val="Times New Roman"/>
      <family val="1"/>
      <charset val="186"/>
    </font>
    <font>
      <sz val="10"/>
      <name val="Calibri"/>
      <family val="2"/>
      <charset val="186"/>
      <scheme val="minor"/>
    </font>
    <font>
      <i/>
      <sz val="10"/>
      <name val="Times New Roman"/>
      <family val="1"/>
      <charset val="186"/>
    </font>
    <font>
      <sz val="11"/>
      <color rgb="FF000000"/>
      <name val="Calibri"/>
      <family val="2"/>
      <charset val="186"/>
    </font>
    <font>
      <b/>
      <sz val="12"/>
      <color rgb="FF000000"/>
      <name val="Times New Roman"/>
      <family val="1"/>
      <charset val="186"/>
    </font>
    <font>
      <sz val="12"/>
      <color rgb="FF000000"/>
      <name val="Times New Roman"/>
      <family val="1"/>
      <charset val="186"/>
    </font>
    <font>
      <sz val="10"/>
      <color theme="1"/>
      <name val="Times New Roman"/>
      <family val="1"/>
      <charset val="186"/>
    </font>
    <font>
      <i/>
      <sz val="9"/>
      <name val="Times New Roman"/>
      <family val="1"/>
      <charset val="186"/>
    </font>
    <font>
      <sz val="9"/>
      <name val="Arial"/>
      <family val="2"/>
      <charset val="186"/>
    </font>
    <font>
      <b/>
      <sz val="9"/>
      <name val="Times New Roman"/>
      <family val="1"/>
    </font>
    <font>
      <b/>
      <sz val="9"/>
      <name val="Times New Roman"/>
      <family val="1"/>
      <charset val="186"/>
    </font>
    <font>
      <sz val="9"/>
      <name val="Calibri"/>
      <family val="2"/>
      <charset val="186"/>
      <scheme val="minor"/>
    </font>
  </fonts>
  <fills count="20">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rgb="FFFFCCFF"/>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rgb="FFD9D9D9"/>
      </patternFill>
    </fill>
    <fill>
      <patternFill patternType="solid">
        <fgColor rgb="FFFFFF00"/>
        <bgColor indexed="64"/>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s>
  <borders count="9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thin">
        <color indexed="64"/>
      </bottom>
      <diagonal/>
    </border>
    <border>
      <left style="medium">
        <color indexed="64"/>
      </left>
      <right/>
      <top style="thin">
        <color rgb="FF000000"/>
      </top>
      <bottom/>
      <diagonal/>
    </border>
    <border>
      <left style="thin">
        <color indexed="64"/>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3">
    <xf numFmtId="0" fontId="0" fillId="0" borderId="0"/>
    <xf numFmtId="0" fontId="2" fillId="0" borderId="0"/>
    <xf numFmtId="166" fontId="33" fillId="0" borderId="0" applyBorder="0" applyProtection="0"/>
  </cellStyleXfs>
  <cellXfs count="3284">
    <xf numFmtId="0" fontId="0" fillId="0" borderId="0" xfId="0"/>
    <xf numFmtId="3" fontId="2" fillId="0" borderId="0" xfId="0" applyNumberFormat="1" applyFont="1"/>
    <xf numFmtId="3" fontId="4" fillId="0" borderId="0" xfId="0" applyNumberFormat="1" applyFont="1" applyAlignment="1">
      <alignment vertical="top"/>
    </xf>
    <xf numFmtId="3" fontId="4" fillId="0" borderId="0" xfId="0" applyNumberFormat="1" applyFont="1" applyBorder="1" applyAlignment="1">
      <alignment vertical="top"/>
    </xf>
    <xf numFmtId="3" fontId="1" fillId="0" borderId="21" xfId="0" applyNumberFormat="1" applyFont="1" applyBorder="1" applyAlignment="1">
      <alignment horizontal="center" vertical="center" textRotation="90"/>
    </xf>
    <xf numFmtId="3" fontId="1" fillId="0" borderId="26" xfId="0" applyNumberFormat="1" applyFont="1" applyBorder="1" applyAlignment="1">
      <alignment horizontal="center" vertical="center" textRotation="90"/>
    </xf>
    <xf numFmtId="3" fontId="3" fillId="4" borderId="33" xfId="0" applyNumberFormat="1" applyFont="1" applyFill="1" applyBorder="1" applyAlignment="1">
      <alignment horizontal="center" vertical="top" wrapText="1"/>
    </xf>
    <xf numFmtId="3" fontId="3" fillId="4" borderId="33" xfId="0" applyNumberFormat="1" applyFont="1" applyFill="1" applyBorder="1" applyAlignment="1">
      <alignment horizontal="center" vertical="top"/>
    </xf>
    <xf numFmtId="3" fontId="3" fillId="5" borderId="34" xfId="0" applyNumberFormat="1" applyFont="1" applyFill="1" applyBorder="1" applyAlignment="1">
      <alignment horizontal="center" vertical="top"/>
    </xf>
    <xf numFmtId="3" fontId="3" fillId="5" borderId="5" xfId="0" applyNumberFormat="1" applyFont="1" applyFill="1" applyBorder="1" applyAlignment="1">
      <alignment horizontal="center" vertical="top"/>
    </xf>
    <xf numFmtId="49" fontId="3" fillId="0" borderId="5" xfId="0" applyNumberFormat="1" applyFont="1" applyBorder="1" applyAlignment="1">
      <alignment horizontal="center" vertical="top" wrapText="1"/>
    </xf>
    <xf numFmtId="3" fontId="6" fillId="6" borderId="7" xfId="0" applyNumberFormat="1" applyFont="1" applyFill="1" applyBorder="1" applyAlignment="1">
      <alignment vertical="top" wrapText="1"/>
    </xf>
    <xf numFmtId="3" fontId="3" fillId="0" borderId="6" xfId="0" applyNumberFormat="1" applyFont="1" applyFill="1" applyBorder="1" applyAlignment="1">
      <alignment horizontal="center" vertical="top" wrapText="1"/>
    </xf>
    <xf numFmtId="3" fontId="4" fillId="0" borderId="7" xfId="0" applyNumberFormat="1" applyFont="1" applyFill="1" applyBorder="1" applyAlignment="1">
      <alignment horizontal="center" vertical="top"/>
    </xf>
    <xf numFmtId="164" fontId="4" fillId="7" borderId="37" xfId="0" applyNumberFormat="1" applyFont="1" applyFill="1" applyBorder="1" applyAlignment="1">
      <alignment horizontal="center" vertical="top"/>
    </xf>
    <xf numFmtId="3" fontId="4" fillId="0" borderId="27" xfId="0" applyNumberFormat="1" applyFont="1" applyFill="1" applyBorder="1" applyAlignment="1">
      <alignment horizontal="center" vertical="top"/>
    </xf>
    <xf numFmtId="3" fontId="4" fillId="0" borderId="3" xfId="0" applyNumberFormat="1" applyFont="1" applyFill="1" applyBorder="1" applyAlignment="1">
      <alignment horizontal="center" vertical="top"/>
    </xf>
    <xf numFmtId="3" fontId="4" fillId="0" borderId="29" xfId="0" applyNumberFormat="1" applyFont="1" applyFill="1" applyBorder="1" applyAlignment="1">
      <alignment horizontal="center" vertical="top"/>
    </xf>
    <xf numFmtId="3" fontId="3" fillId="5" borderId="14" xfId="0" applyNumberFormat="1" applyFont="1" applyFill="1" applyBorder="1" applyAlignment="1">
      <alignment horizontal="center" vertical="top"/>
    </xf>
    <xf numFmtId="49" fontId="3" fillId="0" borderId="14" xfId="0" applyNumberFormat="1" applyFont="1" applyBorder="1" applyAlignment="1">
      <alignment horizontal="center" vertical="top" wrapText="1"/>
    </xf>
    <xf numFmtId="3" fontId="4" fillId="0" borderId="41"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4" fillId="0" borderId="40" xfId="0" applyNumberFormat="1" applyFont="1" applyFill="1" applyBorder="1" applyAlignment="1">
      <alignment horizontal="center" vertical="top"/>
    </xf>
    <xf numFmtId="164" fontId="4" fillId="7" borderId="42" xfId="0" applyNumberFormat="1" applyFont="1" applyFill="1" applyBorder="1" applyAlignment="1">
      <alignment horizontal="center" vertical="top"/>
    </xf>
    <xf numFmtId="3" fontId="4" fillId="7" borderId="40" xfId="0" applyNumberFormat="1" applyFont="1" applyFill="1" applyBorder="1" applyAlignment="1">
      <alignment vertical="top" wrapText="1"/>
    </xf>
    <xf numFmtId="3" fontId="4" fillId="0" borderId="43" xfId="0" applyNumberFormat="1" applyFont="1" applyFill="1" applyBorder="1" applyAlignment="1">
      <alignment horizontal="center" vertical="top"/>
    </xf>
    <xf numFmtId="3" fontId="4" fillId="0" borderId="45" xfId="0" applyNumberFormat="1" applyFont="1" applyFill="1" applyBorder="1" applyAlignment="1">
      <alignment horizontal="center" vertical="top"/>
    </xf>
    <xf numFmtId="3" fontId="3" fillId="0" borderId="15" xfId="0" applyNumberFormat="1" applyFont="1" applyFill="1" applyBorder="1" applyAlignment="1">
      <alignment horizontal="center" vertical="top" wrapText="1"/>
    </xf>
    <xf numFmtId="3" fontId="4" fillId="0" borderId="16" xfId="0" applyNumberFormat="1" applyFont="1" applyFill="1" applyBorder="1" applyAlignment="1">
      <alignment horizontal="center" vertical="top"/>
    </xf>
    <xf numFmtId="164" fontId="4" fillId="7" borderId="41" xfId="0" applyNumberFormat="1" applyFont="1" applyFill="1" applyBorder="1" applyAlignment="1">
      <alignment horizontal="center" vertical="top"/>
    </xf>
    <xf numFmtId="3" fontId="4" fillId="0" borderId="42" xfId="0" applyNumberFormat="1" applyFont="1" applyFill="1" applyBorder="1" applyAlignment="1">
      <alignment horizontal="center" vertical="top"/>
    </xf>
    <xf numFmtId="3" fontId="4" fillId="6" borderId="16" xfId="0" applyNumberFormat="1" applyFont="1" applyFill="1" applyBorder="1" applyAlignment="1">
      <alignment vertical="top" wrapText="1"/>
    </xf>
    <xf numFmtId="164" fontId="4" fillId="7" borderId="15" xfId="0" applyNumberFormat="1" applyFont="1" applyFill="1" applyBorder="1" applyAlignment="1">
      <alignment horizontal="center" vertical="top"/>
    </xf>
    <xf numFmtId="3" fontId="4" fillId="0" borderId="40" xfId="0" applyNumberFormat="1" applyFont="1" applyBorder="1" applyAlignment="1">
      <alignment vertical="top" wrapText="1"/>
    </xf>
    <xf numFmtId="3" fontId="4" fillId="0" borderId="46" xfId="0" applyNumberFormat="1" applyFont="1" applyBorder="1" applyAlignment="1">
      <alignment vertical="top" wrapText="1"/>
    </xf>
    <xf numFmtId="3" fontId="4" fillId="0" borderId="48" xfId="0" applyNumberFormat="1" applyFont="1" applyFill="1" applyBorder="1" applyAlignment="1">
      <alignment horizontal="center" vertical="top"/>
    </xf>
    <xf numFmtId="3" fontId="3" fillId="8" borderId="40"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3" fontId="4" fillId="0" borderId="41" xfId="0" applyNumberFormat="1" applyFont="1" applyFill="1" applyBorder="1" applyAlignment="1">
      <alignment horizontal="center" vertical="top"/>
    </xf>
    <xf numFmtId="3" fontId="4" fillId="0" borderId="13" xfId="0" applyNumberFormat="1" applyFont="1" applyFill="1" applyBorder="1" applyAlignment="1">
      <alignment horizontal="center" vertical="top"/>
    </xf>
    <xf numFmtId="3" fontId="4" fillId="0" borderId="15" xfId="0" applyNumberFormat="1" applyFont="1" applyFill="1" applyBorder="1" applyAlignment="1">
      <alignment horizontal="center" vertical="top"/>
    </xf>
    <xf numFmtId="3" fontId="3" fillId="0" borderId="31" xfId="0" applyNumberFormat="1" applyFont="1" applyFill="1" applyBorder="1" applyAlignment="1">
      <alignment horizontal="center" vertical="top" wrapText="1"/>
    </xf>
    <xf numFmtId="3" fontId="4" fillId="0" borderId="46" xfId="0" applyNumberFormat="1" applyFont="1" applyFill="1" applyBorder="1" applyAlignment="1">
      <alignment horizontal="center" vertical="top"/>
    </xf>
    <xf numFmtId="164" fontId="4" fillId="6" borderId="30" xfId="0" applyNumberFormat="1" applyFont="1" applyFill="1" applyBorder="1" applyAlignment="1">
      <alignment horizontal="center" vertical="top"/>
    </xf>
    <xf numFmtId="3" fontId="4" fillId="6" borderId="42" xfId="0" applyNumberFormat="1" applyFont="1" applyFill="1" applyBorder="1" applyAlignment="1">
      <alignment horizontal="center" vertical="top" wrapText="1"/>
    </xf>
    <xf numFmtId="3" fontId="4" fillId="6" borderId="44" xfId="0" applyNumberFormat="1" applyFont="1" applyFill="1" applyBorder="1" applyAlignment="1">
      <alignment horizontal="center" vertical="top" wrapText="1"/>
    </xf>
    <xf numFmtId="3" fontId="4" fillId="0" borderId="13" xfId="0" applyNumberFormat="1" applyFont="1" applyFill="1" applyBorder="1" applyAlignment="1">
      <alignment horizontal="center" vertical="top" wrapText="1"/>
    </xf>
    <xf numFmtId="3" fontId="4" fillId="0" borderId="15" xfId="0" applyNumberFormat="1" applyFont="1" applyFill="1" applyBorder="1" applyAlignment="1">
      <alignment horizontal="center" vertical="top" wrapText="1"/>
    </xf>
    <xf numFmtId="3" fontId="3" fillId="0" borderId="51" xfId="0" applyNumberFormat="1" applyFont="1" applyFill="1" applyBorder="1" applyAlignment="1">
      <alignment horizontal="center" vertical="top" wrapText="1"/>
    </xf>
    <xf numFmtId="3" fontId="3" fillId="8" borderId="46" xfId="0" applyNumberFormat="1" applyFont="1" applyFill="1" applyBorder="1" applyAlignment="1">
      <alignment horizontal="center" vertical="top"/>
    </xf>
    <xf numFmtId="164" fontId="3" fillId="8" borderId="11" xfId="0" applyNumberFormat="1" applyFont="1" applyFill="1" applyBorder="1" applyAlignment="1">
      <alignment horizontal="center" vertical="top"/>
    </xf>
    <xf numFmtId="49" fontId="4" fillId="0" borderId="52" xfId="0" applyNumberFormat="1" applyFont="1" applyFill="1" applyBorder="1" applyAlignment="1">
      <alignment horizontal="center" vertical="top"/>
    </xf>
    <xf numFmtId="49" fontId="4" fillId="0" borderId="50" xfId="0" applyNumberFormat="1" applyFont="1" applyFill="1" applyBorder="1" applyAlignment="1">
      <alignment horizontal="center" vertical="top"/>
    </xf>
    <xf numFmtId="49" fontId="4" fillId="0" borderId="53" xfId="0" applyNumberFormat="1" applyFont="1" applyFill="1" applyBorder="1" applyAlignment="1">
      <alignment horizontal="center" vertical="top"/>
    </xf>
    <xf numFmtId="49" fontId="4" fillId="0" borderId="39" xfId="0" applyNumberFormat="1" applyFont="1" applyFill="1" applyBorder="1" applyAlignment="1">
      <alignment horizontal="center" vertical="top"/>
    </xf>
    <xf numFmtId="49" fontId="4" fillId="0" borderId="13" xfId="0" applyNumberFormat="1" applyFont="1" applyFill="1" applyBorder="1" applyAlignment="1">
      <alignment horizontal="center" vertical="top"/>
    </xf>
    <xf numFmtId="49" fontId="4" fillId="0" borderId="54"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4" fillId="0" borderId="44" xfId="0" applyNumberFormat="1" applyFont="1" applyBorder="1" applyAlignment="1">
      <alignment horizontal="center" vertical="top"/>
    </xf>
    <xf numFmtId="3" fontId="3" fillId="0" borderId="31" xfId="0" applyNumberFormat="1" applyFont="1" applyBorder="1" applyAlignment="1">
      <alignment horizontal="center" vertical="top"/>
    </xf>
    <xf numFmtId="164" fontId="4" fillId="0" borderId="30" xfId="0" applyNumberFormat="1" applyFont="1" applyFill="1" applyBorder="1" applyAlignment="1">
      <alignment horizontal="center" vertical="top"/>
    </xf>
    <xf numFmtId="49" fontId="4" fillId="0" borderId="50" xfId="0" applyNumberFormat="1" applyFont="1" applyBorder="1" applyAlignment="1">
      <alignment horizontal="center" vertical="top"/>
    </xf>
    <xf numFmtId="3" fontId="3" fillId="0" borderId="51" xfId="0" applyNumberFormat="1" applyFont="1" applyBorder="1" applyAlignment="1">
      <alignment horizontal="center" vertical="top"/>
    </xf>
    <xf numFmtId="3" fontId="3" fillId="8" borderId="46" xfId="0" applyNumberFormat="1" applyFont="1" applyFill="1" applyBorder="1" applyAlignment="1">
      <alignment horizontal="center" vertical="top" wrapText="1"/>
    </xf>
    <xf numFmtId="3" fontId="4" fillId="0" borderId="48" xfId="0" applyNumberFormat="1" applyFont="1" applyFill="1" applyBorder="1" applyAlignment="1">
      <alignment vertical="top" wrapText="1"/>
    </xf>
    <xf numFmtId="3" fontId="4" fillId="0" borderId="52" xfId="0" applyNumberFormat="1" applyFont="1" applyFill="1" applyBorder="1" applyAlignment="1">
      <alignment horizontal="center" vertical="top"/>
    </xf>
    <xf numFmtId="3" fontId="4" fillId="0" borderId="50" xfId="0" applyNumberFormat="1" applyFont="1" applyFill="1" applyBorder="1" applyAlignment="1">
      <alignment horizontal="center" vertical="top"/>
    </xf>
    <xf numFmtId="3" fontId="4" fillId="0" borderId="53" xfId="0" applyNumberFormat="1" applyFont="1" applyFill="1" applyBorder="1" applyAlignment="1">
      <alignment horizontal="center" vertical="top"/>
    </xf>
    <xf numFmtId="164" fontId="4" fillId="0" borderId="41" xfId="0" applyNumberFormat="1" applyFont="1" applyFill="1" applyBorder="1" applyAlignment="1">
      <alignment horizontal="center" vertical="top"/>
    </xf>
    <xf numFmtId="164" fontId="4" fillId="7" borderId="49" xfId="0" applyNumberFormat="1" applyFont="1" applyFill="1" applyBorder="1" applyAlignment="1">
      <alignment horizontal="center" vertical="top" wrapText="1"/>
    </xf>
    <xf numFmtId="164" fontId="4" fillId="6" borderId="42" xfId="0" applyNumberFormat="1" applyFont="1" applyFill="1" applyBorder="1" applyAlignment="1">
      <alignment horizontal="center" vertical="top"/>
    </xf>
    <xf numFmtId="3" fontId="4" fillId="0" borderId="15" xfId="0" applyNumberFormat="1" applyFont="1" applyBorder="1" applyAlignment="1">
      <alignment vertical="top"/>
    </xf>
    <xf numFmtId="3" fontId="4" fillId="0" borderId="39" xfId="0" applyNumberFormat="1" applyFont="1" applyFill="1" applyBorder="1" applyAlignment="1">
      <alignment horizontal="center" vertical="top" wrapText="1"/>
    </xf>
    <xf numFmtId="3" fontId="4" fillId="0" borderId="54" xfId="0" applyNumberFormat="1" applyFont="1" applyFill="1" applyBorder="1" applyAlignment="1">
      <alignment horizontal="center" vertical="top" wrapText="1"/>
    </xf>
    <xf numFmtId="164" fontId="3" fillId="8" borderId="55" xfId="0" applyNumberFormat="1" applyFont="1" applyFill="1" applyBorder="1" applyAlignment="1">
      <alignment horizontal="center" vertical="top"/>
    </xf>
    <xf numFmtId="164" fontId="4" fillId="0" borderId="36" xfId="0" applyNumberFormat="1" applyFont="1" applyFill="1" applyBorder="1" applyAlignment="1">
      <alignment horizontal="center" vertical="top"/>
    </xf>
    <xf numFmtId="3" fontId="4" fillId="0" borderId="7" xfId="0" applyNumberFormat="1" applyFont="1" applyFill="1" applyBorder="1" applyAlignment="1">
      <alignment vertical="top" wrapText="1"/>
    </xf>
    <xf numFmtId="3" fontId="4" fillId="0" borderId="36" xfId="0" applyNumberFormat="1" applyFont="1" applyFill="1" applyBorder="1" applyAlignment="1">
      <alignment horizontal="center" vertical="top"/>
    </xf>
    <xf numFmtId="3" fontId="4" fillId="0" borderId="61" xfId="0" applyNumberFormat="1" applyFont="1" applyFill="1" applyBorder="1" applyAlignment="1">
      <alignment horizontal="center" vertical="top"/>
    </xf>
    <xf numFmtId="3" fontId="3" fillId="8" borderId="58" xfId="0" applyNumberFormat="1" applyFont="1" applyFill="1" applyBorder="1" applyAlignment="1">
      <alignment horizontal="center" vertical="top"/>
    </xf>
    <xf numFmtId="164" fontId="3" fillId="8" borderId="20" xfId="0" applyNumberFormat="1" applyFont="1" applyFill="1" applyBorder="1" applyAlignment="1">
      <alignment horizontal="center" vertical="top"/>
    </xf>
    <xf numFmtId="3" fontId="4" fillId="0" borderId="25" xfId="0" applyNumberFormat="1" applyFont="1" applyFill="1" applyBorder="1" applyAlignment="1">
      <alignment vertical="top" wrapText="1"/>
    </xf>
    <xf numFmtId="3" fontId="4" fillId="0" borderId="63" xfId="0" applyNumberFormat="1" applyFont="1" applyFill="1" applyBorder="1" applyAlignment="1">
      <alignment horizontal="center" vertical="top"/>
    </xf>
    <xf numFmtId="3" fontId="4" fillId="0" borderId="54" xfId="0" applyNumberFormat="1" applyFont="1" applyFill="1" applyBorder="1" applyAlignment="1">
      <alignment horizontal="center" vertical="top"/>
    </xf>
    <xf numFmtId="3" fontId="3" fillId="0" borderId="35" xfId="0" applyNumberFormat="1" applyFont="1" applyBorder="1" applyAlignment="1">
      <alignment horizontal="center" vertical="top" wrapText="1"/>
    </xf>
    <xf numFmtId="164" fontId="1" fillId="0" borderId="2" xfId="0" applyNumberFormat="1" applyFont="1" applyFill="1" applyBorder="1" applyAlignment="1">
      <alignment horizontal="center" vertical="top"/>
    </xf>
    <xf numFmtId="3" fontId="3" fillId="5" borderId="23" xfId="0" applyNumberFormat="1" applyFont="1" applyFill="1" applyBorder="1" applyAlignment="1">
      <alignment horizontal="center" vertical="top"/>
    </xf>
    <xf numFmtId="3" fontId="4" fillId="0" borderId="1" xfId="0" applyNumberFormat="1" applyFont="1" applyFill="1" applyBorder="1" applyAlignment="1">
      <alignment horizontal="center" vertical="top" wrapText="1"/>
    </xf>
    <xf numFmtId="49" fontId="4" fillId="0" borderId="4" xfId="0" applyNumberFormat="1" applyFont="1" applyBorder="1" applyAlignment="1">
      <alignment horizontal="center" vertical="top"/>
    </xf>
    <xf numFmtId="3" fontId="4" fillId="0" borderId="7" xfId="0" applyNumberFormat="1" applyFont="1" applyBorder="1" applyAlignment="1">
      <alignment horizontal="center" vertical="top"/>
    </xf>
    <xf numFmtId="3" fontId="4" fillId="0" borderId="0" xfId="0" applyNumberFormat="1" applyFont="1" applyFill="1" applyBorder="1" applyAlignment="1">
      <alignment horizontal="center" vertical="top" wrapText="1"/>
    </xf>
    <xf numFmtId="3" fontId="4" fillId="0" borderId="35" xfId="0" applyNumberFormat="1" applyFont="1" applyFill="1" applyBorder="1" applyAlignment="1">
      <alignment horizontal="center" vertical="top" wrapText="1"/>
    </xf>
    <xf numFmtId="49" fontId="4" fillId="0" borderId="22" xfId="0" applyNumberFormat="1" applyFont="1" applyBorder="1" applyAlignment="1">
      <alignment horizontal="center" vertical="top"/>
    </xf>
    <xf numFmtId="3" fontId="3" fillId="8" borderId="58" xfId="0" applyNumberFormat="1" applyFont="1" applyFill="1" applyBorder="1" applyAlignment="1">
      <alignment horizontal="center" vertical="top" wrapText="1"/>
    </xf>
    <xf numFmtId="3" fontId="4" fillId="0" borderId="41" xfId="0" applyNumberFormat="1" applyFont="1" applyFill="1" applyBorder="1" applyAlignment="1">
      <alignment vertical="top" wrapText="1"/>
    </xf>
    <xf numFmtId="3" fontId="4" fillId="0" borderId="59" xfId="0" applyNumberFormat="1" applyFont="1" applyFill="1" applyBorder="1" applyAlignment="1">
      <alignment horizontal="center" vertical="top"/>
    </xf>
    <xf numFmtId="3" fontId="4" fillId="0" borderId="60" xfId="0" applyNumberFormat="1" applyFont="1" applyFill="1" applyBorder="1" applyAlignment="1">
      <alignment horizontal="center" vertical="top"/>
    </xf>
    <xf numFmtId="164" fontId="3" fillId="5" borderId="33" xfId="0" applyNumberFormat="1" applyFont="1" applyFill="1" applyBorder="1" applyAlignment="1">
      <alignment horizontal="center" vertical="top"/>
    </xf>
    <xf numFmtId="3" fontId="3" fillId="4" borderId="8" xfId="0" applyNumberFormat="1" applyFont="1" applyFill="1" applyBorder="1" applyAlignment="1">
      <alignment horizontal="center" vertical="top"/>
    </xf>
    <xf numFmtId="49" fontId="6" fillId="0" borderId="5" xfId="0" applyNumberFormat="1" applyFont="1" applyBorder="1" applyAlignment="1">
      <alignment horizontal="center" vertical="top"/>
    </xf>
    <xf numFmtId="3" fontId="6" fillId="7" borderId="7" xfId="0" applyNumberFormat="1" applyFont="1" applyFill="1" applyBorder="1" applyAlignment="1">
      <alignment vertical="top" wrapText="1"/>
    </xf>
    <xf numFmtId="3" fontId="6" fillId="0" borderId="35" xfId="0" applyNumberFormat="1" applyFont="1" applyFill="1" applyBorder="1" applyAlignment="1">
      <alignment horizontal="center" vertical="top" textRotation="180" wrapText="1"/>
    </xf>
    <xf numFmtId="49" fontId="1" fillId="0" borderId="4" xfId="0" applyNumberFormat="1" applyFont="1" applyBorder="1" applyAlignment="1">
      <alignment horizontal="center" vertical="top" wrapText="1"/>
    </xf>
    <xf numFmtId="3" fontId="1" fillId="7" borderId="7" xfId="0" applyNumberFormat="1" applyFont="1" applyFill="1" applyBorder="1" applyAlignment="1">
      <alignment horizontal="center" vertical="top"/>
    </xf>
    <xf numFmtId="164" fontId="1" fillId="7" borderId="35" xfId="0" applyNumberFormat="1" applyFont="1" applyFill="1" applyBorder="1" applyAlignment="1">
      <alignment horizontal="center" vertical="top"/>
    </xf>
    <xf numFmtId="3" fontId="4" fillId="0" borderId="7" xfId="0" applyNumberFormat="1" applyFont="1" applyBorder="1" applyAlignment="1">
      <alignment vertical="top" wrapText="1"/>
    </xf>
    <xf numFmtId="3" fontId="4" fillId="6" borderId="37" xfId="0" applyNumberFormat="1" applyFont="1" applyFill="1" applyBorder="1" applyAlignment="1">
      <alignment horizontal="center" vertical="top"/>
    </xf>
    <xf numFmtId="3" fontId="4" fillId="6" borderId="3" xfId="0" applyNumberFormat="1" applyFont="1" applyFill="1" applyBorder="1" applyAlignment="1">
      <alignment horizontal="center" vertical="top"/>
    </xf>
    <xf numFmtId="3" fontId="4" fillId="6" borderId="6" xfId="0" applyNumberFormat="1" applyFont="1" applyFill="1" applyBorder="1" applyAlignment="1">
      <alignment horizontal="center" vertical="top"/>
    </xf>
    <xf numFmtId="3" fontId="3" fillId="0" borderId="0" xfId="0" applyNumberFormat="1" applyFont="1" applyFill="1" applyBorder="1" applyAlignment="1">
      <alignment horizontal="center" vertical="top" textRotation="180" wrapText="1"/>
    </xf>
    <xf numFmtId="3" fontId="3" fillId="0" borderId="14" xfId="0" applyNumberFormat="1" applyFont="1" applyBorder="1" applyAlignment="1">
      <alignment horizontal="center" vertical="top"/>
    </xf>
    <xf numFmtId="164" fontId="4" fillId="0" borderId="31" xfId="0" applyNumberFormat="1" applyFont="1" applyFill="1" applyBorder="1" applyAlignment="1">
      <alignment horizontal="center" vertical="top"/>
    </xf>
    <xf numFmtId="3" fontId="4" fillId="0" borderId="46" xfId="0" applyNumberFormat="1" applyFont="1" applyFill="1" applyBorder="1" applyAlignment="1">
      <alignment vertical="top" wrapText="1"/>
    </xf>
    <xf numFmtId="3" fontId="4" fillId="6" borderId="30" xfId="0" applyNumberFormat="1" applyFont="1" applyFill="1" applyBorder="1" applyAlignment="1">
      <alignment horizontal="center" vertical="top" wrapText="1"/>
    </xf>
    <xf numFmtId="3" fontId="4" fillId="6" borderId="12" xfId="0" applyNumberFormat="1" applyFont="1" applyFill="1" applyBorder="1" applyAlignment="1">
      <alignment horizontal="center" vertical="top" wrapText="1"/>
    </xf>
    <xf numFmtId="3" fontId="4" fillId="6" borderId="19" xfId="0" applyNumberFormat="1" applyFont="1" applyFill="1" applyBorder="1" applyAlignment="1">
      <alignment horizontal="center" vertical="top" wrapText="1"/>
    </xf>
    <xf numFmtId="3" fontId="4" fillId="0" borderId="16" xfId="0" applyNumberFormat="1" applyFont="1" applyBorder="1" applyAlignment="1">
      <alignment vertical="top"/>
    </xf>
    <xf numFmtId="49" fontId="4" fillId="0" borderId="44" xfId="0" applyNumberFormat="1" applyFont="1" applyFill="1" applyBorder="1" applyAlignment="1">
      <alignment horizontal="center" vertical="top"/>
    </xf>
    <xf numFmtId="49" fontId="4" fillId="0" borderId="32" xfId="0" applyNumberFormat="1" applyFont="1" applyFill="1" applyBorder="1" applyAlignment="1">
      <alignment horizontal="center" vertical="top"/>
    </xf>
    <xf numFmtId="164" fontId="4" fillId="7" borderId="0" xfId="0" applyNumberFormat="1" applyFont="1" applyFill="1" applyBorder="1" applyAlignment="1">
      <alignment horizontal="center" vertical="top"/>
    </xf>
    <xf numFmtId="3" fontId="4" fillId="0" borderId="30" xfId="0" applyNumberFormat="1" applyFont="1" applyFill="1" applyBorder="1" applyAlignment="1">
      <alignment horizontal="center" vertical="top"/>
    </xf>
    <xf numFmtId="3" fontId="4" fillId="0" borderId="19" xfId="0" applyNumberFormat="1" applyFont="1" applyFill="1" applyBorder="1" applyAlignment="1">
      <alignment horizontal="center" vertical="top"/>
    </xf>
    <xf numFmtId="3" fontId="4" fillId="0" borderId="13" xfId="0" applyNumberFormat="1" applyFont="1" applyBorder="1" applyAlignment="1">
      <alignment vertical="top"/>
    </xf>
    <xf numFmtId="49" fontId="4" fillId="0" borderId="13" xfId="0" applyNumberFormat="1" applyFont="1" applyBorder="1" applyAlignment="1">
      <alignment horizontal="center" vertical="top"/>
    </xf>
    <xf numFmtId="3" fontId="3" fillId="6" borderId="16" xfId="0" applyNumberFormat="1" applyFont="1" applyFill="1" applyBorder="1" applyAlignment="1">
      <alignment horizontal="center" vertical="top" wrapText="1"/>
    </xf>
    <xf numFmtId="49" fontId="4" fillId="0" borderId="13" xfId="0" applyNumberFormat="1" applyFont="1" applyBorder="1" applyAlignment="1">
      <alignment vertical="top" wrapText="1"/>
    </xf>
    <xf numFmtId="164" fontId="4" fillId="0" borderId="0" xfId="0" applyNumberFormat="1" applyFont="1" applyFill="1" applyBorder="1" applyAlignment="1">
      <alignment horizontal="center" vertical="top"/>
    </xf>
    <xf numFmtId="3" fontId="4" fillId="0" borderId="16" xfId="0" applyNumberFormat="1" applyFont="1" applyFill="1" applyBorder="1" applyAlignment="1">
      <alignment vertical="top" wrapText="1"/>
    </xf>
    <xf numFmtId="49" fontId="3" fillId="0" borderId="14" xfId="0" applyNumberFormat="1" applyFont="1" applyFill="1" applyBorder="1" applyAlignment="1">
      <alignment horizontal="center" vertical="top"/>
    </xf>
    <xf numFmtId="49" fontId="4" fillId="0" borderId="13" xfId="0" applyNumberFormat="1" applyFont="1" applyFill="1" applyBorder="1" applyAlignment="1">
      <alignment horizontal="center" vertical="top" wrapText="1"/>
    </xf>
    <xf numFmtId="3" fontId="4" fillId="0" borderId="0" xfId="0" applyNumberFormat="1" applyFont="1" applyFill="1" applyBorder="1" applyAlignment="1">
      <alignment vertical="top"/>
    </xf>
    <xf numFmtId="3" fontId="3" fillId="4" borderId="41" xfId="0" applyNumberFormat="1" applyFont="1" applyFill="1" applyBorder="1" applyAlignment="1">
      <alignment horizontal="center" vertical="top"/>
    </xf>
    <xf numFmtId="49" fontId="4" fillId="0" borderId="50" xfId="0" applyNumberFormat="1" applyFont="1" applyFill="1" applyBorder="1" applyAlignment="1">
      <alignment horizontal="center" vertical="top" wrapText="1"/>
    </xf>
    <xf numFmtId="164" fontId="3" fillId="8" borderId="31" xfId="0" applyNumberFormat="1" applyFont="1" applyFill="1" applyBorder="1" applyAlignment="1">
      <alignment horizontal="center" vertical="top"/>
    </xf>
    <xf numFmtId="3" fontId="4" fillId="0" borderId="25" xfId="0" applyNumberFormat="1" applyFont="1" applyFill="1" applyBorder="1" applyAlignment="1">
      <alignment vertical="top"/>
    </xf>
    <xf numFmtId="3" fontId="4" fillId="0" borderId="62" xfId="0" applyNumberFormat="1" applyFont="1" applyFill="1" applyBorder="1" applyAlignment="1">
      <alignment vertical="top"/>
    </xf>
    <xf numFmtId="164" fontId="1" fillId="7" borderId="37" xfId="0" applyNumberFormat="1" applyFont="1" applyFill="1" applyBorder="1" applyAlignment="1">
      <alignment horizontal="center" vertical="top"/>
    </xf>
    <xf numFmtId="3" fontId="1" fillId="0" borderId="37" xfId="0" applyNumberFormat="1" applyFont="1" applyFill="1" applyBorder="1" applyAlignment="1">
      <alignment horizontal="center" vertical="top" wrapText="1"/>
    </xf>
    <xf numFmtId="3" fontId="1" fillId="0" borderId="4" xfId="0" applyNumberFormat="1" applyFont="1" applyFill="1" applyBorder="1" applyAlignment="1">
      <alignment horizontal="center" vertical="top" wrapText="1"/>
    </xf>
    <xf numFmtId="3" fontId="1" fillId="0" borderId="6" xfId="0" applyNumberFormat="1" applyFont="1" applyFill="1" applyBorder="1" applyAlignment="1">
      <alignment horizontal="center" vertical="top"/>
    </xf>
    <xf numFmtId="3" fontId="1" fillId="0" borderId="0" xfId="0" applyNumberFormat="1" applyFont="1" applyAlignment="1">
      <alignment vertical="top"/>
    </xf>
    <xf numFmtId="3" fontId="6" fillId="8" borderId="58" xfId="0" applyNumberFormat="1" applyFont="1" applyFill="1" applyBorder="1" applyAlignment="1">
      <alignment horizontal="center" vertical="top"/>
    </xf>
    <xf numFmtId="164" fontId="6" fillId="8" borderId="55" xfId="0" applyNumberFormat="1" applyFont="1" applyFill="1" applyBorder="1" applyAlignment="1">
      <alignment horizontal="center" vertical="top"/>
    </xf>
    <xf numFmtId="3" fontId="1" fillId="0" borderId="62" xfId="0" applyNumberFormat="1" applyFont="1" applyFill="1" applyBorder="1" applyAlignment="1">
      <alignment horizontal="center" vertical="top"/>
    </xf>
    <xf numFmtId="3" fontId="1" fillId="0" borderId="22" xfId="0" applyNumberFormat="1" applyFont="1" applyFill="1" applyBorder="1" applyAlignment="1">
      <alignment horizontal="center" vertical="top"/>
    </xf>
    <xf numFmtId="3" fontId="1" fillId="0" borderId="24" xfId="0" applyNumberFormat="1" applyFont="1" applyFill="1" applyBorder="1" applyAlignment="1">
      <alignment horizontal="center" vertical="top"/>
    </xf>
    <xf numFmtId="3" fontId="1" fillId="0" borderId="0" xfId="0" applyNumberFormat="1" applyFont="1" applyBorder="1" applyAlignment="1">
      <alignment vertical="top"/>
    </xf>
    <xf numFmtId="3" fontId="3" fillId="4" borderId="36" xfId="0" applyNumberFormat="1" applyFont="1" applyFill="1" applyBorder="1" applyAlignment="1">
      <alignment horizontal="center" vertical="top" wrapText="1"/>
    </xf>
    <xf numFmtId="3" fontId="3" fillId="5" borderId="4" xfId="0" applyNumberFormat="1" applyFont="1" applyFill="1" applyBorder="1" applyAlignment="1">
      <alignment horizontal="center" vertical="top" wrapText="1"/>
    </xf>
    <xf numFmtId="3" fontId="3" fillId="0" borderId="36" xfId="0" applyNumberFormat="1" applyFont="1" applyFill="1" applyBorder="1" applyAlignment="1">
      <alignment vertical="center" textRotation="90" wrapText="1"/>
    </xf>
    <xf numFmtId="164" fontId="4" fillId="7" borderId="37" xfId="0" applyNumberFormat="1" applyFont="1" applyFill="1" applyBorder="1" applyAlignment="1">
      <alignment horizontal="center" vertical="top" wrapText="1"/>
    </xf>
    <xf numFmtId="164" fontId="4" fillId="7" borderId="6" xfId="0" applyNumberFormat="1" applyFont="1" applyFill="1" applyBorder="1" applyAlignment="1">
      <alignment horizontal="center" vertical="top" wrapText="1"/>
    </xf>
    <xf numFmtId="3" fontId="4" fillId="6" borderId="37" xfId="0" applyNumberFormat="1" applyFont="1" applyFill="1" applyBorder="1" applyAlignment="1">
      <alignment horizontal="center" vertical="top" wrapText="1"/>
    </xf>
    <xf numFmtId="3" fontId="4" fillId="6" borderId="4" xfId="0" applyNumberFormat="1" applyFont="1" applyFill="1" applyBorder="1" applyAlignment="1">
      <alignment horizontal="center" vertical="top" wrapText="1"/>
    </xf>
    <xf numFmtId="3" fontId="4" fillId="6" borderId="6" xfId="0" applyNumberFormat="1" applyFont="1" applyFill="1" applyBorder="1" applyAlignment="1">
      <alignment horizontal="center" vertical="top" wrapText="1"/>
    </xf>
    <xf numFmtId="3" fontId="3" fillId="4" borderId="39" xfId="0" applyNumberFormat="1" applyFont="1" applyFill="1" applyBorder="1" applyAlignment="1">
      <alignment horizontal="center" vertical="top" wrapText="1"/>
    </xf>
    <xf numFmtId="3" fontId="3" fillId="5" borderId="13" xfId="0" applyNumberFormat="1" applyFont="1" applyFill="1" applyBorder="1" applyAlignment="1">
      <alignment horizontal="center" vertical="top" wrapText="1"/>
    </xf>
    <xf numFmtId="49" fontId="3" fillId="0" borderId="13" xfId="0" applyNumberFormat="1" applyFont="1" applyBorder="1" applyAlignment="1">
      <alignment horizontal="center" vertical="top" wrapText="1"/>
    </xf>
    <xf numFmtId="3" fontId="3" fillId="0" borderId="39" xfId="0" applyNumberFormat="1" applyFont="1" applyFill="1" applyBorder="1" applyAlignment="1">
      <alignment vertical="center" textRotation="90" wrapText="1"/>
    </xf>
    <xf numFmtId="164" fontId="4" fillId="7" borderId="41" xfId="0" applyNumberFormat="1" applyFont="1" applyFill="1" applyBorder="1" applyAlignment="1">
      <alignment horizontal="center" vertical="top" wrapText="1"/>
    </xf>
    <xf numFmtId="164" fontId="4" fillId="7" borderId="15" xfId="0" applyNumberFormat="1" applyFont="1" applyFill="1" applyBorder="1" applyAlignment="1">
      <alignment horizontal="center" vertical="top" wrapText="1"/>
    </xf>
    <xf numFmtId="3" fontId="4" fillId="0" borderId="30" xfId="0" applyNumberFormat="1" applyFont="1" applyFill="1" applyBorder="1" applyAlignment="1">
      <alignment vertical="top" wrapText="1"/>
    </xf>
    <xf numFmtId="3" fontId="4" fillId="0" borderId="30" xfId="0" applyNumberFormat="1" applyFont="1" applyFill="1" applyBorder="1" applyAlignment="1">
      <alignment horizontal="center" vertical="top" wrapText="1"/>
    </xf>
    <xf numFmtId="3" fontId="4" fillId="0" borderId="12" xfId="0" applyNumberFormat="1" applyFont="1" applyFill="1" applyBorder="1" applyAlignment="1">
      <alignment horizontal="center" vertical="top" wrapText="1"/>
    </xf>
    <xf numFmtId="3" fontId="4" fillId="0" borderId="19" xfId="0" applyNumberFormat="1" applyFont="1" applyFill="1" applyBorder="1" applyAlignment="1">
      <alignment horizontal="center" vertical="top" wrapText="1"/>
    </xf>
    <xf numFmtId="49" fontId="4" fillId="0" borderId="42" xfId="0" applyNumberFormat="1" applyFont="1" applyFill="1" applyBorder="1" applyAlignment="1">
      <alignment horizontal="center" vertical="top"/>
    </xf>
    <xf numFmtId="3" fontId="4" fillId="0" borderId="41" xfId="0" applyNumberFormat="1" applyFont="1" applyBorder="1" applyAlignment="1">
      <alignment vertical="top"/>
    </xf>
    <xf numFmtId="164" fontId="4" fillId="0" borderId="15" xfId="0" applyNumberFormat="1" applyFont="1" applyFill="1" applyBorder="1" applyAlignment="1">
      <alignment horizontal="center" vertical="top"/>
    </xf>
    <xf numFmtId="3" fontId="4" fillId="6" borderId="48" xfId="0" applyNumberFormat="1" applyFont="1" applyFill="1" applyBorder="1" applyAlignment="1">
      <alignment vertical="top" wrapText="1"/>
    </xf>
    <xf numFmtId="3" fontId="4" fillId="6" borderId="16" xfId="0" applyNumberFormat="1" applyFont="1" applyFill="1" applyBorder="1" applyAlignment="1">
      <alignment horizontal="center" vertical="top" wrapText="1"/>
    </xf>
    <xf numFmtId="0" fontId="4" fillId="6" borderId="46" xfId="0" applyFont="1" applyFill="1" applyBorder="1" applyAlignment="1">
      <alignment vertical="top" wrapText="1"/>
    </xf>
    <xf numFmtId="0" fontId="4" fillId="0" borderId="41" xfId="0" applyFont="1" applyFill="1" applyBorder="1" applyAlignment="1">
      <alignment vertical="top" wrapText="1"/>
    </xf>
    <xf numFmtId="1" fontId="4" fillId="0" borderId="41" xfId="0" applyNumberFormat="1" applyFont="1" applyFill="1" applyBorder="1" applyAlignment="1">
      <alignment horizontal="center" vertical="top"/>
    </xf>
    <xf numFmtId="1" fontId="4" fillId="0" borderId="13" xfId="0" applyNumberFormat="1" applyFont="1" applyFill="1" applyBorder="1" applyAlignment="1">
      <alignment horizontal="center" vertical="top"/>
    </xf>
    <xf numFmtId="1" fontId="4" fillId="0" borderId="15" xfId="0" applyNumberFormat="1" applyFont="1" applyFill="1" applyBorder="1" applyAlignment="1">
      <alignment horizontal="center" vertical="top"/>
    </xf>
    <xf numFmtId="164" fontId="4" fillId="6" borderId="49" xfId="0" applyNumberFormat="1" applyFont="1" applyFill="1" applyBorder="1" applyAlignment="1">
      <alignment horizontal="center" vertical="top"/>
    </xf>
    <xf numFmtId="3" fontId="4" fillId="0" borderId="62" xfId="0" applyNumberFormat="1" applyFont="1" applyFill="1" applyBorder="1" applyAlignment="1">
      <alignment horizontal="center" vertical="top"/>
    </xf>
    <xf numFmtId="3" fontId="3" fillId="4" borderId="36" xfId="0" applyNumberFormat="1" applyFont="1" applyFill="1" applyBorder="1" applyAlignment="1">
      <alignment vertical="top" wrapText="1"/>
    </xf>
    <xf numFmtId="3" fontId="3" fillId="5" borderId="4" xfId="0" applyNumberFormat="1" applyFont="1" applyFill="1" applyBorder="1" applyAlignment="1">
      <alignment vertical="top" wrapText="1"/>
    </xf>
    <xf numFmtId="3" fontId="3" fillId="0" borderId="7" xfId="0" applyNumberFormat="1" applyFont="1" applyBorder="1" applyAlignment="1">
      <alignment vertical="top" wrapText="1"/>
    </xf>
    <xf numFmtId="3" fontId="3" fillId="4" borderId="39" xfId="0" applyNumberFormat="1" applyFont="1" applyFill="1" applyBorder="1" applyAlignment="1">
      <alignment vertical="top" wrapText="1"/>
    </xf>
    <xf numFmtId="3" fontId="3" fillId="5" borderId="13" xfId="0" applyNumberFormat="1" applyFont="1" applyFill="1" applyBorder="1" applyAlignment="1">
      <alignment vertical="top" wrapText="1"/>
    </xf>
    <xf numFmtId="3" fontId="4" fillId="0" borderId="48" xfId="0" applyNumberFormat="1" applyFont="1" applyBorder="1" applyAlignment="1">
      <alignment vertical="top" wrapText="1"/>
    </xf>
    <xf numFmtId="3" fontId="4" fillId="0" borderId="39" xfId="0" applyNumberFormat="1" applyFont="1" applyFill="1" applyBorder="1" applyAlignment="1">
      <alignment vertical="top"/>
    </xf>
    <xf numFmtId="3" fontId="4" fillId="0" borderId="13" xfId="0" applyNumberFormat="1" applyFont="1" applyFill="1" applyBorder="1" applyAlignment="1">
      <alignment vertical="top"/>
    </xf>
    <xf numFmtId="3" fontId="4" fillId="0" borderId="54" xfId="0" applyNumberFormat="1" applyFont="1" applyFill="1" applyBorder="1" applyAlignment="1">
      <alignment vertical="top"/>
    </xf>
    <xf numFmtId="3" fontId="3" fillId="0" borderId="54" xfId="0" applyNumberFormat="1" applyFont="1" applyBorder="1" applyAlignment="1">
      <alignment horizontal="center" vertical="top" wrapText="1"/>
    </xf>
    <xf numFmtId="164" fontId="1" fillId="0" borderId="41" xfId="0" applyNumberFormat="1" applyFont="1" applyFill="1" applyBorder="1" applyAlignment="1">
      <alignment horizontal="center" vertical="top"/>
    </xf>
    <xf numFmtId="164" fontId="1" fillId="0" borderId="15" xfId="0" applyNumberFormat="1" applyFont="1" applyFill="1" applyBorder="1" applyAlignment="1">
      <alignment horizontal="center" vertical="top"/>
    </xf>
    <xf numFmtId="3" fontId="2" fillId="0" borderId="0" xfId="0" applyNumberFormat="1" applyFont="1" applyBorder="1" applyAlignment="1">
      <alignment horizontal="center" wrapText="1"/>
    </xf>
    <xf numFmtId="49" fontId="2" fillId="0" borderId="13" xfId="0" applyNumberFormat="1" applyFont="1" applyBorder="1" applyAlignment="1">
      <alignment horizontal="center" vertical="top"/>
    </xf>
    <xf numFmtId="0" fontId="4" fillId="0" borderId="0" xfId="0" applyFont="1" applyFill="1" applyBorder="1" applyAlignment="1">
      <alignment horizontal="left" vertical="top" wrapText="1"/>
    </xf>
    <xf numFmtId="3" fontId="2" fillId="0" borderId="1" xfId="0" applyNumberFormat="1" applyFont="1" applyBorder="1" applyAlignment="1">
      <alignment horizontal="center" wrapText="1"/>
    </xf>
    <xf numFmtId="49" fontId="2" fillId="0" borderId="22" xfId="0" applyNumberFormat="1" applyFont="1" applyBorder="1" applyAlignment="1">
      <alignment horizontal="center" vertical="top"/>
    </xf>
    <xf numFmtId="49" fontId="4" fillId="0" borderId="59" xfId="0" applyNumberFormat="1" applyFont="1" applyFill="1" applyBorder="1" applyAlignment="1">
      <alignment horizontal="center" vertical="top"/>
    </xf>
    <xf numFmtId="49" fontId="4" fillId="0" borderId="22" xfId="0" applyNumberFormat="1" applyFont="1" applyFill="1" applyBorder="1" applyAlignment="1">
      <alignment horizontal="center" vertical="top"/>
    </xf>
    <xf numFmtId="49" fontId="4" fillId="0" borderId="60"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2" xfId="0" applyNumberFormat="1" applyFont="1" applyFill="1" applyBorder="1" applyAlignment="1">
      <alignment horizontal="center" vertical="top"/>
    </xf>
    <xf numFmtId="0" fontId="4" fillId="0" borderId="3" xfId="0" applyNumberFormat="1" applyFont="1" applyFill="1" applyBorder="1" applyAlignment="1">
      <alignment horizontal="center" vertical="top"/>
    </xf>
    <xf numFmtId="0" fontId="4" fillId="0" borderId="67"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44" xfId="0" applyNumberFormat="1" applyFont="1" applyFill="1" applyBorder="1" applyAlignment="1">
      <alignment horizontal="center" vertical="top"/>
    </xf>
    <xf numFmtId="0" fontId="4" fillId="0" borderId="45" xfId="0" applyNumberFormat="1" applyFont="1" applyFill="1" applyBorder="1" applyAlignment="1">
      <alignment horizontal="center" vertical="top"/>
    </xf>
    <xf numFmtId="164" fontId="3" fillId="8" borderId="68" xfId="0" applyNumberFormat="1" applyFont="1" applyFill="1" applyBorder="1" applyAlignment="1">
      <alignment horizontal="center" vertical="top"/>
    </xf>
    <xf numFmtId="3" fontId="4" fillId="0" borderId="22" xfId="0" applyNumberFormat="1" applyFont="1" applyFill="1" applyBorder="1" applyAlignment="1">
      <alignment horizontal="center" vertical="top" wrapText="1"/>
    </xf>
    <xf numFmtId="3" fontId="4" fillId="0" borderId="24" xfId="0" applyNumberFormat="1" applyFont="1" applyFill="1" applyBorder="1" applyAlignment="1">
      <alignment horizontal="center" vertical="top" wrapText="1"/>
    </xf>
    <xf numFmtId="164" fontId="4" fillId="0" borderId="37" xfId="0" applyNumberFormat="1" applyFont="1" applyFill="1" applyBorder="1" applyAlignment="1">
      <alignment horizontal="center" vertical="top"/>
    </xf>
    <xf numFmtId="3" fontId="4" fillId="0" borderId="4" xfId="0" applyNumberFormat="1" applyFont="1" applyFill="1" applyBorder="1" applyAlignment="1">
      <alignment horizontal="center" vertical="top" wrapText="1"/>
    </xf>
    <xf numFmtId="3" fontId="4" fillId="0" borderId="6" xfId="0" applyNumberFormat="1" applyFont="1" applyFill="1" applyBorder="1" applyAlignment="1">
      <alignment horizontal="center" vertical="top" wrapText="1"/>
    </xf>
    <xf numFmtId="164" fontId="3" fillId="5" borderId="8" xfId="0" applyNumberFormat="1" applyFont="1" applyFill="1" applyBorder="1" applyAlignment="1">
      <alignment horizontal="center" vertical="top"/>
    </xf>
    <xf numFmtId="3" fontId="3" fillId="4" borderId="36" xfId="0" applyNumberFormat="1" applyFont="1" applyFill="1" applyBorder="1" applyAlignment="1">
      <alignment vertical="top"/>
    </xf>
    <xf numFmtId="49" fontId="6" fillId="7" borderId="5" xfId="0" applyNumberFormat="1" applyFont="1" applyFill="1" applyBorder="1" applyAlignment="1">
      <alignment horizontal="center" vertical="top"/>
    </xf>
    <xf numFmtId="3" fontId="6" fillId="7" borderId="37" xfId="0" applyNumberFormat="1" applyFont="1" applyFill="1" applyBorder="1" applyAlignment="1">
      <alignment vertical="top" wrapText="1"/>
    </xf>
    <xf numFmtId="3" fontId="6" fillId="0" borderId="37" xfId="0" applyNumberFormat="1" applyFont="1" applyFill="1" applyBorder="1" applyAlignment="1">
      <alignment horizontal="center" vertical="top" textRotation="180" wrapText="1"/>
    </xf>
    <xf numFmtId="49" fontId="1" fillId="0" borderId="4" xfId="0" applyNumberFormat="1" applyFont="1" applyBorder="1" applyAlignment="1">
      <alignment horizontal="center" vertical="center" wrapText="1"/>
    </xf>
    <xf numFmtId="3" fontId="6" fillId="0" borderId="6" xfId="0" applyNumberFormat="1" applyFont="1" applyBorder="1" applyAlignment="1">
      <alignment horizontal="center" vertical="center"/>
    </xf>
    <xf numFmtId="3" fontId="4" fillId="7" borderId="6" xfId="0" applyNumberFormat="1" applyFont="1" applyFill="1" applyBorder="1" applyAlignment="1">
      <alignment horizontal="center" vertical="top" wrapText="1"/>
    </xf>
    <xf numFmtId="164" fontId="4" fillId="6" borderId="36" xfId="0" applyNumberFormat="1" applyFont="1" applyFill="1" applyBorder="1" applyAlignment="1">
      <alignment horizontal="center" vertical="top" wrapText="1"/>
    </xf>
    <xf numFmtId="164" fontId="4" fillId="6" borderId="37" xfId="0" applyNumberFormat="1" applyFont="1" applyFill="1" applyBorder="1" applyAlignment="1">
      <alignment horizontal="center" vertical="top" wrapText="1"/>
    </xf>
    <xf numFmtId="3" fontId="4" fillId="7" borderId="37" xfId="0" applyNumberFormat="1" applyFont="1" applyFill="1" applyBorder="1" applyAlignment="1">
      <alignment vertical="top" wrapText="1"/>
    </xf>
    <xf numFmtId="3" fontId="4" fillId="7" borderId="4" xfId="0" applyNumberFormat="1" applyFont="1" applyFill="1" applyBorder="1" applyAlignment="1">
      <alignment vertical="top" wrapText="1"/>
    </xf>
    <xf numFmtId="3" fontId="4" fillId="7" borderId="6" xfId="0" applyNumberFormat="1" applyFont="1" applyFill="1" applyBorder="1" applyAlignment="1">
      <alignment vertical="top" wrapText="1"/>
    </xf>
    <xf numFmtId="3" fontId="3" fillId="4" borderId="39" xfId="0" applyNumberFormat="1" applyFont="1" applyFill="1" applyBorder="1" applyAlignment="1">
      <alignment vertical="top"/>
    </xf>
    <xf numFmtId="49" fontId="6" fillId="7" borderId="14" xfId="0" applyNumberFormat="1" applyFont="1" applyFill="1" applyBorder="1" applyAlignment="1">
      <alignment horizontal="center" vertical="top"/>
    </xf>
    <xf numFmtId="3" fontId="6" fillId="0" borderId="43" xfId="0" applyNumberFormat="1" applyFont="1" applyFill="1" applyBorder="1" applyAlignment="1">
      <alignment horizontal="center" vertical="center" wrapText="1"/>
    </xf>
    <xf numFmtId="49" fontId="1" fillId="0" borderId="44" xfId="0" applyNumberFormat="1" applyFont="1" applyBorder="1" applyAlignment="1">
      <alignment horizontal="center" vertical="top" wrapText="1"/>
    </xf>
    <xf numFmtId="3" fontId="4" fillId="7" borderId="40" xfId="0" applyNumberFormat="1" applyFont="1" applyFill="1" applyBorder="1" applyAlignment="1">
      <alignment horizontal="center" vertical="top" wrapText="1"/>
    </xf>
    <xf numFmtId="164" fontId="4" fillId="7" borderId="43" xfId="0" applyNumberFormat="1" applyFont="1" applyFill="1" applyBorder="1" applyAlignment="1">
      <alignment horizontal="center" vertical="top" wrapText="1"/>
    </xf>
    <xf numFmtId="3" fontId="4" fillId="7" borderId="42" xfId="0" applyNumberFormat="1" applyFont="1" applyFill="1" applyBorder="1" applyAlignment="1">
      <alignment horizontal="center" vertical="top" wrapText="1"/>
    </xf>
    <xf numFmtId="3" fontId="4" fillId="7" borderId="32" xfId="0" applyNumberFormat="1" applyFont="1" applyFill="1" applyBorder="1" applyAlignment="1">
      <alignment horizontal="center" vertical="top" wrapText="1"/>
    </xf>
    <xf numFmtId="3" fontId="6" fillId="0" borderId="39" xfId="0" applyNumberFormat="1" applyFont="1" applyFill="1" applyBorder="1" applyAlignment="1">
      <alignment vertical="center" wrapText="1"/>
    </xf>
    <xf numFmtId="49" fontId="4" fillId="0" borderId="0" xfId="0" applyNumberFormat="1" applyFont="1" applyBorder="1" applyAlignment="1">
      <alignment vertical="top"/>
    </xf>
    <xf numFmtId="3" fontId="6" fillId="6" borderId="54" xfId="0" applyNumberFormat="1" applyFont="1" applyFill="1" applyBorder="1" applyAlignment="1">
      <alignment vertical="center"/>
    </xf>
    <xf numFmtId="164" fontId="4" fillId="7" borderId="39" xfId="0" applyNumberFormat="1" applyFont="1" applyFill="1" applyBorder="1" applyAlignment="1">
      <alignment horizontal="center" vertical="top" wrapText="1"/>
    </xf>
    <xf numFmtId="3" fontId="6" fillId="0" borderId="39" xfId="0" applyNumberFormat="1" applyFont="1" applyFill="1" applyBorder="1" applyAlignment="1">
      <alignment horizontal="center" vertical="center" wrapText="1"/>
    </xf>
    <xf numFmtId="49" fontId="1" fillId="0" borderId="13" xfId="0" applyNumberFormat="1" applyFont="1" applyBorder="1" applyAlignment="1">
      <alignment horizontal="center" vertical="center" wrapText="1"/>
    </xf>
    <xf numFmtId="3" fontId="6" fillId="6" borderId="54" xfId="0" applyNumberFormat="1" applyFont="1" applyFill="1" applyBorder="1" applyAlignment="1">
      <alignment horizontal="center" vertical="center"/>
    </xf>
    <xf numFmtId="164" fontId="4" fillId="7" borderId="42" xfId="0" applyNumberFormat="1" applyFont="1" applyFill="1" applyBorder="1" applyAlignment="1">
      <alignment horizontal="center" vertical="top" wrapText="1"/>
    </xf>
    <xf numFmtId="3" fontId="4" fillId="7" borderId="42" xfId="0" applyNumberFormat="1" applyFont="1" applyFill="1" applyBorder="1" applyAlignment="1">
      <alignment vertical="top" wrapText="1"/>
    </xf>
    <xf numFmtId="164" fontId="4" fillId="7" borderId="52" xfId="0" applyNumberFormat="1" applyFont="1" applyFill="1" applyBorder="1" applyAlignment="1">
      <alignment horizontal="center" vertical="top" wrapText="1"/>
    </xf>
    <xf numFmtId="3" fontId="4" fillId="7" borderId="41" xfId="0" applyNumberFormat="1" applyFont="1" applyFill="1" applyBorder="1" applyAlignment="1">
      <alignment vertical="top" wrapText="1"/>
    </xf>
    <xf numFmtId="3" fontId="4" fillId="7" borderId="41" xfId="0" applyNumberFormat="1" applyFont="1" applyFill="1" applyBorder="1" applyAlignment="1">
      <alignment horizontal="center" vertical="top" wrapText="1"/>
    </xf>
    <xf numFmtId="3" fontId="4" fillId="7" borderId="15" xfId="0" applyNumberFormat="1" applyFont="1" applyFill="1" applyBorder="1" applyAlignment="1">
      <alignment horizontal="center" vertical="top" wrapText="1"/>
    </xf>
    <xf numFmtId="3" fontId="3" fillId="0" borderId="39" xfId="0" applyNumberFormat="1" applyFont="1" applyBorder="1" applyAlignment="1">
      <alignment vertical="center" textRotation="90"/>
    </xf>
    <xf numFmtId="0" fontId="4" fillId="0" borderId="30" xfId="0" applyFont="1" applyFill="1" applyBorder="1" applyAlignment="1">
      <alignment vertical="top" wrapText="1"/>
    </xf>
    <xf numFmtId="0" fontId="4" fillId="0" borderId="11" xfId="0" applyFont="1" applyFill="1" applyBorder="1" applyAlignment="1">
      <alignment horizontal="center" vertical="top"/>
    </xf>
    <xf numFmtId="3" fontId="4" fillId="0" borderId="44" xfId="0" applyNumberFormat="1" applyFont="1" applyFill="1" applyBorder="1" applyAlignment="1">
      <alignment vertical="top"/>
    </xf>
    <xf numFmtId="3" fontId="4" fillId="0" borderId="45" xfId="0" applyNumberFormat="1" applyFont="1" applyFill="1" applyBorder="1" applyAlignment="1">
      <alignment vertical="top"/>
    </xf>
    <xf numFmtId="3" fontId="2" fillId="0" borderId="0" xfId="0" applyNumberFormat="1" applyFont="1" applyBorder="1"/>
    <xf numFmtId="3" fontId="4" fillId="7" borderId="49" xfId="0" applyNumberFormat="1" applyFont="1" applyFill="1" applyBorder="1" applyAlignment="1">
      <alignment vertical="top" wrapText="1"/>
    </xf>
    <xf numFmtId="3" fontId="4" fillId="0" borderId="52" xfId="0" applyNumberFormat="1" applyFont="1" applyFill="1" applyBorder="1" applyAlignment="1">
      <alignment vertical="top"/>
    </xf>
    <xf numFmtId="3" fontId="6" fillId="0" borderId="39" xfId="0" applyNumberFormat="1" applyFont="1" applyFill="1" applyBorder="1" applyAlignment="1">
      <alignment horizontal="center" vertical="top" wrapText="1"/>
    </xf>
    <xf numFmtId="49" fontId="1" fillId="0" borderId="13" xfId="0" applyNumberFormat="1" applyFont="1" applyBorder="1" applyAlignment="1">
      <alignment horizontal="center" vertical="top" wrapText="1"/>
    </xf>
    <xf numFmtId="3" fontId="4" fillId="7" borderId="19" xfId="0" applyNumberFormat="1" applyFont="1" applyFill="1" applyBorder="1" applyAlignment="1">
      <alignment horizontal="center" vertical="top" wrapText="1"/>
    </xf>
    <xf numFmtId="3" fontId="4" fillId="6" borderId="42" xfId="0" applyNumberFormat="1" applyFont="1" applyFill="1" applyBorder="1" applyAlignment="1">
      <alignment vertical="top" wrapText="1"/>
    </xf>
    <xf numFmtId="3" fontId="6" fillId="0" borderId="54" xfId="0" applyNumberFormat="1" applyFont="1" applyBorder="1" applyAlignment="1">
      <alignment horizontal="center" vertical="center"/>
    </xf>
    <xf numFmtId="3" fontId="4" fillId="0" borderId="43" xfId="0" applyNumberFormat="1" applyFont="1" applyBorder="1" applyAlignment="1">
      <alignment horizontal="center" vertical="top"/>
    </xf>
    <xf numFmtId="3" fontId="6" fillId="0" borderId="54" xfId="0" applyNumberFormat="1" applyFont="1" applyBorder="1" applyAlignment="1">
      <alignment vertical="center"/>
    </xf>
    <xf numFmtId="3" fontId="6" fillId="8" borderId="19" xfId="0" applyNumberFormat="1" applyFont="1" applyFill="1" applyBorder="1" applyAlignment="1">
      <alignment horizontal="center" vertical="top" wrapText="1"/>
    </xf>
    <xf numFmtId="164" fontId="6" fillId="8" borderId="11" xfId="0" applyNumberFormat="1" applyFont="1" applyFill="1" applyBorder="1" applyAlignment="1">
      <alignment horizontal="center" vertical="top" wrapText="1"/>
    </xf>
    <xf numFmtId="3" fontId="4" fillId="0" borderId="39" xfId="0" applyNumberFormat="1" applyFont="1" applyBorder="1" applyAlignment="1">
      <alignment horizontal="center" vertical="top"/>
    </xf>
    <xf numFmtId="3" fontId="6" fillId="0" borderId="43" xfId="0" applyNumberFormat="1" applyFont="1" applyFill="1" applyBorder="1" applyAlignment="1">
      <alignment horizontal="center" vertical="top" wrapText="1"/>
    </xf>
    <xf numFmtId="3" fontId="6" fillId="0" borderId="45" xfId="0" applyNumberFormat="1" applyFont="1" applyBorder="1" applyAlignment="1">
      <alignment horizontal="center" vertical="top"/>
    </xf>
    <xf numFmtId="0" fontId="4" fillId="0" borderId="30" xfId="0" applyFont="1" applyFill="1" applyBorder="1" applyAlignment="1">
      <alignment horizontal="left"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49" fontId="4" fillId="0" borderId="0" xfId="0" applyNumberFormat="1" applyFont="1" applyBorder="1" applyAlignment="1">
      <alignment horizontal="center" vertical="top"/>
    </xf>
    <xf numFmtId="3" fontId="6" fillId="0" borderId="54" xfId="0" applyNumberFormat="1" applyFont="1" applyBorder="1" applyAlignment="1">
      <alignment horizontal="center" vertical="top"/>
    </xf>
    <xf numFmtId="3" fontId="4" fillId="7" borderId="46" xfId="0" applyNumberFormat="1" applyFont="1" applyFill="1" applyBorder="1" applyAlignment="1">
      <alignment horizontal="center" vertical="top" wrapText="1"/>
    </xf>
    <xf numFmtId="164" fontId="4" fillId="7" borderId="11" xfId="0" applyNumberFormat="1" applyFont="1" applyFill="1" applyBorder="1" applyAlignment="1">
      <alignment horizontal="center" vertical="top" wrapText="1"/>
    </xf>
    <xf numFmtId="164" fontId="1" fillId="6" borderId="30" xfId="0" applyNumberFormat="1" applyFont="1" applyFill="1" applyBorder="1" applyAlignment="1">
      <alignment horizontal="center" vertical="top"/>
    </xf>
    <xf numFmtId="3" fontId="4" fillId="0" borderId="49" xfId="0" applyNumberFormat="1" applyFont="1" applyBorder="1" applyAlignment="1">
      <alignment horizontal="center" vertical="top"/>
    </xf>
    <xf numFmtId="3" fontId="4" fillId="0" borderId="50" xfId="0" applyNumberFormat="1" applyFont="1" applyBorder="1" applyAlignment="1">
      <alignment horizontal="center" vertical="top"/>
    </xf>
    <xf numFmtId="3" fontId="4" fillId="0" borderId="66" xfId="0" applyNumberFormat="1" applyFont="1" applyBorder="1" applyAlignment="1">
      <alignment horizontal="center" vertical="top"/>
    </xf>
    <xf numFmtId="0" fontId="4" fillId="0" borderId="43" xfId="0" applyFont="1" applyFill="1" applyBorder="1" applyAlignment="1">
      <alignment horizontal="center" vertical="top" wrapText="1"/>
    </xf>
    <xf numFmtId="3" fontId="6" fillId="0" borderId="52" xfId="0" applyNumberFormat="1" applyFont="1" applyFill="1" applyBorder="1" applyAlignment="1">
      <alignment vertical="center" wrapText="1"/>
    </xf>
    <xf numFmtId="49" fontId="1" fillId="0" borderId="50" xfId="0" applyNumberFormat="1" applyFont="1" applyBorder="1" applyAlignment="1">
      <alignment horizontal="center" vertical="center" wrapText="1"/>
    </xf>
    <xf numFmtId="3" fontId="6" fillId="0" borderId="53" xfId="0" applyNumberFormat="1" applyFont="1" applyBorder="1" applyAlignment="1">
      <alignment vertical="center"/>
    </xf>
    <xf numFmtId="3" fontId="3" fillId="4" borderId="59" xfId="0" applyNumberFormat="1" applyFont="1" applyFill="1" applyBorder="1" applyAlignment="1">
      <alignment vertical="top"/>
    </xf>
    <xf numFmtId="3" fontId="3" fillId="5" borderId="65" xfId="0" applyNumberFormat="1" applyFont="1" applyFill="1" applyBorder="1" applyAlignment="1">
      <alignment horizontal="center" vertical="top"/>
    </xf>
    <xf numFmtId="164" fontId="3" fillId="5" borderId="62" xfId="0" applyNumberFormat="1" applyFont="1" applyFill="1" applyBorder="1" applyAlignment="1">
      <alignment horizontal="center" vertical="top"/>
    </xf>
    <xf numFmtId="3" fontId="3" fillId="5" borderId="4" xfId="0" applyNumberFormat="1" applyFont="1" applyFill="1" applyBorder="1" applyAlignment="1">
      <alignment vertical="top"/>
    </xf>
    <xf numFmtId="49" fontId="3" fillId="0" borderId="4" xfId="0" applyNumberFormat="1" applyFont="1" applyBorder="1" applyAlignment="1">
      <alignment vertical="top"/>
    </xf>
    <xf numFmtId="3" fontId="6" fillId="0" borderId="7" xfId="0" applyNumberFormat="1" applyFont="1" applyBorder="1" applyAlignment="1">
      <alignment vertical="top" wrapText="1"/>
    </xf>
    <xf numFmtId="3" fontId="3" fillId="0" borderId="36" xfId="0" applyNumberFormat="1" applyFont="1" applyBorder="1" applyAlignment="1">
      <alignment vertical="center" textRotation="90"/>
    </xf>
    <xf numFmtId="49" fontId="4" fillId="0" borderId="4" xfId="0" applyNumberFormat="1" applyFont="1" applyBorder="1" applyAlignment="1">
      <alignment vertical="top" wrapText="1"/>
    </xf>
    <xf numFmtId="3" fontId="3" fillId="0" borderId="45" xfId="0" applyNumberFormat="1" applyFont="1" applyBorder="1" applyAlignment="1">
      <alignment horizontal="center" vertical="top" wrapText="1"/>
    </xf>
    <xf numFmtId="3" fontId="4" fillId="7" borderId="7" xfId="0" applyNumberFormat="1" applyFont="1" applyFill="1" applyBorder="1" applyAlignment="1">
      <alignment horizontal="center" vertical="top" wrapText="1"/>
    </xf>
    <xf numFmtId="3" fontId="4" fillId="7" borderId="7" xfId="0" applyNumberFormat="1" applyFont="1" applyFill="1" applyBorder="1" applyAlignment="1">
      <alignment vertical="top" wrapText="1"/>
    </xf>
    <xf numFmtId="3" fontId="4" fillId="0" borderId="42" xfId="0" applyNumberFormat="1" applyFont="1" applyBorder="1" applyAlignment="1">
      <alignment horizontal="center" vertical="top" wrapText="1"/>
    </xf>
    <xf numFmtId="3" fontId="4" fillId="0" borderId="44" xfId="0" applyNumberFormat="1" applyFont="1" applyBorder="1" applyAlignment="1">
      <alignment horizontal="center" vertical="top" wrapText="1"/>
    </xf>
    <xf numFmtId="3" fontId="4" fillId="0" borderId="32" xfId="0" applyNumberFormat="1" applyFont="1" applyBorder="1" applyAlignment="1">
      <alignment horizontal="center" vertical="top" wrapText="1"/>
    </xf>
    <xf numFmtId="3" fontId="3" fillId="0" borderId="54" xfId="0" applyNumberFormat="1" applyFont="1" applyBorder="1" applyAlignment="1">
      <alignment vertical="top" wrapText="1"/>
    </xf>
    <xf numFmtId="164" fontId="4" fillId="6" borderId="11" xfId="0" applyNumberFormat="1" applyFont="1" applyFill="1" applyBorder="1" applyAlignment="1">
      <alignment horizontal="center" vertical="top"/>
    </xf>
    <xf numFmtId="164" fontId="4" fillId="6" borderId="19" xfId="0" applyNumberFormat="1" applyFont="1" applyFill="1" applyBorder="1" applyAlignment="1">
      <alignment horizontal="center" vertical="top"/>
    </xf>
    <xf numFmtId="3" fontId="4" fillId="0" borderId="41" xfId="0" applyNumberFormat="1" applyFont="1" applyBorder="1" applyAlignment="1">
      <alignment horizontal="center" vertical="top" wrapText="1"/>
    </xf>
    <xf numFmtId="3" fontId="4" fillId="0" borderId="13" xfId="0" applyNumberFormat="1" applyFont="1" applyBorder="1" applyAlignment="1">
      <alignment horizontal="center" vertical="top" wrapText="1"/>
    </xf>
    <xf numFmtId="3" fontId="4" fillId="0" borderId="15" xfId="0" applyNumberFormat="1" applyFont="1" applyBorder="1" applyAlignment="1">
      <alignment horizontal="center" vertical="top" wrapText="1"/>
    </xf>
    <xf numFmtId="3" fontId="3" fillId="5" borderId="13" xfId="0" applyNumberFormat="1" applyFont="1" applyFill="1" applyBorder="1" applyAlignment="1">
      <alignment vertical="top"/>
    </xf>
    <xf numFmtId="49" fontId="3" fillId="0" borderId="13" xfId="0" applyNumberFormat="1" applyFont="1" applyBorder="1" applyAlignment="1">
      <alignment vertical="top"/>
    </xf>
    <xf numFmtId="3" fontId="3" fillId="8" borderId="40" xfId="0" applyNumberFormat="1" applyFont="1" applyFill="1" applyBorder="1" applyAlignment="1">
      <alignment horizontal="center" vertical="top" wrapText="1"/>
    </xf>
    <xf numFmtId="3" fontId="3" fillId="0" borderId="41" xfId="0" applyNumberFormat="1" applyFont="1" applyFill="1" applyBorder="1" applyAlignment="1">
      <alignment horizontal="center" vertical="top"/>
    </xf>
    <xf numFmtId="3" fontId="3" fillId="0" borderId="13" xfId="0" applyNumberFormat="1" applyFont="1" applyFill="1" applyBorder="1" applyAlignment="1">
      <alignment horizontal="center" vertical="top"/>
    </xf>
    <xf numFmtId="3" fontId="1" fillId="0" borderId="15" xfId="0" applyNumberFormat="1" applyFont="1" applyFill="1" applyBorder="1" applyAlignment="1">
      <alignment horizontal="center" vertical="top"/>
    </xf>
    <xf numFmtId="49" fontId="3" fillId="7" borderId="4" xfId="0" applyNumberFormat="1" applyFont="1" applyFill="1" applyBorder="1" applyAlignment="1">
      <alignment horizontal="center" vertical="top"/>
    </xf>
    <xf numFmtId="3" fontId="3" fillId="0" borderId="35" xfId="0" applyNumberFormat="1" applyFont="1" applyBorder="1" applyAlignment="1">
      <alignment horizontal="center" vertical="center" textRotation="90"/>
    </xf>
    <xf numFmtId="49" fontId="4" fillId="7" borderId="4" xfId="0" applyNumberFormat="1" applyFont="1" applyFill="1" applyBorder="1" applyAlignment="1">
      <alignment horizontal="center" vertical="top"/>
    </xf>
    <xf numFmtId="49" fontId="3" fillId="7" borderId="13" xfId="0" applyNumberFormat="1" applyFont="1" applyFill="1" applyBorder="1" applyAlignment="1">
      <alignment horizontal="center" vertical="top"/>
    </xf>
    <xf numFmtId="3" fontId="4" fillId="0" borderId="51" xfId="0" applyNumberFormat="1" applyFont="1" applyFill="1" applyBorder="1" applyAlignment="1">
      <alignment horizontal="center" vertical="top" wrapText="1"/>
    </xf>
    <xf numFmtId="3" fontId="2" fillId="0" borderId="16" xfId="0" applyNumberFormat="1" applyFont="1" applyBorder="1"/>
    <xf numFmtId="0" fontId="4" fillId="0" borderId="39" xfId="0" applyFont="1" applyFill="1" applyBorder="1" applyAlignment="1">
      <alignment horizontal="center" vertical="top"/>
    </xf>
    <xf numFmtId="0" fontId="4" fillId="0" borderId="13" xfId="0" applyFont="1" applyFill="1" applyBorder="1" applyAlignment="1">
      <alignment horizontal="center" vertical="top"/>
    </xf>
    <xf numFmtId="0" fontId="4" fillId="0" borderId="54" xfId="0" applyFont="1" applyFill="1" applyBorder="1" applyAlignment="1">
      <alignment horizontal="center" vertical="top"/>
    </xf>
    <xf numFmtId="164" fontId="1" fillId="0" borderId="0" xfId="0" applyNumberFormat="1" applyFont="1" applyFill="1" applyBorder="1" applyAlignment="1">
      <alignment horizontal="center" vertical="top"/>
    </xf>
    <xf numFmtId="0" fontId="4" fillId="0" borderId="44" xfId="0" applyFont="1" applyFill="1" applyBorder="1" applyAlignment="1">
      <alignment horizontal="center" vertical="top"/>
    </xf>
    <xf numFmtId="3" fontId="3" fillId="0" borderId="0" xfId="0" applyNumberFormat="1" applyFont="1" applyBorder="1" applyAlignment="1">
      <alignment vertical="center" textRotation="90"/>
    </xf>
    <xf numFmtId="164" fontId="1" fillId="0" borderId="0" xfId="0" applyNumberFormat="1" applyFont="1" applyFill="1" applyBorder="1" applyAlignment="1">
      <alignment horizontal="center" vertical="top" wrapText="1"/>
    </xf>
    <xf numFmtId="3" fontId="4" fillId="0" borderId="39" xfId="0" applyNumberFormat="1" applyFont="1" applyFill="1" applyBorder="1" applyAlignment="1">
      <alignment horizontal="center" vertical="top"/>
    </xf>
    <xf numFmtId="49" fontId="3" fillId="7" borderId="13" xfId="0" applyNumberFormat="1" applyFont="1" applyFill="1" applyBorder="1" applyAlignment="1">
      <alignment vertical="top"/>
    </xf>
    <xf numFmtId="3" fontId="4" fillId="0" borderId="46" xfId="0" applyNumberFormat="1" applyFont="1" applyFill="1" applyBorder="1" applyAlignment="1">
      <alignment horizontal="left" vertical="top" wrapText="1"/>
    </xf>
    <xf numFmtId="164" fontId="4" fillId="7" borderId="32" xfId="0" applyNumberFormat="1" applyFont="1" applyFill="1" applyBorder="1" applyAlignment="1">
      <alignment horizontal="center" vertical="top" wrapText="1"/>
    </xf>
    <xf numFmtId="3" fontId="3" fillId="4" borderId="62" xfId="0" applyNumberFormat="1" applyFont="1" applyFill="1" applyBorder="1" applyAlignment="1">
      <alignment horizontal="center" vertical="top"/>
    </xf>
    <xf numFmtId="49" fontId="3" fillId="7" borderId="22" xfId="0" applyNumberFormat="1" applyFont="1" applyFill="1" applyBorder="1" applyAlignment="1">
      <alignment vertical="top"/>
    </xf>
    <xf numFmtId="3" fontId="3" fillId="0" borderId="59" xfId="0" applyNumberFormat="1" applyFont="1" applyBorder="1" applyAlignment="1">
      <alignment horizontal="center" vertical="center" textRotation="90"/>
    </xf>
    <xf numFmtId="164" fontId="3" fillId="8" borderId="56" xfId="0" applyNumberFormat="1" applyFont="1" applyFill="1" applyBorder="1" applyAlignment="1">
      <alignment horizontal="center" vertical="top"/>
    </xf>
    <xf numFmtId="3" fontId="4" fillId="0" borderId="59" xfId="0" applyNumberFormat="1" applyFont="1" applyFill="1" applyBorder="1" applyAlignment="1">
      <alignment vertical="top"/>
    </xf>
    <xf numFmtId="3" fontId="4" fillId="0" borderId="22" xfId="0" applyNumberFormat="1" applyFont="1" applyFill="1" applyBorder="1" applyAlignment="1">
      <alignment vertical="top"/>
    </xf>
    <xf numFmtId="3" fontId="4" fillId="0" borderId="60" xfId="0" applyNumberFormat="1" applyFont="1" applyFill="1" applyBorder="1" applyAlignment="1">
      <alignment vertical="top"/>
    </xf>
    <xf numFmtId="3" fontId="3" fillId="0" borderId="37" xfId="0" applyNumberFormat="1" applyFont="1" applyBorder="1" applyAlignment="1">
      <alignment vertical="center" textRotation="90"/>
    </xf>
    <xf numFmtId="3" fontId="4" fillId="0" borderId="38" xfId="0" applyNumberFormat="1" applyFont="1" applyFill="1" applyBorder="1" applyAlignment="1">
      <alignment horizontal="center" vertical="top"/>
    </xf>
    <xf numFmtId="3" fontId="4" fillId="0" borderId="28" xfId="0" applyNumberFormat="1" applyFont="1" applyFill="1" applyBorder="1" applyAlignment="1">
      <alignment vertical="top" wrapText="1"/>
    </xf>
    <xf numFmtId="3" fontId="4" fillId="0" borderId="2" xfId="0" applyNumberFormat="1" applyFont="1" applyFill="1" applyBorder="1" applyAlignment="1">
      <alignment horizontal="center" vertical="top"/>
    </xf>
    <xf numFmtId="3" fontId="4" fillId="0" borderId="67" xfId="0" applyNumberFormat="1" applyFont="1" applyFill="1" applyBorder="1" applyAlignment="1">
      <alignment horizontal="center" vertical="top"/>
    </xf>
    <xf numFmtId="3" fontId="3" fillId="4" borderId="41" xfId="0" applyNumberFormat="1" applyFont="1" applyFill="1" applyBorder="1" applyAlignment="1">
      <alignment vertical="top"/>
    </xf>
    <xf numFmtId="3" fontId="3" fillId="0" borderId="41" xfId="0" applyNumberFormat="1" applyFont="1" applyBorder="1" applyAlignment="1">
      <alignment vertical="center" textRotation="90"/>
    </xf>
    <xf numFmtId="164" fontId="4" fillId="0" borderId="42" xfId="0" applyNumberFormat="1" applyFont="1" applyFill="1" applyBorder="1" applyAlignment="1">
      <alignment horizontal="center" vertical="top"/>
    </xf>
    <xf numFmtId="3" fontId="4" fillId="6" borderId="39" xfId="0" applyNumberFormat="1" applyFont="1" applyFill="1" applyBorder="1" applyAlignment="1">
      <alignment horizontal="center" vertical="top"/>
    </xf>
    <xf numFmtId="3" fontId="4" fillId="6" borderId="13" xfId="0" applyNumberFormat="1" applyFont="1" applyFill="1" applyBorder="1" applyAlignment="1">
      <alignment horizontal="center" vertical="top"/>
    </xf>
    <xf numFmtId="3" fontId="3" fillId="0" borderId="62" xfId="0" applyNumberFormat="1" applyFont="1" applyBorder="1" applyAlignment="1">
      <alignment horizontal="center" vertical="center" textRotation="90"/>
    </xf>
    <xf numFmtId="3" fontId="6" fillId="0" borderId="60" xfId="0" applyNumberFormat="1" applyFont="1" applyBorder="1" applyAlignment="1">
      <alignment vertical="top"/>
    </xf>
    <xf numFmtId="164" fontId="6" fillId="5" borderId="8" xfId="0" applyNumberFormat="1" applyFont="1" applyFill="1" applyBorder="1" applyAlignment="1">
      <alignment horizontal="center" vertical="top"/>
    </xf>
    <xf numFmtId="3" fontId="3" fillId="4" borderId="23" xfId="0" applyNumberFormat="1" applyFont="1" applyFill="1" applyBorder="1" applyAlignment="1">
      <alignment horizontal="center" vertical="top"/>
    </xf>
    <xf numFmtId="164" fontId="3" fillId="4" borderId="8" xfId="0" applyNumberFormat="1" applyFont="1" applyFill="1" applyBorder="1" applyAlignment="1">
      <alignment horizontal="center" vertical="top"/>
    </xf>
    <xf numFmtId="3" fontId="3" fillId="3" borderId="33" xfId="0" applyNumberFormat="1" applyFont="1" applyFill="1" applyBorder="1" applyAlignment="1">
      <alignment horizontal="center" vertical="top"/>
    </xf>
    <xf numFmtId="164" fontId="3" fillId="3" borderId="62" xfId="0" applyNumberFormat="1" applyFont="1" applyFill="1" applyBorder="1" applyAlignment="1">
      <alignment horizontal="center" vertical="top" wrapText="1"/>
    </xf>
    <xf numFmtId="3" fontId="1" fillId="0" borderId="0" xfId="0" applyNumberFormat="1" applyFont="1" applyBorder="1" applyAlignment="1">
      <alignment vertical="top" wrapText="1"/>
    </xf>
    <xf numFmtId="3" fontId="1" fillId="0" borderId="0" xfId="0" applyNumberFormat="1" applyFont="1" applyFill="1" applyAlignment="1">
      <alignment vertical="top"/>
    </xf>
    <xf numFmtId="3" fontId="1" fillId="7" borderId="0" xfId="0" applyNumberFormat="1" applyFont="1" applyFill="1" applyAlignment="1">
      <alignment vertical="top"/>
    </xf>
    <xf numFmtId="49"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vertical="center" wrapText="1"/>
    </xf>
    <xf numFmtId="3" fontId="1" fillId="7" borderId="0" xfId="0" applyNumberFormat="1" applyFont="1" applyFill="1" applyBorder="1" applyAlignment="1">
      <alignment vertical="top"/>
    </xf>
    <xf numFmtId="3" fontId="4" fillId="7" borderId="0" xfId="0" applyNumberFormat="1" applyFont="1" applyFill="1" applyBorder="1" applyAlignment="1">
      <alignment vertical="top"/>
    </xf>
    <xf numFmtId="3" fontId="3" fillId="7" borderId="0" xfId="0" applyNumberFormat="1" applyFont="1" applyFill="1" applyBorder="1" applyAlignment="1">
      <alignment horizontal="center" vertical="top" wrapText="1"/>
    </xf>
    <xf numFmtId="164" fontId="6" fillId="3" borderId="8" xfId="0" applyNumberFormat="1" applyFont="1" applyFill="1" applyBorder="1" applyAlignment="1">
      <alignment horizontal="center" vertical="top" wrapText="1"/>
    </xf>
    <xf numFmtId="3" fontId="4" fillId="7" borderId="0" xfId="0" applyNumberFormat="1" applyFont="1" applyFill="1" applyBorder="1" applyAlignment="1">
      <alignment horizontal="center" vertical="top" wrapText="1"/>
    </xf>
    <xf numFmtId="164" fontId="1" fillId="0" borderId="27" xfId="0" applyNumberFormat="1" applyFont="1" applyBorder="1" applyAlignment="1">
      <alignment horizontal="center" vertical="top" wrapText="1"/>
    </xf>
    <xf numFmtId="164" fontId="1" fillId="0" borderId="30" xfId="0" applyNumberFormat="1" applyFont="1" applyBorder="1" applyAlignment="1">
      <alignment horizontal="center" vertical="top" wrapText="1"/>
    </xf>
    <xf numFmtId="164" fontId="1" fillId="0" borderId="19" xfId="0" applyNumberFormat="1" applyFont="1" applyBorder="1" applyAlignment="1">
      <alignment horizontal="center" vertical="top" wrapText="1"/>
    </xf>
    <xf numFmtId="3" fontId="1" fillId="7" borderId="0" xfId="0" applyNumberFormat="1" applyFont="1" applyFill="1" applyBorder="1" applyAlignment="1">
      <alignment horizontal="center" vertical="top"/>
    </xf>
    <xf numFmtId="164" fontId="1" fillId="0" borderId="55" xfId="0" applyNumberFormat="1" applyFont="1" applyBorder="1" applyAlignment="1">
      <alignment horizontal="center" vertical="top" wrapText="1"/>
    </xf>
    <xf numFmtId="164" fontId="6" fillId="8" borderId="8"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xf>
    <xf numFmtId="3" fontId="1" fillId="0" borderId="0" xfId="0" applyNumberFormat="1" applyFont="1" applyBorder="1" applyAlignment="1">
      <alignment horizontal="center" vertical="top"/>
    </xf>
    <xf numFmtId="49" fontId="1" fillId="0" borderId="0" xfId="0" applyNumberFormat="1" applyFont="1" applyBorder="1" applyAlignment="1">
      <alignment horizontal="center" vertical="top"/>
    </xf>
    <xf numFmtId="3" fontId="1" fillId="0" borderId="0" xfId="0" applyNumberFormat="1" applyFont="1" applyBorder="1" applyAlignment="1">
      <alignment horizontal="left" vertical="top"/>
    </xf>
    <xf numFmtId="49" fontId="1" fillId="0" borderId="0" xfId="0" applyNumberFormat="1" applyFont="1" applyBorder="1" applyAlignment="1">
      <alignment horizontal="left" vertical="top"/>
    </xf>
    <xf numFmtId="3" fontId="6" fillId="0" borderId="0" xfId="0" applyNumberFormat="1" applyFont="1" applyAlignment="1">
      <alignment horizontal="center"/>
    </xf>
    <xf numFmtId="3" fontId="2" fillId="0" borderId="0" xfId="0" applyNumberFormat="1" applyFont="1" applyAlignment="1">
      <alignment horizontal="center"/>
    </xf>
    <xf numFmtId="3" fontId="2" fillId="0" borderId="0" xfId="0" applyNumberFormat="1" applyFont="1" applyAlignment="1">
      <alignment horizontal="left"/>
    </xf>
    <xf numFmtId="3" fontId="1" fillId="0" borderId="27" xfId="0" applyNumberFormat="1" applyFont="1" applyBorder="1" applyAlignment="1">
      <alignment horizontal="center" vertical="top" wrapText="1"/>
    </xf>
    <xf numFmtId="3" fontId="1" fillId="0" borderId="67" xfId="0" applyNumberFormat="1" applyFont="1" applyBorder="1" applyAlignment="1">
      <alignment horizontal="center" vertical="top" wrapText="1"/>
    </xf>
    <xf numFmtId="3" fontId="4" fillId="0" borderId="21" xfId="0" applyNumberFormat="1" applyFont="1" applyFill="1" applyBorder="1" applyAlignment="1">
      <alignment horizontal="center" vertical="center" textRotation="90" wrapText="1"/>
    </xf>
    <xf numFmtId="49" fontId="4" fillId="10" borderId="6" xfId="0" applyNumberFormat="1" applyFont="1" applyFill="1" applyBorder="1" applyAlignment="1">
      <alignment horizontal="center" vertical="top" wrapText="1"/>
    </xf>
    <xf numFmtId="3" fontId="4" fillId="6" borderId="61" xfId="0" applyNumberFormat="1" applyFont="1" applyFill="1" applyBorder="1" applyAlignment="1">
      <alignment horizontal="center" vertical="top"/>
    </xf>
    <xf numFmtId="3" fontId="4" fillId="7" borderId="36" xfId="0" applyNumberFormat="1" applyFont="1" applyFill="1" applyBorder="1" applyAlignment="1">
      <alignment horizontal="center" vertical="top"/>
    </xf>
    <xf numFmtId="3" fontId="4" fillId="7" borderId="4" xfId="0" applyNumberFormat="1" applyFont="1" applyFill="1" applyBorder="1" applyAlignment="1">
      <alignment horizontal="center" vertical="top"/>
    </xf>
    <xf numFmtId="3" fontId="4" fillId="7" borderId="5" xfId="0" applyNumberFormat="1" applyFont="1" applyFill="1" applyBorder="1" applyAlignment="1">
      <alignment horizontal="center" vertical="top"/>
    </xf>
    <xf numFmtId="3" fontId="4" fillId="7" borderId="7" xfId="0" applyNumberFormat="1" applyFont="1" applyFill="1" applyBorder="1" applyAlignment="1">
      <alignment horizontal="center" vertical="top"/>
    </xf>
    <xf numFmtId="3" fontId="4" fillId="7" borderId="35" xfId="0" applyNumberFormat="1" applyFont="1" applyFill="1" applyBorder="1" applyAlignment="1">
      <alignment horizontal="center" vertical="top"/>
    </xf>
    <xf numFmtId="49" fontId="1" fillId="10" borderId="0" xfId="0" applyNumberFormat="1" applyFont="1" applyFill="1" applyBorder="1" applyAlignment="1">
      <alignment horizontal="center" vertical="top" wrapText="1"/>
    </xf>
    <xf numFmtId="3" fontId="4" fillId="6" borderId="30" xfId="0" applyNumberFormat="1" applyFont="1" applyFill="1" applyBorder="1" applyAlignment="1">
      <alignment horizontal="center" vertical="top"/>
    </xf>
    <xf numFmtId="3" fontId="4" fillId="7" borderId="11" xfId="0" applyNumberFormat="1" applyFont="1" applyFill="1" applyBorder="1" applyAlignment="1">
      <alignment horizontal="center" vertical="top"/>
    </xf>
    <xf numFmtId="3" fontId="4" fillId="7" borderId="71" xfId="0" applyNumberFormat="1" applyFont="1" applyFill="1" applyBorder="1" applyAlignment="1">
      <alignment horizontal="center" vertical="top"/>
    </xf>
    <xf numFmtId="3" fontId="4" fillId="7" borderId="12" xfId="0" applyNumberFormat="1" applyFont="1" applyFill="1" applyBorder="1" applyAlignment="1">
      <alignment horizontal="center" vertical="top"/>
    </xf>
    <xf numFmtId="3" fontId="4" fillId="7" borderId="17" xfId="0" applyNumberFormat="1" applyFont="1" applyFill="1" applyBorder="1" applyAlignment="1">
      <alignment horizontal="center" vertical="top"/>
    </xf>
    <xf numFmtId="3" fontId="4" fillId="7" borderId="46" xfId="0" applyNumberFormat="1" applyFont="1" applyFill="1" applyBorder="1" applyAlignment="1">
      <alignment horizontal="center" vertical="top"/>
    </xf>
    <xf numFmtId="3" fontId="4" fillId="7" borderId="18" xfId="0" applyNumberFormat="1" applyFont="1" applyFill="1" applyBorder="1" applyAlignment="1">
      <alignment horizontal="center" vertical="top"/>
    </xf>
    <xf numFmtId="3" fontId="4" fillId="7" borderId="30" xfId="0" applyNumberFormat="1" applyFont="1" applyFill="1" applyBorder="1" applyAlignment="1">
      <alignment horizontal="center" vertical="top"/>
    </xf>
    <xf numFmtId="3" fontId="4" fillId="6" borderId="12" xfId="0" applyNumberFormat="1" applyFont="1" applyFill="1" applyBorder="1" applyAlignment="1">
      <alignment horizontal="center" vertical="top"/>
    </xf>
    <xf numFmtId="3" fontId="4" fillId="7" borderId="41" xfId="0" applyNumberFormat="1" applyFont="1" applyFill="1" applyBorder="1" applyAlignment="1">
      <alignment horizontal="center" vertical="top"/>
    </xf>
    <xf numFmtId="3" fontId="4" fillId="7" borderId="13" xfId="0" applyNumberFormat="1" applyFont="1" applyFill="1" applyBorder="1" applyAlignment="1">
      <alignment horizontal="center" vertical="top"/>
    </xf>
    <xf numFmtId="3" fontId="4" fillId="7" borderId="63" xfId="0" applyNumberFormat="1" applyFont="1" applyFill="1" applyBorder="1" applyAlignment="1">
      <alignment horizontal="center" vertical="top"/>
    </xf>
    <xf numFmtId="3" fontId="4" fillId="7" borderId="14" xfId="0" applyNumberFormat="1" applyFont="1" applyFill="1" applyBorder="1" applyAlignment="1">
      <alignment horizontal="center" vertical="top"/>
    </xf>
    <xf numFmtId="3" fontId="4" fillId="7" borderId="16" xfId="0" applyNumberFormat="1" applyFont="1" applyFill="1" applyBorder="1" applyAlignment="1">
      <alignment horizontal="center" vertical="top"/>
    </xf>
    <xf numFmtId="3" fontId="3" fillId="8" borderId="42" xfId="0" applyNumberFormat="1" applyFont="1" applyFill="1" applyBorder="1" applyAlignment="1">
      <alignment horizontal="center" vertical="top"/>
    </xf>
    <xf numFmtId="3" fontId="3" fillId="8" borderId="45" xfId="0" applyNumberFormat="1" applyFont="1" applyFill="1" applyBorder="1" applyAlignment="1">
      <alignment horizontal="center" vertical="top"/>
    </xf>
    <xf numFmtId="3" fontId="3" fillId="8" borderId="44" xfId="0" applyNumberFormat="1" applyFont="1" applyFill="1" applyBorder="1" applyAlignment="1">
      <alignment horizontal="center" vertical="top"/>
    </xf>
    <xf numFmtId="3" fontId="3" fillId="8" borderId="31" xfId="0" applyNumberFormat="1" applyFont="1" applyFill="1" applyBorder="1" applyAlignment="1">
      <alignment horizontal="center" vertical="top"/>
    </xf>
    <xf numFmtId="3" fontId="3" fillId="8" borderId="43" xfId="0" applyNumberFormat="1" applyFont="1" applyFill="1" applyBorder="1" applyAlignment="1">
      <alignment horizontal="center" vertical="top"/>
    </xf>
    <xf numFmtId="3" fontId="4" fillId="0" borderId="31" xfId="0" applyNumberFormat="1" applyFont="1" applyFill="1" applyBorder="1" applyAlignment="1">
      <alignment horizontal="center" vertical="top" wrapText="1"/>
    </xf>
    <xf numFmtId="3" fontId="4" fillId="6" borderId="11" xfId="0" applyNumberFormat="1" applyFont="1" applyFill="1" applyBorder="1" applyAlignment="1">
      <alignment horizontal="center" vertical="top"/>
    </xf>
    <xf numFmtId="49" fontId="4" fillId="10" borderId="14" xfId="0" applyNumberFormat="1" applyFont="1" applyFill="1" applyBorder="1" applyAlignment="1">
      <alignment horizontal="center" vertical="top" wrapText="1"/>
    </xf>
    <xf numFmtId="3" fontId="4" fillId="6" borderId="54" xfId="0" applyNumberFormat="1" applyFont="1" applyFill="1" applyBorder="1" applyAlignment="1">
      <alignment vertical="top"/>
    </xf>
    <xf numFmtId="3" fontId="4" fillId="0" borderId="71" xfId="0" applyNumberFormat="1" applyFont="1" applyFill="1" applyBorder="1" applyAlignment="1">
      <alignment horizontal="center" vertical="top"/>
    </xf>
    <xf numFmtId="3" fontId="4" fillId="6" borderId="49" xfId="0" applyNumberFormat="1" applyFont="1" applyFill="1" applyBorder="1" applyAlignment="1">
      <alignment horizontal="center" vertical="top"/>
    </xf>
    <xf numFmtId="49" fontId="4" fillId="10" borderId="0" xfId="0" applyNumberFormat="1" applyFont="1" applyFill="1" applyBorder="1" applyAlignment="1">
      <alignment horizontal="center" vertical="top" wrapText="1"/>
    </xf>
    <xf numFmtId="3" fontId="4" fillId="6" borderId="41" xfId="0" applyNumberFormat="1" applyFont="1" applyFill="1" applyBorder="1" applyAlignment="1">
      <alignment horizontal="center" vertical="top"/>
    </xf>
    <xf numFmtId="3" fontId="4" fillId="0" borderId="74" xfId="0" applyNumberFormat="1" applyFont="1" applyFill="1" applyBorder="1" applyAlignment="1">
      <alignment horizontal="center" vertical="top"/>
    </xf>
    <xf numFmtId="3" fontId="4" fillId="0" borderId="11" xfId="0" applyNumberFormat="1" applyFont="1" applyFill="1" applyBorder="1" applyAlignment="1">
      <alignment horizontal="center" vertical="top" wrapText="1"/>
    </xf>
    <xf numFmtId="3" fontId="4" fillId="0" borderId="47" xfId="0" applyNumberFormat="1" applyFont="1" applyFill="1" applyBorder="1" applyAlignment="1">
      <alignment horizontal="center" vertical="top" wrapText="1"/>
    </xf>
    <xf numFmtId="3" fontId="4" fillId="6" borderId="42" xfId="0" applyNumberFormat="1" applyFont="1" applyFill="1" applyBorder="1" applyAlignment="1">
      <alignment horizontal="center" vertical="top"/>
    </xf>
    <xf numFmtId="49" fontId="4" fillId="10" borderId="15" xfId="0" applyNumberFormat="1" applyFont="1" applyFill="1" applyBorder="1" applyAlignment="1">
      <alignment horizontal="center" vertical="top" wrapText="1"/>
    </xf>
    <xf numFmtId="3" fontId="4" fillId="0" borderId="51" xfId="0" applyNumberFormat="1" applyFont="1" applyFill="1" applyBorder="1" applyAlignment="1">
      <alignment horizontal="center" vertical="top"/>
    </xf>
    <xf numFmtId="3" fontId="4" fillId="0" borderId="49" xfId="0" applyNumberFormat="1" applyFont="1" applyFill="1" applyBorder="1" applyAlignment="1">
      <alignment horizontal="center" vertical="top"/>
    </xf>
    <xf numFmtId="3" fontId="4" fillId="6" borderId="53" xfId="0" applyNumberFormat="1" applyFont="1" applyFill="1" applyBorder="1" applyAlignment="1">
      <alignment vertical="top"/>
    </xf>
    <xf numFmtId="49" fontId="4" fillId="10" borderId="72" xfId="0" applyNumberFormat="1" applyFont="1" applyFill="1" applyBorder="1" applyAlignment="1">
      <alignment horizontal="center" vertical="top" wrapText="1"/>
    </xf>
    <xf numFmtId="3" fontId="4" fillId="6" borderId="47" xfId="0" applyNumberFormat="1" applyFont="1" applyFill="1" applyBorder="1" applyAlignment="1">
      <alignment horizontal="center" vertical="top"/>
    </xf>
    <xf numFmtId="3" fontId="3" fillId="6" borderId="17" xfId="0" applyNumberFormat="1" applyFont="1" applyFill="1" applyBorder="1" applyAlignment="1">
      <alignment horizontal="center" vertical="top"/>
    </xf>
    <xf numFmtId="3" fontId="3" fillId="8" borderId="47" xfId="0" applyNumberFormat="1" applyFont="1" applyFill="1" applyBorder="1" applyAlignment="1">
      <alignment horizontal="center" vertical="top"/>
    </xf>
    <xf numFmtId="3" fontId="4" fillId="6" borderId="46" xfId="0" applyNumberFormat="1" applyFont="1" applyFill="1" applyBorder="1" applyAlignment="1">
      <alignment horizontal="center" vertical="top"/>
    </xf>
    <xf numFmtId="49" fontId="4" fillId="10" borderId="75" xfId="0" applyNumberFormat="1" applyFont="1" applyFill="1" applyBorder="1" applyAlignment="1">
      <alignment horizontal="center" vertical="top" wrapText="1"/>
    </xf>
    <xf numFmtId="3" fontId="3" fillId="8" borderId="30" xfId="0" applyNumberFormat="1" applyFont="1" applyFill="1" applyBorder="1" applyAlignment="1">
      <alignment horizontal="center" vertical="top"/>
    </xf>
    <xf numFmtId="3" fontId="3" fillId="8" borderId="12" xfId="0" applyNumberFormat="1" applyFont="1" applyFill="1" applyBorder="1" applyAlignment="1">
      <alignment horizontal="center" vertical="top"/>
    </xf>
    <xf numFmtId="3" fontId="3" fillId="8" borderId="18" xfId="0" applyNumberFormat="1" applyFont="1" applyFill="1" applyBorder="1" applyAlignment="1">
      <alignment horizontal="center" vertical="top"/>
    </xf>
    <xf numFmtId="3" fontId="3" fillId="8" borderId="17" xfId="0" applyNumberFormat="1" applyFont="1" applyFill="1" applyBorder="1" applyAlignment="1">
      <alignment horizontal="center" vertical="top"/>
    </xf>
    <xf numFmtId="3" fontId="3" fillId="8" borderId="11" xfId="0" applyNumberFormat="1" applyFont="1" applyFill="1" applyBorder="1" applyAlignment="1">
      <alignment horizontal="center" vertical="top"/>
    </xf>
    <xf numFmtId="3" fontId="3" fillId="0" borderId="75" xfId="0" applyNumberFormat="1" applyFont="1" applyFill="1" applyBorder="1" applyAlignment="1">
      <alignment horizontal="center" vertical="top"/>
    </xf>
    <xf numFmtId="3" fontId="3" fillId="8" borderId="74" xfId="0" applyNumberFormat="1" applyFont="1" applyFill="1" applyBorder="1" applyAlignment="1">
      <alignment horizontal="center" vertical="top"/>
    </xf>
    <xf numFmtId="3" fontId="3" fillId="8" borderId="72" xfId="0" applyNumberFormat="1" applyFont="1" applyFill="1" applyBorder="1" applyAlignment="1">
      <alignment horizontal="center" vertical="top"/>
    </xf>
    <xf numFmtId="49" fontId="4" fillId="10" borderId="45" xfId="0" applyNumberFormat="1" applyFont="1" applyFill="1" applyBorder="1" applyAlignment="1">
      <alignment horizontal="center" vertical="top"/>
    </xf>
    <xf numFmtId="3" fontId="3" fillId="0" borderId="18" xfId="0" applyNumberFormat="1" applyFont="1" applyFill="1" applyBorder="1" applyAlignment="1">
      <alignment horizontal="center" vertical="top"/>
    </xf>
    <xf numFmtId="49" fontId="4" fillId="10" borderId="53" xfId="0" applyNumberFormat="1" applyFont="1" applyFill="1" applyBorder="1" applyAlignment="1">
      <alignment horizontal="center" vertical="top"/>
    </xf>
    <xf numFmtId="3" fontId="3" fillId="8" borderId="71" xfId="0" applyNumberFormat="1" applyFont="1" applyFill="1" applyBorder="1" applyAlignment="1">
      <alignment horizontal="center" vertical="top"/>
    </xf>
    <xf numFmtId="3" fontId="4" fillId="0" borderId="49" xfId="0" applyNumberFormat="1" applyFont="1" applyFill="1" applyBorder="1" applyAlignment="1">
      <alignment vertical="top" wrapText="1"/>
    </xf>
    <xf numFmtId="49" fontId="4" fillId="10" borderId="0" xfId="0" applyNumberFormat="1" applyFont="1" applyFill="1" applyBorder="1" applyAlignment="1">
      <alignment horizontal="center" vertical="top"/>
    </xf>
    <xf numFmtId="3" fontId="4" fillId="7" borderId="51" xfId="0" applyNumberFormat="1" applyFont="1" applyFill="1" applyBorder="1" applyAlignment="1">
      <alignment horizontal="center" vertical="top" wrapText="1"/>
    </xf>
    <xf numFmtId="3" fontId="4" fillId="7" borderId="49" xfId="0" applyNumberFormat="1" applyFont="1" applyFill="1" applyBorder="1" applyAlignment="1">
      <alignment horizontal="center" vertical="top" wrapText="1"/>
    </xf>
    <xf numFmtId="3" fontId="4" fillId="6" borderId="44" xfId="0" applyNumberFormat="1" applyFont="1" applyFill="1" applyBorder="1" applyAlignment="1">
      <alignment horizontal="center" vertical="top"/>
    </xf>
    <xf numFmtId="3" fontId="4" fillId="0" borderId="16" xfId="0" applyNumberFormat="1" applyFont="1" applyBorder="1" applyAlignment="1">
      <alignment vertical="top" wrapText="1"/>
    </xf>
    <xf numFmtId="3" fontId="4" fillId="0" borderId="58" xfId="0" applyNumberFormat="1" applyFont="1" applyFill="1" applyBorder="1" applyAlignment="1">
      <alignment horizontal="center" vertical="top"/>
    </xf>
    <xf numFmtId="3" fontId="4" fillId="0" borderId="0" xfId="0" applyNumberFormat="1" applyFont="1" applyFill="1" applyBorder="1" applyAlignment="1">
      <alignment horizontal="center" vertical="top"/>
    </xf>
    <xf numFmtId="49" fontId="4" fillId="10" borderId="15" xfId="0" applyNumberFormat="1" applyFont="1" applyFill="1" applyBorder="1" applyAlignment="1">
      <alignment horizontal="center" vertical="top"/>
    </xf>
    <xf numFmtId="3" fontId="4" fillId="10" borderId="56" xfId="0" applyNumberFormat="1" applyFont="1" applyFill="1" applyBorder="1" applyAlignment="1">
      <alignment horizontal="left" vertical="top" wrapText="1"/>
    </xf>
    <xf numFmtId="3" fontId="4" fillId="10" borderId="31" xfId="0" applyNumberFormat="1" applyFont="1" applyFill="1" applyBorder="1" applyAlignment="1">
      <alignment horizontal="center" vertical="top" textRotation="90" wrapText="1"/>
    </xf>
    <xf numFmtId="49" fontId="4" fillId="10" borderId="56" xfId="0" applyNumberFormat="1" applyFont="1" applyFill="1" applyBorder="1" applyAlignment="1">
      <alignment horizontal="center" vertical="top" wrapText="1"/>
    </xf>
    <xf numFmtId="3" fontId="3" fillId="10" borderId="56" xfId="0" applyNumberFormat="1" applyFont="1" applyFill="1" applyBorder="1" applyAlignment="1">
      <alignment horizontal="center" vertical="top"/>
    </xf>
    <xf numFmtId="3" fontId="3" fillId="10" borderId="26" xfId="0" applyNumberFormat="1" applyFont="1" applyFill="1" applyBorder="1" applyAlignment="1">
      <alignment horizontal="center" vertical="top"/>
    </xf>
    <xf numFmtId="3" fontId="3" fillId="10" borderId="58" xfId="0" applyNumberFormat="1" applyFont="1" applyFill="1" applyBorder="1" applyAlignment="1">
      <alignment horizontal="center" vertical="top"/>
    </xf>
    <xf numFmtId="49" fontId="4" fillId="0" borderId="35" xfId="0" applyNumberFormat="1" applyFont="1" applyBorder="1" applyAlignment="1">
      <alignment horizontal="center" vertical="top" wrapText="1"/>
    </xf>
    <xf numFmtId="3" fontId="4" fillId="0" borderId="35" xfId="0" applyNumberFormat="1" applyFont="1" applyFill="1" applyBorder="1" applyAlignment="1">
      <alignment horizontal="center" vertical="top"/>
    </xf>
    <xf numFmtId="3" fontId="3" fillId="0" borderId="5" xfId="0" applyNumberFormat="1" applyFont="1" applyFill="1" applyBorder="1" applyAlignment="1">
      <alignment horizontal="center" vertical="top"/>
    </xf>
    <xf numFmtId="49" fontId="4" fillId="0" borderId="1" xfId="0" applyNumberFormat="1" applyFont="1" applyBorder="1" applyAlignment="1">
      <alignment horizontal="center" vertical="top" wrapText="1"/>
    </xf>
    <xf numFmtId="3" fontId="3" fillId="8" borderId="55" xfId="0" applyNumberFormat="1" applyFont="1" applyFill="1" applyBorder="1" applyAlignment="1">
      <alignment horizontal="center" vertical="top"/>
    </xf>
    <xf numFmtId="3" fontId="3" fillId="8" borderId="26" xfId="0" applyNumberFormat="1" applyFont="1" applyFill="1" applyBorder="1" applyAlignment="1">
      <alignment horizontal="center" vertical="top"/>
    </xf>
    <xf numFmtId="3" fontId="3" fillId="8" borderId="20" xfId="0" applyNumberFormat="1" applyFont="1" applyFill="1" applyBorder="1" applyAlignment="1">
      <alignment horizontal="center" vertical="top"/>
    </xf>
    <xf numFmtId="3" fontId="3" fillId="8" borderId="56" xfId="0" applyNumberFormat="1" applyFont="1" applyFill="1" applyBorder="1" applyAlignment="1">
      <alignment horizontal="center" vertical="top"/>
    </xf>
    <xf numFmtId="3" fontId="3" fillId="8" borderId="21" xfId="0" applyNumberFormat="1" applyFont="1" applyFill="1" applyBorder="1" applyAlignment="1">
      <alignment horizontal="center" vertical="top"/>
    </xf>
    <xf numFmtId="3" fontId="1" fillId="6" borderId="27" xfId="0" applyNumberFormat="1" applyFont="1" applyFill="1" applyBorder="1" applyAlignment="1">
      <alignment horizontal="center" vertical="top"/>
    </xf>
    <xf numFmtId="3" fontId="1" fillId="6" borderId="67" xfId="0" applyNumberFormat="1" applyFont="1" applyFill="1" applyBorder="1" applyAlignment="1">
      <alignment horizontal="center" vertical="top"/>
    </xf>
    <xf numFmtId="3" fontId="1" fillId="0" borderId="28"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49" fontId="4" fillId="0" borderId="35" xfId="0" applyNumberFormat="1" applyFont="1" applyBorder="1" applyAlignment="1">
      <alignment horizontal="center" vertical="top"/>
    </xf>
    <xf numFmtId="3" fontId="1" fillId="0" borderId="49" xfId="0" applyNumberFormat="1" applyFont="1" applyFill="1" applyBorder="1" applyAlignment="1">
      <alignment horizontal="center" vertical="top"/>
    </xf>
    <xf numFmtId="3" fontId="1" fillId="0" borderId="3" xfId="0" applyNumberFormat="1" applyFont="1" applyFill="1" applyBorder="1" applyAlignment="1">
      <alignment horizontal="center" vertical="top"/>
    </xf>
    <xf numFmtId="3" fontId="1" fillId="0" borderId="73" xfId="0" applyNumberFormat="1" applyFont="1" applyFill="1" applyBorder="1" applyAlignment="1">
      <alignment horizontal="center" vertical="top"/>
    </xf>
    <xf numFmtId="3" fontId="1" fillId="0" borderId="38" xfId="0" applyNumberFormat="1" applyFont="1" applyFill="1" applyBorder="1" applyAlignment="1">
      <alignment horizontal="center" vertical="top"/>
    </xf>
    <xf numFmtId="3" fontId="6" fillId="8" borderId="55" xfId="0" applyNumberFormat="1" applyFont="1" applyFill="1" applyBorder="1" applyAlignment="1">
      <alignment horizontal="center" vertical="top"/>
    </xf>
    <xf numFmtId="3" fontId="6" fillId="8" borderId="26" xfId="0" applyNumberFormat="1" applyFont="1" applyFill="1" applyBorder="1" applyAlignment="1">
      <alignment horizontal="center" vertical="top"/>
    </xf>
    <xf numFmtId="3" fontId="3" fillId="8" borderId="68" xfId="0" applyNumberFormat="1" applyFont="1" applyFill="1" applyBorder="1" applyAlignment="1">
      <alignment horizontal="center" vertical="top"/>
    </xf>
    <xf numFmtId="49" fontId="4" fillId="0" borderId="6" xfId="0" applyNumberFormat="1" applyFont="1" applyBorder="1" applyAlignment="1">
      <alignment horizontal="center" vertical="top"/>
    </xf>
    <xf numFmtId="3" fontId="4" fillId="6" borderId="27" xfId="0" applyNumberFormat="1" applyFont="1" applyFill="1" applyBorder="1" applyAlignment="1">
      <alignment horizontal="center" vertical="top"/>
    </xf>
    <xf numFmtId="3" fontId="4" fillId="6" borderId="67" xfId="0" applyNumberFormat="1" applyFont="1" applyFill="1" applyBorder="1" applyAlignment="1">
      <alignment horizontal="center" vertical="top"/>
    </xf>
    <xf numFmtId="3" fontId="4" fillId="0" borderId="76"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49" fontId="4" fillId="0" borderId="24" xfId="0" applyNumberFormat="1" applyFont="1" applyBorder="1" applyAlignment="1">
      <alignment horizontal="center" vertical="top"/>
    </xf>
    <xf numFmtId="3" fontId="3" fillId="8" borderId="57" xfId="0" applyNumberFormat="1" applyFont="1" applyFill="1" applyBorder="1" applyAlignment="1">
      <alignment horizontal="center" vertical="top"/>
    </xf>
    <xf numFmtId="3" fontId="3" fillId="5" borderId="8" xfId="0" applyNumberFormat="1" applyFont="1" applyFill="1" applyBorder="1" applyAlignment="1">
      <alignment horizontal="center" vertical="top"/>
    </xf>
    <xf numFmtId="3" fontId="3" fillId="5" borderId="77" xfId="0" applyNumberFormat="1" applyFont="1" applyFill="1" applyBorder="1" applyAlignment="1">
      <alignment horizontal="center" vertical="top"/>
    </xf>
    <xf numFmtId="3" fontId="3" fillId="5" borderId="33" xfId="0" applyNumberFormat="1" applyFont="1" applyFill="1" applyBorder="1" applyAlignment="1">
      <alignment horizontal="center" vertical="top"/>
    </xf>
    <xf numFmtId="49" fontId="1" fillId="9" borderId="5" xfId="0" applyNumberFormat="1" applyFont="1" applyFill="1" applyBorder="1" applyAlignment="1">
      <alignment horizontal="center" vertical="top"/>
    </xf>
    <xf numFmtId="3" fontId="3" fillId="7" borderId="6" xfId="0" applyNumberFormat="1" applyFont="1" applyFill="1" applyBorder="1" applyAlignment="1">
      <alignment horizontal="center" vertical="top"/>
    </xf>
    <xf numFmtId="3" fontId="3" fillId="6" borderId="37" xfId="0" applyNumberFormat="1" applyFont="1" applyFill="1" applyBorder="1" applyAlignment="1">
      <alignment horizontal="center" vertical="top"/>
    </xf>
    <xf numFmtId="3" fontId="3" fillId="6" borderId="5" xfId="0" applyNumberFormat="1" applyFont="1" applyFill="1" applyBorder="1" applyAlignment="1">
      <alignment horizontal="center" vertical="top"/>
    </xf>
    <xf numFmtId="3" fontId="3" fillId="7" borderId="36" xfId="0" applyNumberFormat="1" applyFont="1" applyFill="1" applyBorder="1" applyAlignment="1">
      <alignment horizontal="center" vertical="top"/>
    </xf>
    <xf numFmtId="3" fontId="3" fillId="7" borderId="69" xfId="0" applyNumberFormat="1" applyFont="1" applyFill="1" applyBorder="1" applyAlignment="1">
      <alignment horizontal="center" vertical="top"/>
    </xf>
    <xf numFmtId="3" fontId="4" fillId="7" borderId="37" xfId="0" applyNumberFormat="1" applyFont="1" applyFill="1" applyBorder="1" applyAlignment="1">
      <alignment horizontal="center" vertical="top" wrapText="1"/>
    </xf>
    <xf numFmtId="3" fontId="4" fillId="7" borderId="4" xfId="0" applyNumberFormat="1" applyFont="1" applyFill="1" applyBorder="1" applyAlignment="1">
      <alignment horizontal="center" vertical="top" wrapText="1"/>
    </xf>
    <xf numFmtId="3" fontId="4" fillId="7" borderId="61" xfId="0" applyNumberFormat="1" applyFont="1" applyFill="1" applyBorder="1" applyAlignment="1">
      <alignment vertical="top" wrapText="1"/>
    </xf>
    <xf numFmtId="3" fontId="4" fillId="0" borderId="66" xfId="0" applyNumberFormat="1" applyFont="1" applyFill="1" applyBorder="1" applyAlignment="1">
      <alignment horizontal="center" vertical="top"/>
    </xf>
    <xf numFmtId="3" fontId="4" fillId="6" borderId="75" xfId="0" applyNumberFormat="1" applyFont="1" applyFill="1" applyBorder="1" applyAlignment="1">
      <alignment horizontal="center" vertical="top"/>
    </xf>
    <xf numFmtId="3" fontId="4" fillId="7" borderId="49" xfId="0" applyNumberFormat="1" applyFont="1" applyFill="1" applyBorder="1" applyAlignment="1">
      <alignment horizontal="center" vertical="top"/>
    </xf>
    <xf numFmtId="3" fontId="4" fillId="7" borderId="50" xfId="0" applyNumberFormat="1" applyFont="1" applyFill="1" applyBorder="1" applyAlignment="1">
      <alignment horizontal="center" vertical="top"/>
    </xf>
    <xf numFmtId="3" fontId="4" fillId="6" borderId="0" xfId="0" applyNumberFormat="1" applyFont="1" applyFill="1" applyBorder="1" applyAlignment="1">
      <alignment vertical="top"/>
    </xf>
    <xf numFmtId="3" fontId="4" fillId="6" borderId="14" xfId="0" applyNumberFormat="1" applyFont="1" applyFill="1" applyBorder="1" applyAlignment="1">
      <alignment horizontal="center" vertical="top"/>
    </xf>
    <xf numFmtId="3" fontId="4" fillId="0" borderId="18" xfId="0" applyNumberFormat="1" applyFont="1" applyFill="1" applyBorder="1" applyAlignment="1">
      <alignment horizontal="center" vertical="top"/>
    </xf>
    <xf numFmtId="3" fontId="4" fillId="6" borderId="17" xfId="0" applyNumberFormat="1" applyFont="1" applyFill="1" applyBorder="1" applyAlignment="1">
      <alignment horizontal="center" vertical="top"/>
    </xf>
    <xf numFmtId="49" fontId="6" fillId="0" borderId="13" xfId="0" applyNumberFormat="1" applyFont="1" applyBorder="1" applyAlignment="1">
      <alignment horizontal="center" vertical="top"/>
    </xf>
    <xf numFmtId="3" fontId="1" fillId="6" borderId="16" xfId="0" applyNumberFormat="1" applyFont="1" applyFill="1" applyBorder="1" applyAlignment="1">
      <alignment vertical="top" wrapText="1"/>
    </xf>
    <xf numFmtId="3" fontId="6" fillId="0" borderId="0" xfId="0" applyNumberFormat="1" applyFont="1" applyFill="1" applyBorder="1" applyAlignment="1">
      <alignment horizontal="center" vertical="top" textRotation="180" wrapText="1"/>
    </xf>
    <xf numFmtId="3" fontId="6" fillId="0" borderId="0" xfId="0" applyNumberFormat="1" applyFont="1" applyBorder="1" applyAlignment="1">
      <alignment horizontal="center" vertical="top"/>
    </xf>
    <xf numFmtId="3" fontId="4" fillId="7" borderId="66" xfId="0" applyNumberFormat="1" applyFont="1" applyFill="1" applyBorder="1" applyAlignment="1">
      <alignment horizontal="center" vertical="top" wrapText="1"/>
    </xf>
    <xf numFmtId="3" fontId="4" fillId="0" borderId="44" xfId="0" applyNumberFormat="1" applyFont="1" applyBorder="1" applyAlignment="1">
      <alignment vertical="top"/>
    </xf>
    <xf numFmtId="3" fontId="4" fillId="0" borderId="62" xfId="0" applyNumberFormat="1" applyFont="1" applyFill="1" applyBorder="1" applyAlignment="1">
      <alignment vertical="top" wrapText="1"/>
    </xf>
    <xf numFmtId="49" fontId="4" fillId="9" borderId="72" xfId="0" applyNumberFormat="1" applyFont="1" applyFill="1" applyBorder="1" applyAlignment="1">
      <alignment horizontal="center" vertical="top"/>
    </xf>
    <xf numFmtId="3" fontId="4" fillId="6" borderId="40" xfId="0" applyNumberFormat="1" applyFont="1" applyFill="1" applyBorder="1" applyAlignment="1">
      <alignment vertical="top" wrapText="1"/>
    </xf>
    <xf numFmtId="3" fontId="4" fillId="0" borderId="16" xfId="0" applyNumberFormat="1" applyFont="1" applyBorder="1" applyAlignment="1">
      <alignment vertical="center" textRotation="90" wrapText="1"/>
    </xf>
    <xf numFmtId="3" fontId="4" fillId="0" borderId="28" xfId="0" applyNumberFormat="1" applyFont="1" applyFill="1" applyBorder="1" applyAlignment="1">
      <alignment horizontal="center" vertical="top" wrapText="1"/>
    </xf>
    <xf numFmtId="3" fontId="4" fillId="0" borderId="52" xfId="0" applyNumberFormat="1" applyFont="1" applyBorder="1" applyAlignment="1">
      <alignment horizontal="center" vertical="top"/>
    </xf>
    <xf numFmtId="3" fontId="4" fillId="7" borderId="53" xfId="0" applyNumberFormat="1" applyFont="1" applyFill="1" applyBorder="1" applyAlignment="1">
      <alignment horizontal="center" vertical="top"/>
    </xf>
    <xf numFmtId="3" fontId="4" fillId="7" borderId="18" xfId="0" applyNumberFormat="1" applyFont="1" applyFill="1" applyBorder="1" applyAlignment="1">
      <alignment horizontal="center" vertical="top" wrapText="1"/>
    </xf>
    <xf numFmtId="3" fontId="4" fillId="0" borderId="46" xfId="0" applyNumberFormat="1" applyFont="1" applyFill="1" applyBorder="1" applyAlignment="1">
      <alignment horizontal="center" vertical="top" wrapText="1"/>
    </xf>
    <xf numFmtId="3" fontId="4" fillId="0" borderId="46" xfId="0" applyNumberFormat="1" applyFont="1" applyBorder="1" applyAlignment="1">
      <alignment horizontal="left" vertical="top" wrapText="1"/>
    </xf>
    <xf numFmtId="3" fontId="4" fillId="6" borderId="43" xfId="0" applyNumberFormat="1" applyFont="1" applyFill="1" applyBorder="1" applyAlignment="1">
      <alignment horizontal="center" vertical="top"/>
    </xf>
    <xf numFmtId="3" fontId="4" fillId="7" borderId="47" xfId="0" applyNumberFormat="1" applyFont="1" applyFill="1" applyBorder="1" applyAlignment="1">
      <alignment horizontal="center" vertical="top"/>
    </xf>
    <xf numFmtId="3" fontId="4" fillId="0" borderId="18" xfId="0" applyNumberFormat="1" applyFont="1" applyFill="1" applyBorder="1" applyAlignment="1">
      <alignment horizontal="center" vertical="top" wrapText="1"/>
    </xf>
    <xf numFmtId="49" fontId="4" fillId="0" borderId="45" xfId="0" applyNumberFormat="1" applyFont="1" applyFill="1" applyBorder="1" applyAlignment="1">
      <alignment horizontal="center" vertical="top"/>
    </xf>
    <xf numFmtId="3" fontId="3" fillId="8" borderId="57" xfId="0" applyNumberFormat="1" applyFont="1" applyFill="1" applyBorder="1" applyAlignment="1">
      <alignment horizontal="center" vertical="top" wrapText="1"/>
    </xf>
    <xf numFmtId="49" fontId="4" fillId="9" borderId="0" xfId="0" applyNumberFormat="1" applyFont="1" applyFill="1" applyBorder="1" applyAlignment="1">
      <alignment horizontal="center" vertical="top"/>
    </xf>
    <xf numFmtId="3" fontId="1" fillId="6" borderId="41" xfId="0" applyNumberFormat="1" applyFont="1" applyFill="1" applyBorder="1" applyAlignment="1">
      <alignment horizontal="center" vertical="top"/>
    </xf>
    <xf numFmtId="3" fontId="1" fillId="6" borderId="13" xfId="0" applyNumberFormat="1" applyFont="1" applyFill="1" applyBorder="1" applyAlignment="1">
      <alignment horizontal="center" vertical="top"/>
    </xf>
    <xf numFmtId="49" fontId="4" fillId="0" borderId="11" xfId="0" applyNumberFormat="1" applyFont="1" applyFill="1" applyBorder="1" applyAlignment="1">
      <alignment horizontal="center" vertical="top"/>
    </xf>
    <xf numFmtId="49" fontId="4" fillId="0" borderId="12" xfId="0" applyNumberFormat="1" applyFont="1" applyFill="1" applyBorder="1" applyAlignment="1">
      <alignment horizontal="center" vertical="top"/>
    </xf>
    <xf numFmtId="49" fontId="4" fillId="0" borderId="47" xfId="0" applyNumberFormat="1" applyFont="1" applyFill="1" applyBorder="1" applyAlignment="1">
      <alignment horizontal="center" vertical="top"/>
    </xf>
    <xf numFmtId="3" fontId="1" fillId="6" borderId="11" xfId="0" applyNumberFormat="1" applyFont="1" applyFill="1" applyBorder="1" applyAlignment="1">
      <alignment horizontal="center" vertical="top"/>
    </xf>
    <xf numFmtId="3" fontId="1" fillId="6" borderId="12" xfId="0" applyNumberFormat="1" applyFont="1" applyFill="1" applyBorder="1" applyAlignment="1">
      <alignment horizontal="center" vertical="top"/>
    </xf>
    <xf numFmtId="3" fontId="4" fillId="7" borderId="30" xfId="0" applyNumberFormat="1" applyFont="1" applyFill="1" applyBorder="1" applyAlignment="1">
      <alignment horizontal="center" vertical="top" wrapText="1"/>
    </xf>
    <xf numFmtId="0" fontId="4" fillId="6" borderId="11" xfId="0" applyFont="1" applyFill="1" applyBorder="1" applyAlignment="1">
      <alignment horizontal="left" vertical="top" wrapText="1"/>
    </xf>
    <xf numFmtId="1" fontId="4" fillId="0" borderId="11" xfId="0" applyNumberFormat="1" applyFont="1" applyFill="1" applyBorder="1" applyAlignment="1">
      <alignment horizontal="center" vertical="top"/>
    </xf>
    <xf numFmtId="3" fontId="1" fillId="6" borderId="30" xfId="0" applyNumberFormat="1" applyFont="1" applyFill="1" applyBorder="1" applyAlignment="1">
      <alignment horizontal="center" vertical="top"/>
    </xf>
    <xf numFmtId="3" fontId="1" fillId="6" borderId="71" xfId="0" applyNumberFormat="1" applyFont="1" applyFill="1" applyBorder="1" applyAlignment="1">
      <alignment horizontal="center" vertical="top"/>
    </xf>
    <xf numFmtId="1" fontId="4" fillId="0" borderId="39" xfId="0" applyNumberFormat="1" applyFont="1" applyFill="1" applyBorder="1" applyAlignment="1">
      <alignment horizontal="center" vertical="top"/>
    </xf>
    <xf numFmtId="1" fontId="4" fillId="0" borderId="43" xfId="0" applyNumberFormat="1" applyFont="1" applyFill="1" applyBorder="1" applyAlignment="1">
      <alignment horizontal="center" vertical="top"/>
    </xf>
    <xf numFmtId="3" fontId="3" fillId="8" borderId="24" xfId="0" applyNumberFormat="1" applyFont="1" applyFill="1" applyBorder="1" applyAlignment="1">
      <alignment horizontal="center" vertical="top" wrapText="1"/>
    </xf>
    <xf numFmtId="3" fontId="3" fillId="8" borderId="62" xfId="0" applyNumberFormat="1" applyFont="1" applyFill="1" applyBorder="1" applyAlignment="1">
      <alignment horizontal="center" vertical="top"/>
    </xf>
    <xf numFmtId="3" fontId="3" fillId="8" borderId="24" xfId="0" applyNumberFormat="1" applyFont="1" applyFill="1" applyBorder="1" applyAlignment="1">
      <alignment horizontal="center" vertical="top"/>
    </xf>
    <xf numFmtId="3" fontId="4" fillId="0" borderId="78" xfId="0" applyNumberFormat="1" applyFont="1" applyFill="1" applyBorder="1" applyAlignment="1">
      <alignment horizontal="center" vertical="top"/>
    </xf>
    <xf numFmtId="3" fontId="4" fillId="0" borderId="27" xfId="0" applyNumberFormat="1" applyFont="1" applyFill="1" applyBorder="1" applyAlignment="1">
      <alignment vertical="top" wrapText="1"/>
    </xf>
    <xf numFmtId="3" fontId="4" fillId="0" borderId="75" xfId="0" applyNumberFormat="1" applyFont="1" applyFill="1" applyBorder="1" applyAlignment="1">
      <alignment horizontal="center" vertical="top"/>
    </xf>
    <xf numFmtId="1" fontId="4" fillId="0" borderId="52" xfId="0" applyNumberFormat="1" applyFont="1" applyFill="1" applyBorder="1" applyAlignment="1">
      <alignment horizontal="center" vertical="top"/>
    </xf>
    <xf numFmtId="3" fontId="4" fillId="0" borderId="14" xfId="0" applyNumberFormat="1" applyFont="1" applyFill="1" applyBorder="1" applyAlignment="1">
      <alignment horizontal="center" vertical="top"/>
    </xf>
    <xf numFmtId="3" fontId="4" fillId="0" borderId="17" xfId="0" applyNumberFormat="1" applyFont="1" applyFill="1" applyBorder="1" applyAlignment="1">
      <alignment horizontal="center" vertical="top"/>
    </xf>
    <xf numFmtId="3" fontId="4" fillId="0" borderId="31" xfId="0" applyNumberFormat="1" applyFont="1" applyFill="1" applyBorder="1" applyAlignment="1">
      <alignment horizontal="center" vertical="top"/>
    </xf>
    <xf numFmtId="3" fontId="4" fillId="6" borderId="72" xfId="0" applyNumberFormat="1" applyFont="1" applyFill="1" applyBorder="1" applyAlignment="1">
      <alignment horizontal="center" vertical="top"/>
    </xf>
    <xf numFmtId="49" fontId="4" fillId="9" borderId="51" xfId="0" applyNumberFormat="1" applyFont="1" applyFill="1" applyBorder="1" applyAlignment="1">
      <alignment horizontal="center" vertical="top"/>
    </xf>
    <xf numFmtId="3" fontId="3" fillId="8" borderId="79" xfId="0" applyNumberFormat="1" applyFont="1" applyFill="1" applyBorder="1" applyAlignment="1">
      <alignment horizontal="center" vertical="top"/>
    </xf>
    <xf numFmtId="3" fontId="4" fillId="0" borderId="5" xfId="0" applyNumberFormat="1" applyFont="1" applyFill="1" applyBorder="1" applyAlignment="1">
      <alignment horizontal="center" vertical="top"/>
    </xf>
    <xf numFmtId="3" fontId="4" fillId="0" borderId="3" xfId="0" applyNumberFormat="1" applyFont="1" applyFill="1" applyBorder="1" applyAlignment="1">
      <alignment horizontal="center" vertical="top" wrapText="1"/>
    </xf>
    <xf numFmtId="9" fontId="4" fillId="0" borderId="53" xfId="0" applyNumberFormat="1" applyFont="1" applyFill="1" applyBorder="1" applyAlignment="1">
      <alignment horizontal="center" vertical="top"/>
    </xf>
    <xf numFmtId="1" fontId="4" fillId="0" borderId="50" xfId="0" applyNumberFormat="1" applyFont="1" applyFill="1" applyBorder="1" applyAlignment="1">
      <alignment horizontal="center" vertical="top"/>
    </xf>
    <xf numFmtId="1" fontId="4" fillId="0" borderId="53" xfId="0" applyNumberFormat="1" applyFont="1" applyFill="1" applyBorder="1" applyAlignment="1">
      <alignment horizontal="center" vertical="top"/>
    </xf>
    <xf numFmtId="1" fontId="4" fillId="0" borderId="75" xfId="0" applyNumberFormat="1" applyFont="1" applyFill="1" applyBorder="1" applyAlignment="1">
      <alignment horizontal="center" vertical="top"/>
    </xf>
    <xf numFmtId="3" fontId="4" fillId="0" borderId="23" xfId="0" applyNumberFormat="1" applyFont="1" applyFill="1" applyBorder="1" applyAlignment="1">
      <alignment horizontal="center" vertical="top"/>
    </xf>
    <xf numFmtId="3" fontId="4" fillId="7" borderId="54" xfId="0" applyNumberFormat="1" applyFont="1" applyFill="1" applyBorder="1" applyAlignment="1">
      <alignment horizontal="center" vertical="top"/>
    </xf>
    <xf numFmtId="3" fontId="3" fillId="8" borderId="19" xfId="0" applyNumberFormat="1" applyFont="1" applyFill="1" applyBorder="1" applyAlignment="1">
      <alignment horizontal="center" vertical="top"/>
    </xf>
    <xf numFmtId="3" fontId="4" fillId="0" borderId="50" xfId="0" applyNumberFormat="1" applyFont="1" applyFill="1" applyBorder="1" applyAlignment="1">
      <alignment vertical="top"/>
    </xf>
    <xf numFmtId="3" fontId="4" fillId="0" borderId="53" xfId="0" applyNumberFormat="1" applyFont="1" applyFill="1" applyBorder="1" applyAlignment="1">
      <alignment vertical="top"/>
    </xf>
    <xf numFmtId="3" fontId="4" fillId="0" borderId="73" xfId="0" applyNumberFormat="1" applyFont="1" applyBorder="1" applyAlignment="1">
      <alignment horizontal="center" vertical="top"/>
    </xf>
    <xf numFmtId="3" fontId="4" fillId="0" borderId="53" xfId="0" applyNumberFormat="1" applyFont="1" applyBorder="1" applyAlignment="1">
      <alignment horizontal="center" vertical="top"/>
    </xf>
    <xf numFmtId="3" fontId="4" fillId="0" borderId="51" xfId="0" applyNumberFormat="1" applyFont="1" applyBorder="1" applyAlignment="1">
      <alignment horizontal="center" vertical="top"/>
    </xf>
    <xf numFmtId="3" fontId="4" fillId="0" borderId="49" xfId="0" applyNumberFormat="1" applyFont="1" applyBorder="1" applyAlignment="1">
      <alignment vertical="top"/>
    </xf>
    <xf numFmtId="3" fontId="4" fillId="0" borderId="50" xfId="0" applyNumberFormat="1" applyFont="1" applyBorder="1" applyAlignment="1">
      <alignment vertical="top"/>
    </xf>
    <xf numFmtId="3" fontId="4" fillId="0" borderId="66" xfId="0" applyNumberFormat="1" applyFont="1" applyBorder="1" applyAlignment="1">
      <alignment vertical="top"/>
    </xf>
    <xf numFmtId="49" fontId="4" fillId="0" borderId="43" xfId="0" applyNumberFormat="1" applyFont="1" applyFill="1" applyBorder="1" applyAlignment="1">
      <alignment horizontal="center" vertical="top"/>
    </xf>
    <xf numFmtId="3" fontId="4" fillId="6" borderId="18" xfId="0" applyNumberFormat="1" applyFont="1" applyFill="1" applyBorder="1" applyAlignment="1">
      <alignment horizontal="center" vertical="top"/>
    </xf>
    <xf numFmtId="3" fontId="3" fillId="8" borderId="32" xfId="0" applyNumberFormat="1" applyFont="1" applyFill="1" applyBorder="1" applyAlignment="1">
      <alignment horizontal="center" vertical="top"/>
    </xf>
    <xf numFmtId="49" fontId="3" fillId="0" borderId="13" xfId="0" applyNumberFormat="1" applyFont="1" applyFill="1" applyBorder="1" applyAlignment="1">
      <alignment horizontal="center" vertical="top"/>
    </xf>
    <xf numFmtId="3" fontId="4" fillId="7" borderId="27" xfId="0" applyNumberFormat="1" applyFont="1" applyFill="1" applyBorder="1" applyAlignment="1">
      <alignment horizontal="center" vertical="top" wrapText="1"/>
    </xf>
    <xf numFmtId="3" fontId="4" fillId="6" borderId="50" xfId="0" applyNumberFormat="1" applyFont="1" applyFill="1" applyBorder="1" applyAlignment="1">
      <alignment horizontal="center" vertical="top"/>
    </xf>
    <xf numFmtId="3" fontId="4" fillId="6" borderId="31" xfId="0" applyNumberFormat="1" applyFont="1" applyFill="1" applyBorder="1" applyAlignment="1">
      <alignment horizontal="center" vertical="top"/>
    </xf>
    <xf numFmtId="3" fontId="1" fillId="6" borderId="44" xfId="0" applyNumberFormat="1" applyFont="1" applyFill="1" applyBorder="1" applyAlignment="1">
      <alignment horizontal="center" vertical="top"/>
    </xf>
    <xf numFmtId="3" fontId="1" fillId="6" borderId="45" xfId="0" applyNumberFormat="1" applyFont="1" applyFill="1" applyBorder="1" applyAlignment="1">
      <alignment horizontal="center" vertical="top"/>
    </xf>
    <xf numFmtId="3" fontId="3" fillId="9" borderId="23" xfId="0" applyNumberFormat="1" applyFont="1" applyFill="1" applyBorder="1" applyAlignment="1">
      <alignment vertical="top"/>
    </xf>
    <xf numFmtId="3" fontId="3" fillId="9" borderId="56" xfId="0" applyNumberFormat="1" applyFont="1" applyFill="1" applyBorder="1" applyAlignment="1">
      <alignment vertical="top"/>
    </xf>
    <xf numFmtId="3" fontId="3" fillId="9" borderId="55" xfId="0" applyNumberFormat="1" applyFont="1" applyFill="1" applyBorder="1" applyAlignment="1">
      <alignment horizontal="center" vertical="top"/>
    </xf>
    <xf numFmtId="3" fontId="3" fillId="9" borderId="79" xfId="0" applyNumberFormat="1" applyFont="1" applyFill="1" applyBorder="1" applyAlignment="1">
      <alignment horizontal="center" vertical="top"/>
    </xf>
    <xf numFmtId="49" fontId="1" fillId="7" borderId="35" xfId="0" applyNumberFormat="1" applyFont="1" applyFill="1" applyBorder="1" applyAlignment="1">
      <alignment horizontal="center" vertical="top"/>
    </xf>
    <xf numFmtId="3" fontId="1" fillId="6" borderId="37" xfId="0" applyNumberFormat="1" applyFont="1" applyFill="1" applyBorder="1" applyAlignment="1">
      <alignment horizontal="center" vertical="top"/>
    </xf>
    <xf numFmtId="3" fontId="1" fillId="6" borderId="61" xfId="0" applyNumberFormat="1" applyFont="1" applyFill="1" applyBorder="1" applyAlignment="1">
      <alignment horizontal="center" vertical="top"/>
    </xf>
    <xf numFmtId="3" fontId="1" fillId="7" borderId="37" xfId="0" applyNumberFormat="1" applyFont="1" applyFill="1" applyBorder="1" applyAlignment="1">
      <alignment horizontal="center" vertical="top"/>
    </xf>
    <xf numFmtId="3" fontId="1" fillId="7" borderId="3" xfId="0" applyNumberFormat="1" applyFont="1" applyFill="1" applyBorder="1" applyAlignment="1">
      <alignment horizontal="center" vertical="top"/>
    </xf>
    <xf numFmtId="3" fontId="1" fillId="7" borderId="4" xfId="0" applyNumberFormat="1" applyFont="1" applyFill="1" applyBorder="1" applyAlignment="1">
      <alignment horizontal="center" vertical="top"/>
    </xf>
    <xf numFmtId="3" fontId="1" fillId="7" borderId="61" xfId="0" applyNumberFormat="1" applyFont="1" applyFill="1" applyBorder="1" applyAlignment="1">
      <alignment horizontal="center" vertical="top"/>
    </xf>
    <xf numFmtId="49" fontId="1" fillId="7" borderId="1" xfId="0" applyNumberFormat="1" applyFont="1" applyFill="1" applyBorder="1" applyAlignment="1">
      <alignment horizontal="center" vertical="top"/>
    </xf>
    <xf numFmtId="3" fontId="6" fillId="8" borderId="21" xfId="0" applyNumberFormat="1" applyFont="1" applyFill="1" applyBorder="1" applyAlignment="1">
      <alignment horizontal="center" vertical="top"/>
    </xf>
    <xf numFmtId="3" fontId="6" fillId="8" borderId="56" xfId="0" applyNumberFormat="1" applyFont="1" applyFill="1" applyBorder="1" applyAlignment="1">
      <alignment horizontal="center" vertical="top"/>
    </xf>
    <xf numFmtId="3" fontId="6" fillId="8" borderId="68" xfId="0" applyNumberFormat="1" applyFont="1" applyFill="1" applyBorder="1" applyAlignment="1">
      <alignment horizontal="center" vertical="top"/>
    </xf>
    <xf numFmtId="49" fontId="4" fillId="7" borderId="35" xfId="0" applyNumberFormat="1" applyFont="1" applyFill="1" applyBorder="1" applyAlignment="1">
      <alignment horizontal="center" vertical="top" wrapText="1"/>
    </xf>
    <xf numFmtId="49" fontId="4" fillId="7" borderId="47" xfId="0" applyNumberFormat="1" applyFont="1" applyFill="1" applyBorder="1" applyAlignment="1">
      <alignment horizontal="center" vertical="top" wrapText="1"/>
    </xf>
    <xf numFmtId="3" fontId="3" fillId="0" borderId="15" xfId="0" applyNumberFormat="1" applyFont="1" applyBorder="1" applyAlignment="1">
      <alignment horizontal="center" vertical="top" wrapText="1"/>
    </xf>
    <xf numFmtId="3" fontId="4" fillId="0" borderId="46" xfId="0" applyNumberFormat="1" applyFont="1" applyBorder="1" applyAlignment="1">
      <alignment horizontal="center" vertical="top" wrapText="1"/>
    </xf>
    <xf numFmtId="3" fontId="4" fillId="6" borderId="18" xfId="0" applyNumberFormat="1" applyFont="1" applyFill="1" applyBorder="1" applyAlignment="1">
      <alignment horizontal="center" vertical="top" wrapText="1"/>
    </xf>
    <xf numFmtId="3" fontId="4" fillId="7" borderId="12" xfId="0" applyNumberFormat="1" applyFont="1" applyFill="1" applyBorder="1" applyAlignment="1">
      <alignment horizontal="center" vertical="top" wrapText="1"/>
    </xf>
    <xf numFmtId="49" fontId="4" fillId="7" borderId="51" xfId="0" applyNumberFormat="1" applyFont="1" applyFill="1" applyBorder="1" applyAlignment="1">
      <alignment horizontal="center" vertical="top" wrapText="1"/>
    </xf>
    <xf numFmtId="3" fontId="4" fillId="6" borderId="51" xfId="0" applyNumberFormat="1" applyFont="1" applyFill="1" applyBorder="1" applyAlignment="1">
      <alignment horizontal="center" vertical="top" wrapText="1"/>
    </xf>
    <xf numFmtId="3" fontId="4" fillId="7" borderId="50" xfId="0" applyNumberFormat="1" applyFont="1" applyFill="1" applyBorder="1" applyAlignment="1">
      <alignment horizontal="center" vertical="top" wrapText="1"/>
    </xf>
    <xf numFmtId="49" fontId="4" fillId="7" borderId="53" xfId="0" applyNumberFormat="1" applyFont="1" applyFill="1" applyBorder="1" applyAlignment="1">
      <alignment horizontal="center" vertical="top" wrapText="1"/>
    </xf>
    <xf numFmtId="3" fontId="4" fillId="0" borderId="15" xfId="0" applyNumberFormat="1" applyFont="1" applyBorder="1" applyAlignment="1">
      <alignment horizontal="center" vertical="center" textRotation="90" wrapText="1"/>
    </xf>
    <xf numFmtId="3" fontId="4" fillId="6" borderId="41" xfId="0" applyNumberFormat="1" applyFont="1" applyFill="1" applyBorder="1" applyAlignment="1">
      <alignment horizontal="center" vertical="top" wrapText="1"/>
    </xf>
    <xf numFmtId="49" fontId="4" fillId="7" borderId="0" xfId="0" applyNumberFormat="1" applyFont="1" applyFill="1" applyBorder="1" applyAlignment="1">
      <alignment horizontal="center" vertical="top"/>
    </xf>
    <xf numFmtId="3" fontId="4" fillId="6" borderId="48" xfId="0" applyNumberFormat="1" applyFont="1" applyFill="1" applyBorder="1" applyAlignment="1">
      <alignment horizontal="center" vertical="top"/>
    </xf>
    <xf numFmtId="1" fontId="4" fillId="0" borderId="44" xfId="0" applyNumberFormat="1" applyFont="1" applyFill="1" applyBorder="1" applyAlignment="1">
      <alignment horizontal="center" vertical="top"/>
    </xf>
    <xf numFmtId="1" fontId="4" fillId="0" borderId="45" xfId="0" applyNumberFormat="1" applyFont="1" applyFill="1" applyBorder="1" applyAlignment="1">
      <alignment horizontal="center" vertical="top"/>
    </xf>
    <xf numFmtId="49" fontId="4" fillId="7" borderId="1" xfId="0" applyNumberFormat="1" applyFont="1" applyFill="1" applyBorder="1" applyAlignment="1">
      <alignment horizontal="center" vertical="top"/>
    </xf>
    <xf numFmtId="3" fontId="3" fillId="0" borderId="61" xfId="0" applyNumberFormat="1" applyFont="1" applyBorder="1" applyAlignment="1">
      <alignment horizontal="center" vertical="top" wrapText="1"/>
    </xf>
    <xf numFmtId="3" fontId="4" fillId="6" borderId="4" xfId="0" applyNumberFormat="1" applyFont="1" applyFill="1" applyBorder="1" applyAlignment="1">
      <alignment horizontal="center" vertical="top"/>
    </xf>
    <xf numFmtId="3" fontId="4" fillId="7" borderId="61" xfId="0" applyNumberFormat="1" applyFont="1" applyFill="1" applyBorder="1" applyAlignment="1">
      <alignment horizontal="center" vertical="top"/>
    </xf>
    <xf numFmtId="3" fontId="4" fillId="7" borderId="19" xfId="0" applyNumberFormat="1" applyFont="1" applyFill="1" applyBorder="1" applyAlignment="1">
      <alignment horizontal="center" vertical="top"/>
    </xf>
    <xf numFmtId="0" fontId="4" fillId="0" borderId="18" xfId="0" applyFont="1" applyFill="1" applyBorder="1" applyAlignment="1">
      <alignment horizontal="left" vertical="top" wrapText="1"/>
    </xf>
    <xf numFmtId="3" fontId="4" fillId="7" borderId="0" xfId="0" applyNumberFormat="1" applyFont="1" applyFill="1" applyBorder="1" applyAlignment="1">
      <alignment horizontal="center" vertical="top"/>
    </xf>
    <xf numFmtId="3" fontId="4" fillId="7" borderId="15" xfId="0" applyNumberFormat="1" applyFont="1" applyFill="1" applyBorder="1" applyAlignment="1">
      <alignment horizontal="center" vertical="top"/>
    </xf>
    <xf numFmtId="49" fontId="4" fillId="7" borderId="72" xfId="0" applyNumberFormat="1" applyFont="1" applyFill="1" applyBorder="1" applyAlignment="1">
      <alignment horizontal="center" vertical="top"/>
    </xf>
    <xf numFmtId="3" fontId="6" fillId="0" borderId="15" xfId="0" applyNumberFormat="1" applyFont="1" applyBorder="1" applyAlignment="1">
      <alignment horizontal="center" vertical="top" wrapText="1"/>
    </xf>
    <xf numFmtId="3" fontId="1" fillId="0" borderId="11" xfId="0" applyNumberFormat="1" applyFont="1" applyFill="1" applyBorder="1" applyAlignment="1">
      <alignment horizontal="center" vertical="top"/>
    </xf>
    <xf numFmtId="3" fontId="1" fillId="0" borderId="12" xfId="0" applyNumberFormat="1" applyFont="1" applyFill="1" applyBorder="1" applyAlignment="1">
      <alignment horizontal="center" vertical="top"/>
    </xf>
    <xf numFmtId="3" fontId="1" fillId="0" borderId="46" xfId="0" applyNumberFormat="1" applyFont="1" applyFill="1" applyBorder="1" applyAlignment="1">
      <alignment horizontal="center" vertical="top"/>
    </xf>
    <xf numFmtId="49" fontId="4" fillId="7" borderId="14" xfId="0" applyNumberFormat="1" applyFont="1" applyFill="1" applyBorder="1" applyAlignment="1">
      <alignment horizontal="center" vertical="top"/>
    </xf>
    <xf numFmtId="3" fontId="4" fillId="7" borderId="44" xfId="0" applyNumberFormat="1" applyFont="1" applyFill="1" applyBorder="1" applyAlignment="1">
      <alignment horizontal="center" vertical="top"/>
    </xf>
    <xf numFmtId="3" fontId="4" fillId="7" borderId="45" xfId="0" applyNumberFormat="1" applyFont="1" applyFill="1" applyBorder="1" applyAlignment="1">
      <alignment horizontal="center" vertical="top"/>
    </xf>
    <xf numFmtId="3" fontId="1" fillId="0" borderId="41" xfId="0" applyNumberFormat="1" applyFont="1" applyFill="1" applyBorder="1" applyAlignment="1">
      <alignment horizontal="center" vertical="top"/>
    </xf>
    <xf numFmtId="3" fontId="1" fillId="0" borderId="14" xfId="0" applyNumberFormat="1" applyFont="1" applyFill="1" applyBorder="1" applyAlignment="1">
      <alignment horizontal="center" vertical="top"/>
    </xf>
    <xf numFmtId="49" fontId="4" fillId="7" borderId="23" xfId="0" applyNumberFormat="1" applyFont="1" applyFill="1" applyBorder="1" applyAlignment="1">
      <alignment horizontal="center" vertical="top"/>
    </xf>
    <xf numFmtId="3" fontId="6" fillId="0" borderId="24" xfId="0" applyNumberFormat="1" applyFont="1" applyBorder="1" applyAlignment="1">
      <alignment horizontal="center" vertical="top" wrapText="1"/>
    </xf>
    <xf numFmtId="3" fontId="6" fillId="8" borderId="79" xfId="0" applyNumberFormat="1" applyFont="1" applyFill="1" applyBorder="1" applyAlignment="1">
      <alignment horizontal="center" vertical="top"/>
    </xf>
    <xf numFmtId="3" fontId="6" fillId="8" borderId="20" xfId="0" applyNumberFormat="1" applyFont="1" applyFill="1" applyBorder="1" applyAlignment="1">
      <alignment horizontal="center" vertical="top"/>
    </xf>
    <xf numFmtId="49" fontId="4" fillId="7" borderId="35" xfId="0" applyNumberFormat="1" applyFont="1" applyFill="1" applyBorder="1" applyAlignment="1">
      <alignment horizontal="center" vertical="top"/>
    </xf>
    <xf numFmtId="3" fontId="4" fillId="6" borderId="5" xfId="0" applyNumberFormat="1" applyFont="1" applyFill="1" applyBorder="1" applyAlignment="1">
      <alignment horizontal="center" vertical="top"/>
    </xf>
    <xf numFmtId="3" fontId="3" fillId="0" borderId="71" xfId="0" applyNumberFormat="1" applyFont="1" applyFill="1" applyBorder="1" applyAlignment="1">
      <alignment horizontal="center" vertical="top"/>
    </xf>
    <xf numFmtId="0" fontId="4" fillId="0" borderId="11" xfId="0" applyNumberFormat="1" applyFont="1" applyFill="1" applyBorder="1" applyAlignment="1">
      <alignment horizontal="center" vertical="top"/>
    </xf>
    <xf numFmtId="0" fontId="4" fillId="0" borderId="12"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16" xfId="0" applyFont="1" applyFill="1" applyBorder="1" applyAlignment="1">
      <alignment horizontal="center" vertical="top"/>
    </xf>
    <xf numFmtId="0" fontId="4" fillId="0" borderId="48" xfId="0" applyFont="1" applyFill="1" applyBorder="1" applyAlignment="1">
      <alignment horizontal="center" vertical="top"/>
    </xf>
    <xf numFmtId="3" fontId="4" fillId="6" borderId="52" xfId="0" applyNumberFormat="1" applyFont="1" applyFill="1" applyBorder="1" applyAlignment="1">
      <alignment horizontal="center" vertical="top"/>
    </xf>
    <xf numFmtId="3" fontId="3" fillId="0" borderId="73" xfId="0" applyNumberFormat="1" applyFont="1" applyFill="1" applyBorder="1" applyAlignment="1">
      <alignment horizontal="center" vertical="top"/>
    </xf>
    <xf numFmtId="0" fontId="4" fillId="0" borderId="41"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3" fontId="4" fillId="6" borderId="36" xfId="0" applyNumberFormat="1" applyFont="1" applyFill="1" applyBorder="1" applyAlignment="1">
      <alignment horizontal="center" vertical="top"/>
    </xf>
    <xf numFmtId="3" fontId="4" fillId="6" borderId="35" xfId="0" applyNumberFormat="1" applyFont="1" applyFill="1" applyBorder="1" applyAlignment="1">
      <alignment horizontal="center" vertical="top"/>
    </xf>
    <xf numFmtId="3" fontId="4" fillId="7" borderId="38" xfId="0" applyNumberFormat="1" applyFont="1" applyFill="1" applyBorder="1" applyAlignment="1">
      <alignment horizontal="center" vertical="top" wrapText="1"/>
    </xf>
    <xf numFmtId="3" fontId="4" fillId="6" borderId="19" xfId="0" applyNumberFormat="1" applyFont="1" applyFill="1" applyBorder="1" applyAlignment="1">
      <alignment horizontal="center" vertical="top"/>
    </xf>
    <xf numFmtId="3" fontId="3" fillId="8" borderId="23" xfId="0" applyNumberFormat="1" applyFont="1" applyFill="1" applyBorder="1" applyAlignment="1">
      <alignment horizontal="center" vertical="top"/>
    </xf>
    <xf numFmtId="3" fontId="3" fillId="8" borderId="1" xfId="0" applyNumberFormat="1" applyFont="1" applyFill="1" applyBorder="1" applyAlignment="1">
      <alignment horizontal="center" vertical="top"/>
    </xf>
    <xf numFmtId="3" fontId="4" fillId="0" borderId="36" xfId="0" applyNumberFormat="1" applyFont="1" applyFill="1" applyBorder="1" applyAlignment="1">
      <alignment vertical="top"/>
    </xf>
    <xf numFmtId="3" fontId="4" fillId="0" borderId="4" xfId="0" applyNumberFormat="1" applyFont="1" applyFill="1" applyBorder="1" applyAlignment="1">
      <alignment vertical="top"/>
    </xf>
    <xf numFmtId="3" fontId="4" fillId="0" borderId="61" xfId="0" applyNumberFormat="1" applyFont="1" applyFill="1" applyBorder="1" applyAlignment="1">
      <alignment vertical="top"/>
    </xf>
    <xf numFmtId="3" fontId="4" fillId="0" borderId="69" xfId="0" applyNumberFormat="1" applyFont="1" applyFill="1" applyBorder="1" applyAlignment="1">
      <alignment horizontal="center" vertical="top"/>
    </xf>
    <xf numFmtId="3" fontId="4" fillId="0" borderId="38" xfId="0" applyNumberFormat="1" applyFont="1" applyFill="1" applyBorder="1" applyAlignment="1">
      <alignment horizontal="left" vertical="top"/>
    </xf>
    <xf numFmtId="49" fontId="6" fillId="7" borderId="4" xfId="0" applyNumberFormat="1" applyFont="1" applyFill="1" applyBorder="1" applyAlignment="1">
      <alignment horizontal="center" vertical="top"/>
    </xf>
    <xf numFmtId="49" fontId="1" fillId="9" borderId="61" xfId="0" applyNumberFormat="1" applyFont="1" applyFill="1" applyBorder="1" applyAlignment="1">
      <alignment horizontal="center" vertical="top"/>
    </xf>
    <xf numFmtId="3" fontId="4" fillId="6" borderId="61" xfId="0" applyNumberFormat="1" applyFont="1" applyFill="1" applyBorder="1" applyAlignment="1">
      <alignment horizontal="center" vertical="top" wrapText="1"/>
    </xf>
    <xf numFmtId="3" fontId="4" fillId="7" borderId="36" xfId="0" applyNumberFormat="1" applyFont="1" applyFill="1" applyBorder="1" applyAlignment="1">
      <alignment horizontal="center" vertical="top" wrapText="1"/>
    </xf>
    <xf numFmtId="3" fontId="4" fillId="7" borderId="5" xfId="0" applyNumberFormat="1" applyFont="1" applyFill="1" applyBorder="1" applyAlignment="1">
      <alignment horizontal="center" vertical="top" wrapText="1"/>
    </xf>
    <xf numFmtId="3" fontId="4" fillId="6" borderId="36" xfId="0" applyNumberFormat="1" applyFont="1" applyFill="1" applyBorder="1" applyAlignment="1">
      <alignment horizontal="center" vertical="top" wrapText="1"/>
    </xf>
    <xf numFmtId="49" fontId="6" fillId="7" borderId="13" xfId="0" applyNumberFormat="1" applyFont="1" applyFill="1" applyBorder="1" applyAlignment="1">
      <alignment horizontal="center" vertical="top"/>
    </xf>
    <xf numFmtId="49" fontId="1" fillId="9" borderId="54" xfId="0" applyNumberFormat="1" applyFont="1" applyFill="1" applyBorder="1" applyAlignment="1">
      <alignment horizontal="center" vertical="top"/>
    </xf>
    <xf numFmtId="3" fontId="4" fillId="6" borderId="54" xfId="0" applyNumberFormat="1" applyFont="1" applyFill="1" applyBorder="1" applyAlignment="1">
      <alignment horizontal="center" vertical="top" wrapText="1"/>
    </xf>
    <xf numFmtId="3" fontId="4" fillId="7" borderId="39" xfId="0" applyNumberFormat="1" applyFont="1" applyFill="1" applyBorder="1" applyAlignment="1">
      <alignment horizontal="center" vertical="top" wrapText="1"/>
    </xf>
    <xf numFmtId="3" fontId="4" fillId="7" borderId="14" xfId="0" applyNumberFormat="1" applyFont="1" applyFill="1" applyBorder="1" applyAlignment="1">
      <alignment horizontal="center" vertical="top" wrapText="1"/>
    </xf>
    <xf numFmtId="3" fontId="4" fillId="7" borderId="16" xfId="0" applyNumberFormat="1" applyFont="1" applyFill="1" applyBorder="1" applyAlignment="1">
      <alignment vertical="top" wrapText="1"/>
    </xf>
    <xf numFmtId="49" fontId="1" fillId="9" borderId="53" xfId="0" applyNumberFormat="1" applyFont="1" applyFill="1" applyBorder="1" applyAlignment="1">
      <alignment horizontal="center" vertical="top"/>
    </xf>
    <xf numFmtId="3" fontId="6" fillId="6" borderId="53" xfId="0" applyNumberFormat="1" applyFont="1" applyFill="1" applyBorder="1" applyAlignment="1">
      <alignment vertical="center"/>
    </xf>
    <xf numFmtId="3" fontId="6" fillId="8" borderId="30" xfId="0" applyNumberFormat="1" applyFont="1" applyFill="1" applyBorder="1" applyAlignment="1">
      <alignment horizontal="center" vertical="top" wrapText="1"/>
    </xf>
    <xf numFmtId="3" fontId="6" fillId="8" borderId="47" xfId="0" applyNumberFormat="1" applyFont="1" applyFill="1" applyBorder="1" applyAlignment="1">
      <alignment horizontal="center" vertical="top" wrapText="1"/>
    </xf>
    <xf numFmtId="3" fontId="6" fillId="8" borderId="11" xfId="0" applyNumberFormat="1" applyFont="1" applyFill="1" applyBorder="1" applyAlignment="1">
      <alignment horizontal="center" vertical="top" wrapText="1"/>
    </xf>
    <xf numFmtId="3" fontId="6" fillId="8" borderId="17" xfId="0" applyNumberFormat="1" applyFont="1" applyFill="1" applyBorder="1" applyAlignment="1">
      <alignment horizontal="center" vertical="top" wrapText="1"/>
    </xf>
    <xf numFmtId="3" fontId="3" fillId="8" borderId="30" xfId="0" applyNumberFormat="1" applyFont="1" applyFill="1" applyBorder="1" applyAlignment="1">
      <alignment horizontal="center" vertical="top" wrapText="1"/>
    </xf>
    <xf numFmtId="3" fontId="4" fillId="7" borderId="48" xfId="0" applyNumberFormat="1" applyFont="1" applyFill="1" applyBorder="1" applyAlignment="1">
      <alignment vertical="top" wrapText="1"/>
    </xf>
    <xf numFmtId="49" fontId="1" fillId="9" borderId="45" xfId="0" applyNumberFormat="1" applyFont="1" applyFill="1" applyBorder="1" applyAlignment="1">
      <alignment horizontal="center" vertical="top"/>
    </xf>
    <xf numFmtId="49" fontId="1" fillId="0" borderId="44" xfId="0" applyNumberFormat="1" applyFont="1" applyBorder="1" applyAlignment="1">
      <alignment horizontal="center" vertical="center" wrapText="1"/>
    </xf>
    <xf numFmtId="3" fontId="4" fillId="6" borderId="45" xfId="0" applyNumberFormat="1" applyFont="1" applyFill="1" applyBorder="1" applyAlignment="1">
      <alignment horizontal="center" vertical="top" wrapText="1"/>
    </xf>
    <xf numFmtId="3" fontId="4" fillId="7" borderId="43" xfId="0" applyNumberFormat="1" applyFont="1" applyFill="1" applyBorder="1" applyAlignment="1">
      <alignment horizontal="center" vertical="top" wrapText="1"/>
    </xf>
    <xf numFmtId="3" fontId="4" fillId="6" borderId="72" xfId="0" applyNumberFormat="1" applyFont="1" applyFill="1" applyBorder="1" applyAlignment="1">
      <alignment horizontal="center" vertical="top" wrapText="1"/>
    </xf>
    <xf numFmtId="3" fontId="4" fillId="6" borderId="49" xfId="0" applyNumberFormat="1" applyFont="1" applyFill="1" applyBorder="1" applyAlignment="1">
      <alignment horizontal="center" vertical="top" wrapText="1"/>
    </xf>
    <xf numFmtId="3" fontId="4" fillId="6" borderId="53" xfId="0" applyNumberFormat="1" applyFont="1" applyFill="1" applyBorder="1" applyAlignment="1">
      <alignment horizontal="center" vertical="top" wrapText="1"/>
    </xf>
    <xf numFmtId="3" fontId="4" fillId="7" borderId="52" xfId="0" applyNumberFormat="1" applyFont="1" applyFill="1" applyBorder="1" applyAlignment="1">
      <alignment horizontal="center" vertical="top" wrapText="1"/>
    </xf>
    <xf numFmtId="3" fontId="4" fillId="7" borderId="75" xfId="0" applyNumberFormat="1" applyFont="1" applyFill="1" applyBorder="1" applyAlignment="1">
      <alignment horizontal="center" vertical="top" wrapText="1"/>
    </xf>
    <xf numFmtId="3" fontId="6" fillId="8" borderId="12" xfId="0" applyNumberFormat="1" applyFont="1" applyFill="1" applyBorder="1" applyAlignment="1">
      <alignment horizontal="center" vertical="top" wrapText="1"/>
    </xf>
    <xf numFmtId="3" fontId="6" fillId="8" borderId="71" xfId="0" applyNumberFormat="1" applyFont="1" applyFill="1" applyBorder="1" applyAlignment="1">
      <alignment horizontal="center" vertical="top" wrapText="1"/>
    </xf>
    <xf numFmtId="3" fontId="3" fillId="0" borderId="43" xfId="0" applyNumberFormat="1" applyFont="1" applyBorder="1" applyAlignment="1">
      <alignment vertical="center" textRotation="90"/>
    </xf>
    <xf numFmtId="49" fontId="4" fillId="6" borderId="44" xfId="0" applyNumberFormat="1" applyFont="1" applyFill="1" applyBorder="1" applyAlignment="1">
      <alignment vertical="top" wrapText="1"/>
    </xf>
    <xf numFmtId="3" fontId="3" fillId="0" borderId="52" xfId="0" applyNumberFormat="1" applyFont="1" applyBorder="1" applyAlignment="1">
      <alignment vertical="center" textRotation="90"/>
    </xf>
    <xf numFmtId="49" fontId="4" fillId="6" borderId="50" xfId="0" applyNumberFormat="1" applyFont="1" applyFill="1" applyBorder="1" applyAlignment="1">
      <alignment vertical="top" wrapText="1"/>
    </xf>
    <xf numFmtId="3" fontId="4" fillId="0" borderId="12" xfId="0" applyNumberFormat="1" applyFont="1" applyFill="1" applyBorder="1" applyAlignment="1">
      <alignment vertical="top"/>
    </xf>
    <xf numFmtId="3" fontId="4" fillId="0" borderId="47" xfId="0" applyNumberFormat="1" applyFont="1" applyFill="1" applyBorder="1" applyAlignment="1">
      <alignment vertical="top"/>
    </xf>
    <xf numFmtId="3" fontId="4" fillId="6" borderId="47" xfId="0" applyNumberFormat="1" applyFont="1" applyFill="1" applyBorder="1" applyAlignment="1">
      <alignment horizontal="center" vertical="top" wrapText="1"/>
    </xf>
    <xf numFmtId="3" fontId="1" fillId="6" borderId="17" xfId="0" applyNumberFormat="1" applyFont="1" applyFill="1" applyBorder="1" applyAlignment="1">
      <alignment horizontal="center" vertical="top"/>
    </xf>
    <xf numFmtId="3" fontId="4" fillId="6" borderId="11" xfId="0" applyNumberFormat="1" applyFont="1" applyFill="1" applyBorder="1" applyAlignment="1">
      <alignment horizontal="center" vertical="top" wrapText="1"/>
    </xf>
    <xf numFmtId="3" fontId="4" fillId="6" borderId="17" xfId="0" applyNumberFormat="1" applyFont="1" applyFill="1" applyBorder="1" applyAlignment="1">
      <alignment horizontal="center" vertical="top" wrapText="1"/>
    </xf>
    <xf numFmtId="3" fontId="4" fillId="6" borderId="46" xfId="0" applyNumberFormat="1" applyFont="1" applyFill="1" applyBorder="1" applyAlignment="1">
      <alignment horizontal="center" vertical="top" wrapText="1"/>
    </xf>
    <xf numFmtId="3" fontId="6" fillId="6" borderId="54" xfId="0" applyNumberFormat="1" applyFont="1" applyFill="1" applyBorder="1" applyAlignment="1">
      <alignment vertical="top"/>
    </xf>
    <xf numFmtId="3" fontId="6" fillId="8" borderId="32" xfId="0" applyNumberFormat="1" applyFont="1" applyFill="1" applyBorder="1" applyAlignment="1">
      <alignment horizontal="center" vertical="top" wrapText="1"/>
    </xf>
    <xf numFmtId="3" fontId="6" fillId="8" borderId="42" xfId="0" applyNumberFormat="1" applyFont="1" applyFill="1" applyBorder="1" applyAlignment="1">
      <alignment horizontal="center" vertical="top" wrapText="1"/>
    </xf>
    <xf numFmtId="3" fontId="6" fillId="8" borderId="45" xfId="0" applyNumberFormat="1" applyFont="1" applyFill="1" applyBorder="1" applyAlignment="1">
      <alignment horizontal="center" vertical="top" wrapText="1"/>
    </xf>
    <xf numFmtId="3" fontId="6" fillId="8" borderId="43" xfId="0" applyNumberFormat="1" applyFont="1" applyFill="1" applyBorder="1" applyAlignment="1">
      <alignment horizontal="center" vertical="top" wrapText="1"/>
    </xf>
    <xf numFmtId="3" fontId="6" fillId="8" borderId="72" xfId="0" applyNumberFormat="1" applyFont="1" applyFill="1" applyBorder="1" applyAlignment="1">
      <alignment horizontal="center" vertical="top" wrapText="1"/>
    </xf>
    <xf numFmtId="3" fontId="3" fillId="8" borderId="42" xfId="0" applyNumberFormat="1" applyFont="1" applyFill="1" applyBorder="1" applyAlignment="1">
      <alignment horizontal="center" vertical="top" wrapText="1"/>
    </xf>
    <xf numFmtId="3" fontId="4" fillId="6" borderId="49" xfId="0" applyNumberFormat="1" applyFont="1" applyFill="1" applyBorder="1" applyAlignment="1">
      <alignment vertical="top" wrapText="1"/>
    </xf>
    <xf numFmtId="3" fontId="4" fillId="6" borderId="49" xfId="0" applyNumberFormat="1" applyFont="1" applyFill="1" applyBorder="1" applyAlignment="1">
      <alignment vertical="top"/>
    </xf>
    <xf numFmtId="3" fontId="6" fillId="0" borderId="45" xfId="0" applyNumberFormat="1" applyFont="1" applyBorder="1" applyAlignment="1">
      <alignment horizontal="center" vertical="center"/>
    </xf>
    <xf numFmtId="3" fontId="4" fillId="7" borderId="72" xfId="0" applyNumberFormat="1" applyFont="1" applyFill="1" applyBorder="1" applyAlignment="1">
      <alignment horizontal="center" vertical="top" wrapText="1"/>
    </xf>
    <xf numFmtId="0" fontId="4" fillId="0" borderId="39" xfId="0" applyFont="1" applyFill="1" applyBorder="1" applyAlignment="1">
      <alignment horizontal="center" vertical="top" wrapText="1"/>
    </xf>
    <xf numFmtId="0" fontId="4" fillId="0" borderId="13" xfId="0" applyFont="1" applyFill="1" applyBorder="1" applyAlignment="1">
      <alignment horizontal="center" vertical="top" wrapText="1"/>
    </xf>
    <xf numFmtId="3" fontId="4" fillId="7" borderId="11" xfId="0" applyNumberFormat="1" applyFont="1" applyFill="1" applyBorder="1" applyAlignment="1">
      <alignment horizontal="center" vertical="top" wrapText="1"/>
    </xf>
    <xf numFmtId="3" fontId="4" fillId="7" borderId="17" xfId="0" applyNumberFormat="1" applyFont="1" applyFill="1" applyBorder="1" applyAlignment="1">
      <alignment horizontal="center" vertical="top" wrapText="1"/>
    </xf>
    <xf numFmtId="3" fontId="1" fillId="6" borderId="46" xfId="0" applyNumberFormat="1" applyFont="1" applyFill="1" applyBorder="1" applyAlignment="1">
      <alignment horizontal="center" vertical="top" wrapText="1"/>
    </xf>
    <xf numFmtId="3" fontId="1" fillId="0" borderId="16" xfId="0" applyNumberFormat="1" applyFont="1" applyFill="1" applyBorder="1" applyAlignment="1">
      <alignment horizontal="center" vertical="top" wrapText="1"/>
    </xf>
    <xf numFmtId="49" fontId="4" fillId="9" borderId="45" xfId="0" applyNumberFormat="1" applyFont="1" applyFill="1" applyBorder="1" applyAlignment="1">
      <alignment horizontal="center" vertical="top"/>
    </xf>
    <xf numFmtId="3" fontId="3" fillId="0" borderId="43" xfId="0" applyNumberFormat="1" applyFont="1" applyFill="1" applyBorder="1" applyAlignment="1">
      <alignment horizontal="center" vertical="top" wrapText="1"/>
    </xf>
    <xf numFmtId="3" fontId="3" fillId="0" borderId="45" xfId="0" applyNumberFormat="1" applyFont="1" applyBorder="1" applyAlignment="1">
      <alignment horizontal="center" vertical="top"/>
    </xf>
    <xf numFmtId="3" fontId="1" fillId="6" borderId="47" xfId="0" applyNumberFormat="1" applyFont="1" applyFill="1" applyBorder="1" applyAlignment="1">
      <alignment horizontal="center" vertical="top"/>
    </xf>
    <xf numFmtId="3" fontId="4" fillId="7" borderId="43" xfId="0" applyNumberFormat="1" applyFont="1" applyFill="1" applyBorder="1" applyAlignment="1">
      <alignment horizontal="center" wrapText="1"/>
    </xf>
    <xf numFmtId="49" fontId="4" fillId="9" borderId="54" xfId="0" applyNumberFormat="1" applyFont="1" applyFill="1" applyBorder="1" applyAlignment="1">
      <alignment horizontal="center" vertical="top"/>
    </xf>
    <xf numFmtId="3" fontId="3" fillId="0" borderId="39" xfId="0" applyNumberFormat="1" applyFont="1" applyFill="1" applyBorder="1" applyAlignment="1">
      <alignment horizontal="center" vertical="center" wrapText="1"/>
    </xf>
    <xf numFmtId="49" fontId="4" fillId="0" borderId="13" xfId="0" applyNumberFormat="1" applyFont="1" applyBorder="1" applyAlignment="1">
      <alignment horizontal="center" vertical="center" wrapText="1"/>
    </xf>
    <xf numFmtId="3" fontId="3" fillId="0" borderId="54" xfId="0" applyNumberFormat="1" applyFont="1" applyBorder="1" applyAlignment="1">
      <alignment horizontal="center" vertical="center"/>
    </xf>
    <xf numFmtId="3" fontId="4" fillId="6" borderId="43" xfId="0" applyNumberFormat="1" applyFont="1" applyFill="1" applyBorder="1" applyAlignment="1">
      <alignment horizontal="center" vertical="top" wrapText="1"/>
    </xf>
    <xf numFmtId="3" fontId="4" fillId="7" borderId="39" xfId="0" applyNumberFormat="1" applyFont="1" applyFill="1" applyBorder="1" applyAlignment="1">
      <alignment vertical="top" wrapText="1"/>
    </xf>
    <xf numFmtId="3" fontId="3" fillId="0" borderId="52" xfId="0" applyNumberFormat="1" applyFont="1" applyFill="1" applyBorder="1" applyAlignment="1">
      <alignment horizontal="center" vertical="center" wrapText="1"/>
    </xf>
    <xf numFmtId="49" fontId="4" fillId="0" borderId="50" xfId="0" applyNumberFormat="1" applyFont="1" applyBorder="1" applyAlignment="1">
      <alignment horizontal="center" vertical="center" wrapText="1"/>
    </xf>
    <xf numFmtId="3" fontId="3" fillId="0" borderId="53" xfId="0" applyNumberFormat="1" applyFont="1" applyBorder="1" applyAlignment="1">
      <alignment horizontal="center" vertical="center"/>
    </xf>
    <xf numFmtId="3" fontId="3" fillId="8" borderId="19" xfId="0" applyNumberFormat="1" applyFont="1" applyFill="1" applyBorder="1" applyAlignment="1">
      <alignment horizontal="center" vertical="top" wrapText="1"/>
    </xf>
    <xf numFmtId="3" fontId="3" fillId="8" borderId="47" xfId="0" applyNumberFormat="1" applyFont="1" applyFill="1" applyBorder="1" applyAlignment="1">
      <alignment horizontal="center" vertical="top" wrapText="1"/>
    </xf>
    <xf numFmtId="3" fontId="3" fillId="8" borderId="11" xfId="0" applyNumberFormat="1" applyFont="1" applyFill="1" applyBorder="1" applyAlignment="1">
      <alignment horizontal="center" vertical="top" wrapText="1"/>
    </xf>
    <xf numFmtId="3" fontId="3" fillId="8" borderId="17" xfId="0" applyNumberFormat="1" applyFont="1" applyFill="1" applyBorder="1" applyAlignment="1">
      <alignment horizontal="center" vertical="top" wrapText="1"/>
    </xf>
    <xf numFmtId="3" fontId="1" fillId="0" borderId="71" xfId="0" applyNumberFormat="1" applyFont="1" applyFill="1" applyBorder="1" applyAlignment="1">
      <alignment horizontal="center" vertical="top"/>
    </xf>
    <xf numFmtId="3" fontId="1" fillId="0" borderId="47" xfId="0" applyNumberFormat="1" applyFont="1" applyFill="1" applyBorder="1" applyAlignment="1">
      <alignment horizontal="center" vertical="top"/>
    </xf>
    <xf numFmtId="3" fontId="1" fillId="7" borderId="46" xfId="0" applyNumberFormat="1" applyFont="1" applyFill="1" applyBorder="1" applyAlignment="1">
      <alignment horizontal="center" vertical="top" wrapText="1"/>
    </xf>
    <xf numFmtId="3" fontId="1" fillId="7" borderId="30" xfId="0" applyNumberFormat="1" applyFont="1" applyFill="1" applyBorder="1" applyAlignment="1">
      <alignment horizontal="center" vertical="top" wrapText="1"/>
    </xf>
    <xf numFmtId="3" fontId="1" fillId="7" borderId="42" xfId="0" applyNumberFormat="1" applyFont="1" applyFill="1" applyBorder="1" applyAlignment="1">
      <alignment horizontal="center" vertical="top" wrapText="1"/>
    </xf>
    <xf numFmtId="3" fontId="6" fillId="8" borderId="18" xfId="0" applyNumberFormat="1" applyFont="1" applyFill="1" applyBorder="1" applyAlignment="1">
      <alignment horizontal="center" vertical="top" wrapText="1"/>
    </xf>
    <xf numFmtId="3" fontId="6" fillId="8" borderId="46" xfId="0" applyNumberFormat="1" applyFont="1" applyFill="1" applyBorder="1" applyAlignment="1">
      <alignment horizontal="center" vertical="top" wrapText="1"/>
    </xf>
    <xf numFmtId="3" fontId="1" fillId="0" borderId="49" xfId="0" applyNumberFormat="1" applyFont="1" applyBorder="1" applyAlignment="1">
      <alignment vertical="top"/>
    </xf>
    <xf numFmtId="49" fontId="3" fillId="7" borderId="22" xfId="0" applyNumberFormat="1" applyFont="1" applyFill="1" applyBorder="1" applyAlignment="1">
      <alignment horizontal="center" vertical="top"/>
    </xf>
    <xf numFmtId="3" fontId="3" fillId="9" borderId="58" xfId="0" applyNumberFormat="1" applyFont="1" applyFill="1" applyBorder="1" applyAlignment="1">
      <alignment horizontal="center" vertical="top" wrapText="1"/>
    </xf>
    <xf numFmtId="3" fontId="3" fillId="9" borderId="26" xfId="0" applyNumberFormat="1" applyFont="1" applyFill="1" applyBorder="1" applyAlignment="1">
      <alignment horizontal="center" vertical="top"/>
    </xf>
    <xf numFmtId="3" fontId="3" fillId="9" borderId="21" xfId="0" applyNumberFormat="1" applyFont="1" applyFill="1" applyBorder="1" applyAlignment="1">
      <alignment horizontal="center" vertical="top"/>
    </xf>
    <xf numFmtId="49" fontId="1" fillId="9" borderId="67" xfId="0" applyNumberFormat="1" applyFont="1" applyFill="1" applyBorder="1" applyAlignment="1">
      <alignment horizontal="center" vertical="top"/>
    </xf>
    <xf numFmtId="3" fontId="6" fillId="7" borderId="29" xfId="0" applyNumberFormat="1" applyFont="1" applyFill="1" applyBorder="1" applyAlignment="1">
      <alignment vertical="top" wrapText="1"/>
    </xf>
    <xf numFmtId="3" fontId="6" fillId="0" borderId="28" xfId="0" applyNumberFormat="1" applyFont="1" applyFill="1" applyBorder="1" applyAlignment="1">
      <alignment horizontal="center" vertical="top" textRotation="180" wrapText="1"/>
    </xf>
    <xf numFmtId="49" fontId="1" fillId="0" borderId="3" xfId="0" applyNumberFormat="1" applyFont="1" applyBorder="1" applyAlignment="1">
      <alignment vertical="center" wrapText="1"/>
    </xf>
    <xf numFmtId="3" fontId="6" fillId="0" borderId="67" xfId="0" applyNumberFormat="1" applyFont="1" applyBorder="1" applyAlignment="1">
      <alignment horizontal="center" vertical="center"/>
    </xf>
    <xf numFmtId="3" fontId="1" fillId="0" borderId="29" xfId="0" applyNumberFormat="1" applyFont="1" applyBorder="1" applyAlignment="1">
      <alignment horizontal="center" vertical="center" textRotation="90" wrapText="1"/>
    </xf>
    <xf numFmtId="3" fontId="4" fillId="6" borderId="27" xfId="0" applyNumberFormat="1" applyFont="1" applyFill="1" applyBorder="1" applyAlignment="1">
      <alignment horizontal="center" vertical="top" wrapText="1"/>
    </xf>
    <xf numFmtId="3" fontId="4" fillId="6" borderId="67" xfId="0" applyNumberFormat="1" applyFont="1" applyFill="1" applyBorder="1" applyAlignment="1">
      <alignment horizontal="center" vertical="top" wrapText="1"/>
    </xf>
    <xf numFmtId="3" fontId="4" fillId="7" borderId="2" xfId="0" applyNumberFormat="1" applyFont="1" applyFill="1" applyBorder="1" applyAlignment="1">
      <alignment horizontal="center" vertical="top" wrapText="1"/>
    </xf>
    <xf numFmtId="3" fontId="4" fillId="7" borderId="3" xfId="0" applyNumberFormat="1" applyFont="1" applyFill="1" applyBorder="1" applyAlignment="1">
      <alignment horizontal="center" vertical="top" wrapText="1"/>
    </xf>
    <xf numFmtId="3" fontId="4" fillId="7" borderId="78" xfId="0" applyNumberFormat="1" applyFont="1" applyFill="1" applyBorder="1" applyAlignment="1">
      <alignment horizontal="center" vertical="top" wrapText="1"/>
    </xf>
    <xf numFmtId="3" fontId="4" fillId="6" borderId="38" xfId="0" applyNumberFormat="1" applyFont="1" applyFill="1" applyBorder="1" applyAlignment="1">
      <alignment horizontal="center" vertical="top" wrapText="1"/>
    </xf>
    <xf numFmtId="3" fontId="4" fillId="7" borderId="29" xfId="0" applyNumberFormat="1" applyFont="1" applyFill="1" applyBorder="1" applyAlignment="1">
      <alignment horizontal="center" vertical="top" wrapText="1"/>
    </xf>
    <xf numFmtId="3" fontId="4" fillId="7" borderId="38" xfId="0" applyNumberFormat="1" applyFont="1" applyFill="1" applyBorder="1" applyAlignment="1">
      <alignment horizontal="left" vertical="top" wrapText="1"/>
    </xf>
    <xf numFmtId="3" fontId="4" fillId="7" borderId="28" xfId="0" applyNumberFormat="1" applyFont="1" applyFill="1" applyBorder="1" applyAlignment="1">
      <alignment horizontal="center" vertical="top" wrapText="1"/>
    </xf>
    <xf numFmtId="49" fontId="1" fillId="0" borderId="13" xfId="0" applyNumberFormat="1" applyFont="1" applyBorder="1" applyAlignment="1">
      <alignment vertical="top" wrapText="1"/>
    </xf>
    <xf numFmtId="3" fontId="1" fillId="6" borderId="18" xfId="0" applyNumberFormat="1" applyFont="1" applyFill="1" applyBorder="1" applyAlignment="1">
      <alignment horizontal="center" vertical="top"/>
    </xf>
    <xf numFmtId="3" fontId="1" fillId="6" borderId="53" xfId="0" applyNumberFormat="1" applyFont="1" applyFill="1" applyBorder="1" applyAlignment="1">
      <alignment horizontal="center" vertical="top"/>
    </xf>
    <xf numFmtId="3" fontId="4" fillId="6" borderId="52" xfId="0" applyNumberFormat="1" applyFont="1" applyFill="1" applyBorder="1" applyAlignment="1">
      <alignment horizontal="center" vertical="top" wrapText="1"/>
    </xf>
    <xf numFmtId="3" fontId="4" fillId="6" borderId="50" xfId="0" applyNumberFormat="1" applyFont="1" applyFill="1" applyBorder="1" applyAlignment="1">
      <alignment horizontal="center" vertical="top" wrapText="1"/>
    </xf>
    <xf numFmtId="3" fontId="4" fillId="6" borderId="75"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center" wrapText="1"/>
    </xf>
    <xf numFmtId="3" fontId="4" fillId="6" borderId="39" xfId="0" applyNumberFormat="1" applyFont="1" applyFill="1" applyBorder="1" applyAlignment="1">
      <alignment horizontal="center" vertical="top" wrapText="1"/>
    </xf>
    <xf numFmtId="3" fontId="4" fillId="6" borderId="14" xfId="0" applyNumberFormat="1" applyFont="1" applyFill="1" applyBorder="1" applyAlignment="1">
      <alignment horizontal="center" vertical="top" wrapText="1"/>
    </xf>
    <xf numFmtId="3" fontId="6" fillId="0" borderId="52" xfId="0" applyNumberFormat="1" applyFont="1" applyFill="1" applyBorder="1" applyAlignment="1">
      <alignment horizontal="center" vertical="top" wrapText="1"/>
    </xf>
    <xf numFmtId="49" fontId="1" fillId="0" borderId="50" xfId="0" applyNumberFormat="1" applyFont="1" applyBorder="1" applyAlignment="1">
      <alignment vertical="top" wrapText="1"/>
    </xf>
    <xf numFmtId="3" fontId="6" fillId="0" borderId="53" xfId="0" applyNumberFormat="1" applyFont="1" applyBorder="1" applyAlignment="1">
      <alignment horizontal="center" vertical="top"/>
    </xf>
    <xf numFmtId="3" fontId="1" fillId="6" borderId="66" xfId="0" applyNumberFormat="1" applyFont="1" applyFill="1" applyBorder="1" applyAlignment="1">
      <alignment horizontal="center" vertical="center" wrapText="1"/>
    </xf>
    <xf numFmtId="3" fontId="3" fillId="8" borderId="48" xfId="0" applyNumberFormat="1" applyFont="1" applyFill="1" applyBorder="1" applyAlignment="1">
      <alignment horizontal="center" vertical="top" wrapText="1"/>
    </xf>
    <xf numFmtId="3" fontId="3" fillId="8" borderId="66" xfId="0" applyNumberFormat="1" applyFont="1" applyFill="1" applyBorder="1" applyAlignment="1">
      <alignment horizontal="center" vertical="top" wrapText="1"/>
    </xf>
    <xf numFmtId="3" fontId="3" fillId="0" borderId="39" xfId="0" applyNumberFormat="1" applyFont="1" applyFill="1" applyBorder="1" applyAlignment="1">
      <alignment horizontal="center" vertical="top" wrapText="1"/>
    </xf>
    <xf numFmtId="3" fontId="6" fillId="0" borderId="15" xfId="0" applyNumberFormat="1" applyFont="1" applyBorder="1" applyAlignment="1">
      <alignment horizontal="center" vertical="top"/>
    </xf>
    <xf numFmtId="3" fontId="1" fillId="6" borderId="75" xfId="0" applyNumberFormat="1" applyFont="1" applyFill="1" applyBorder="1" applyAlignment="1">
      <alignment horizontal="center" vertical="top"/>
    </xf>
    <xf numFmtId="3" fontId="1" fillId="6" borderId="15" xfId="0" applyNumberFormat="1" applyFont="1" applyFill="1" applyBorder="1" applyAlignment="1">
      <alignment horizontal="center" vertical="top" wrapText="1"/>
    </xf>
    <xf numFmtId="3" fontId="6" fillId="8" borderId="16" xfId="0" applyNumberFormat="1" applyFont="1" applyFill="1" applyBorder="1" applyAlignment="1">
      <alignment horizontal="center" vertical="top" wrapText="1"/>
    </xf>
    <xf numFmtId="3" fontId="3" fillId="8" borderId="49" xfId="0" applyNumberFormat="1" applyFont="1" applyFill="1" applyBorder="1" applyAlignment="1">
      <alignment horizontal="center" vertical="top" wrapText="1"/>
    </xf>
    <xf numFmtId="3" fontId="6" fillId="8" borderId="53" xfId="0" applyNumberFormat="1" applyFont="1" applyFill="1" applyBorder="1" applyAlignment="1">
      <alignment horizontal="center" vertical="top" wrapText="1"/>
    </xf>
    <xf numFmtId="3" fontId="6" fillId="8" borderId="41" xfId="0" applyNumberFormat="1" applyFont="1" applyFill="1" applyBorder="1" applyAlignment="1">
      <alignment horizontal="center" vertical="top" wrapText="1"/>
    </xf>
    <xf numFmtId="3" fontId="6" fillId="8" borderId="14" xfId="0" applyNumberFormat="1" applyFont="1" applyFill="1" applyBorder="1" applyAlignment="1">
      <alignment horizontal="center" vertical="top" wrapText="1"/>
    </xf>
    <xf numFmtId="3" fontId="3" fillId="8" borderId="16" xfId="0" applyNumberFormat="1" applyFont="1" applyFill="1" applyBorder="1" applyAlignment="1">
      <alignment horizontal="center" vertical="top" wrapText="1"/>
    </xf>
    <xf numFmtId="3" fontId="3" fillId="8" borderId="15" xfId="0" applyNumberFormat="1" applyFont="1" applyFill="1" applyBorder="1" applyAlignment="1">
      <alignment horizontal="center" vertical="top" wrapText="1"/>
    </xf>
    <xf numFmtId="3" fontId="6" fillId="0" borderId="32" xfId="0" applyNumberFormat="1" applyFont="1" applyBorder="1" applyAlignment="1">
      <alignment horizontal="center" vertical="top"/>
    </xf>
    <xf numFmtId="165" fontId="1" fillId="0" borderId="46" xfId="0" applyNumberFormat="1" applyFont="1" applyFill="1" applyBorder="1" applyAlignment="1">
      <alignment horizontal="center" vertical="center" wrapText="1"/>
    </xf>
    <xf numFmtId="3" fontId="4" fillId="7" borderId="31" xfId="0" applyNumberFormat="1" applyFont="1" applyFill="1" applyBorder="1" applyAlignment="1">
      <alignment horizontal="center" vertical="top" wrapText="1"/>
    </xf>
    <xf numFmtId="165" fontId="1" fillId="0" borderId="48" xfId="0" applyNumberFormat="1" applyFont="1" applyFill="1" applyBorder="1" applyAlignment="1">
      <alignment horizontal="center" vertical="center" wrapText="1"/>
    </xf>
    <xf numFmtId="3" fontId="1" fillId="6" borderId="49" xfId="0" applyNumberFormat="1" applyFont="1" applyFill="1" applyBorder="1" applyAlignment="1">
      <alignment horizontal="center" vertical="top"/>
    </xf>
    <xf numFmtId="3" fontId="3" fillId="0" borderId="52" xfId="0" applyNumberFormat="1" applyFont="1" applyFill="1" applyBorder="1" applyAlignment="1">
      <alignment horizontal="center" vertical="top" wrapText="1"/>
    </xf>
    <xf numFmtId="49" fontId="1" fillId="0" borderId="50" xfId="0" applyNumberFormat="1" applyFont="1" applyBorder="1" applyAlignment="1">
      <alignment horizontal="center" vertical="top" wrapText="1"/>
    </xf>
    <xf numFmtId="3" fontId="6" fillId="0" borderId="66" xfId="0" applyNumberFormat="1" applyFont="1" applyBorder="1" applyAlignment="1">
      <alignment horizontal="center" vertical="top"/>
    </xf>
    <xf numFmtId="3" fontId="6" fillId="8" borderId="48" xfId="0" applyNumberFormat="1" applyFont="1" applyFill="1" applyBorder="1" applyAlignment="1">
      <alignment horizontal="center" vertical="top" wrapText="1"/>
    </xf>
    <xf numFmtId="49" fontId="6" fillId="7" borderId="22" xfId="0" applyNumberFormat="1" applyFont="1" applyFill="1" applyBorder="1" applyAlignment="1">
      <alignment horizontal="center" vertical="top"/>
    </xf>
    <xf numFmtId="49" fontId="3" fillId="9" borderId="56" xfId="0" applyNumberFormat="1" applyFont="1" applyFill="1" applyBorder="1" applyAlignment="1">
      <alignment vertical="top"/>
    </xf>
    <xf numFmtId="3" fontId="4" fillId="9" borderId="57" xfId="0" applyNumberFormat="1" applyFont="1" applyFill="1" applyBorder="1" applyAlignment="1">
      <alignment horizontal="center" vertical="center" textRotation="90" wrapText="1"/>
    </xf>
    <xf numFmtId="3" fontId="6" fillId="9" borderId="58" xfId="0" applyNumberFormat="1" applyFont="1" applyFill="1" applyBorder="1" applyAlignment="1">
      <alignment horizontal="center" vertical="top" wrapText="1"/>
    </xf>
    <xf numFmtId="3" fontId="3" fillId="5" borderId="62" xfId="0" applyNumberFormat="1" applyFont="1" applyFill="1" applyBorder="1" applyAlignment="1">
      <alignment horizontal="center" vertical="top"/>
    </xf>
    <xf numFmtId="3" fontId="3" fillId="5" borderId="60" xfId="0" applyNumberFormat="1" applyFont="1" applyFill="1" applyBorder="1" applyAlignment="1">
      <alignment horizontal="center" vertical="top"/>
    </xf>
    <xf numFmtId="3" fontId="3" fillId="5" borderId="1" xfId="0" applyNumberFormat="1" applyFont="1" applyFill="1" applyBorder="1" applyAlignment="1">
      <alignment horizontal="center" vertical="top"/>
    </xf>
    <xf numFmtId="49" fontId="4" fillId="6" borderId="35" xfId="0" applyNumberFormat="1" applyFont="1" applyFill="1" applyBorder="1" applyAlignment="1">
      <alignment horizontal="center" vertical="top"/>
    </xf>
    <xf numFmtId="3" fontId="4" fillId="7" borderId="61" xfId="0" applyNumberFormat="1" applyFont="1" applyFill="1" applyBorder="1" applyAlignment="1">
      <alignment horizontal="center" vertical="top" wrapText="1"/>
    </xf>
    <xf numFmtId="49" fontId="1" fillId="6" borderId="45" xfId="0" applyNumberFormat="1" applyFont="1" applyFill="1" applyBorder="1" applyAlignment="1">
      <alignment horizontal="center" vertical="top"/>
    </xf>
    <xf numFmtId="3" fontId="1" fillId="6" borderId="46" xfId="0" applyNumberFormat="1" applyFont="1" applyFill="1" applyBorder="1" applyAlignment="1">
      <alignment horizontal="center" vertical="top"/>
    </xf>
    <xf numFmtId="3" fontId="1" fillId="6" borderId="19" xfId="0" applyNumberFormat="1" applyFont="1" applyFill="1" applyBorder="1" applyAlignment="1">
      <alignment horizontal="center" vertical="top"/>
    </xf>
    <xf numFmtId="49" fontId="1" fillId="6" borderId="0" xfId="0" applyNumberFormat="1" applyFont="1" applyFill="1" applyBorder="1" applyAlignment="1">
      <alignment horizontal="center" vertical="top"/>
    </xf>
    <xf numFmtId="3" fontId="3" fillId="6" borderId="71" xfId="0" applyNumberFormat="1" applyFont="1" applyFill="1" applyBorder="1" applyAlignment="1">
      <alignment horizontal="center" vertical="top"/>
    </xf>
    <xf numFmtId="3" fontId="3" fillId="0" borderId="74" xfId="0" applyNumberFormat="1" applyFont="1" applyFill="1" applyBorder="1" applyAlignment="1">
      <alignment horizontal="center" vertical="top"/>
    </xf>
    <xf numFmtId="49" fontId="4" fillId="6" borderId="0" xfId="0" applyNumberFormat="1" applyFont="1" applyFill="1" applyBorder="1" applyAlignment="1">
      <alignment horizontal="center" vertical="top"/>
    </xf>
    <xf numFmtId="3" fontId="3" fillId="7" borderId="7" xfId="0" applyNumberFormat="1" applyFont="1" applyFill="1" applyBorder="1" applyAlignment="1">
      <alignment vertical="top" wrapText="1"/>
    </xf>
    <xf numFmtId="3" fontId="4" fillId="6" borderId="28" xfId="0" applyNumberFormat="1" applyFont="1" applyFill="1" applyBorder="1" applyAlignment="1">
      <alignment horizontal="center" vertical="top"/>
    </xf>
    <xf numFmtId="3" fontId="4" fillId="0" borderId="27" xfId="0" applyNumberFormat="1" applyFont="1" applyFill="1" applyBorder="1" applyAlignment="1">
      <alignment horizontal="center" vertical="top" wrapText="1"/>
    </xf>
    <xf numFmtId="3" fontId="4" fillId="0" borderId="29" xfId="0" applyNumberFormat="1" applyFont="1" applyFill="1" applyBorder="1" applyAlignment="1">
      <alignment horizontal="center" vertical="top" wrapText="1"/>
    </xf>
    <xf numFmtId="49" fontId="4" fillId="7" borderId="15" xfId="0" applyNumberFormat="1" applyFont="1" applyFill="1" applyBorder="1" applyAlignment="1">
      <alignment horizontal="center" vertical="top"/>
    </xf>
    <xf numFmtId="3" fontId="1" fillId="0" borderId="30" xfId="0" applyNumberFormat="1" applyFont="1" applyFill="1" applyBorder="1" applyAlignment="1">
      <alignment horizontal="center" vertical="top"/>
    </xf>
    <xf numFmtId="3" fontId="4" fillId="0" borderId="18" xfId="0" applyNumberFormat="1" applyFont="1" applyFill="1" applyBorder="1" applyAlignment="1">
      <alignment vertical="top" wrapText="1"/>
    </xf>
    <xf numFmtId="3" fontId="4" fillId="0" borderId="0" xfId="0" applyNumberFormat="1" applyFont="1" applyFill="1" applyBorder="1" applyAlignment="1">
      <alignment vertical="top" wrapText="1"/>
    </xf>
    <xf numFmtId="3" fontId="1" fillId="0" borderId="27" xfId="0" applyNumberFormat="1" applyFont="1" applyFill="1" applyBorder="1" applyAlignment="1">
      <alignment horizontal="center" vertical="top"/>
    </xf>
    <xf numFmtId="0" fontId="4" fillId="0" borderId="37" xfId="0" applyFont="1" applyFill="1" applyBorder="1" applyAlignment="1">
      <alignment vertical="top" wrapText="1"/>
    </xf>
    <xf numFmtId="0" fontId="4" fillId="0" borderId="36" xfId="0" applyFont="1" applyFill="1" applyBorder="1" applyAlignment="1">
      <alignment horizontal="center" vertical="top"/>
    </xf>
    <xf numFmtId="0" fontId="4" fillId="0" borderId="4" xfId="0" applyFont="1" applyFill="1" applyBorder="1" applyAlignment="1">
      <alignment horizontal="center" vertical="top"/>
    </xf>
    <xf numFmtId="0" fontId="4" fillId="0" borderId="61" xfId="0" applyFont="1" applyFill="1" applyBorder="1" applyAlignment="1">
      <alignment horizontal="center" vertical="top"/>
    </xf>
    <xf numFmtId="3" fontId="4" fillId="0" borderId="51" xfId="0" applyNumberFormat="1" applyFont="1" applyFill="1" applyBorder="1" applyAlignment="1">
      <alignment vertical="top" wrapText="1"/>
    </xf>
    <xf numFmtId="3" fontId="4" fillId="6" borderId="51" xfId="0" applyNumberFormat="1" applyFont="1" applyFill="1" applyBorder="1" applyAlignment="1">
      <alignment horizontal="center" vertical="top"/>
    </xf>
    <xf numFmtId="3" fontId="1" fillId="0" borderId="50" xfId="0" applyNumberFormat="1" applyFont="1" applyFill="1" applyBorder="1" applyAlignment="1">
      <alignment horizontal="center" vertical="top"/>
    </xf>
    <xf numFmtId="3" fontId="1" fillId="6" borderId="66" xfId="0" applyNumberFormat="1" applyFont="1" applyFill="1" applyBorder="1" applyAlignment="1">
      <alignment horizontal="center" vertical="top"/>
    </xf>
    <xf numFmtId="3" fontId="1" fillId="0" borderId="48" xfId="0" applyNumberFormat="1" applyFont="1" applyFill="1" applyBorder="1" applyAlignment="1">
      <alignment horizontal="center" vertical="top"/>
    </xf>
    <xf numFmtId="3" fontId="1" fillId="0" borderId="42" xfId="0" applyNumberFormat="1" applyFont="1" applyFill="1" applyBorder="1" applyAlignment="1">
      <alignment horizontal="center" vertical="top" wrapText="1"/>
    </xf>
    <xf numFmtId="3" fontId="1" fillId="0" borderId="44" xfId="0" applyNumberFormat="1" applyFont="1" applyFill="1" applyBorder="1" applyAlignment="1">
      <alignment horizontal="center" vertical="top" wrapText="1"/>
    </xf>
    <xf numFmtId="3" fontId="1" fillId="0" borderId="32" xfId="0" applyNumberFormat="1" applyFont="1" applyFill="1" applyBorder="1" applyAlignment="1">
      <alignment horizontal="center" vertical="top" wrapText="1"/>
    </xf>
    <xf numFmtId="3" fontId="4" fillId="0" borderId="55" xfId="0" applyNumberFormat="1" applyFont="1" applyFill="1" applyBorder="1" applyAlignment="1">
      <alignment horizontal="center" vertical="top" wrapText="1"/>
    </xf>
    <xf numFmtId="3" fontId="4" fillId="0" borderId="21" xfId="0" applyNumberFormat="1" applyFont="1" applyFill="1" applyBorder="1" applyAlignment="1">
      <alignment horizontal="center" vertical="top" wrapText="1"/>
    </xf>
    <xf numFmtId="3" fontId="4" fillId="0" borderId="57" xfId="0" applyNumberFormat="1" applyFont="1" applyFill="1" applyBorder="1" applyAlignment="1">
      <alignment horizontal="center" vertical="top" wrapText="1"/>
    </xf>
    <xf numFmtId="3" fontId="4" fillId="7" borderId="58" xfId="0" applyNumberFormat="1" applyFont="1" applyFill="1" applyBorder="1" applyAlignment="1">
      <alignment horizontal="center" vertical="top" wrapText="1"/>
    </xf>
    <xf numFmtId="49" fontId="4" fillId="0" borderId="12" xfId="0" applyNumberFormat="1" applyFont="1" applyBorder="1" applyAlignment="1">
      <alignment horizontal="center" vertical="top" wrapText="1"/>
    </xf>
    <xf numFmtId="3" fontId="4" fillId="6" borderId="0" xfId="0" applyNumberFormat="1" applyFont="1" applyFill="1" applyBorder="1" applyAlignment="1">
      <alignment horizontal="center" vertical="top"/>
    </xf>
    <xf numFmtId="3" fontId="4" fillId="0" borderId="70" xfId="0" applyNumberFormat="1" applyFont="1" applyFill="1" applyBorder="1" applyAlignment="1">
      <alignment vertical="top" wrapText="1"/>
    </xf>
    <xf numFmtId="3" fontId="4" fillId="0" borderId="33" xfId="0" applyNumberFormat="1" applyFont="1" applyFill="1" applyBorder="1" applyAlignment="1">
      <alignment horizontal="center" vertical="top"/>
    </xf>
    <xf numFmtId="3" fontId="4" fillId="0" borderId="34" xfId="0" applyNumberFormat="1" applyFont="1" applyFill="1" applyBorder="1" applyAlignment="1">
      <alignment horizontal="center" vertical="top"/>
    </xf>
    <xf numFmtId="3" fontId="4" fillId="0" borderId="77" xfId="0" applyNumberFormat="1" applyFont="1" applyFill="1" applyBorder="1" applyAlignment="1">
      <alignment horizontal="center" vertical="top"/>
    </xf>
    <xf numFmtId="49" fontId="4" fillId="7" borderId="61" xfId="0" applyNumberFormat="1" applyFont="1" applyFill="1" applyBorder="1" applyAlignment="1">
      <alignment horizontal="center" vertical="top"/>
    </xf>
    <xf numFmtId="49" fontId="4" fillId="7" borderId="54" xfId="0" applyNumberFormat="1" applyFont="1" applyFill="1" applyBorder="1" applyAlignment="1">
      <alignment horizontal="center" vertical="top"/>
    </xf>
    <xf numFmtId="49" fontId="4" fillId="7" borderId="60" xfId="0" applyNumberFormat="1" applyFont="1" applyFill="1" applyBorder="1" applyAlignment="1">
      <alignment horizontal="center" vertical="top"/>
    </xf>
    <xf numFmtId="3" fontId="6" fillId="5" borderId="8" xfId="0" applyNumberFormat="1" applyFont="1" applyFill="1" applyBorder="1" applyAlignment="1">
      <alignment horizontal="center" vertical="top"/>
    </xf>
    <xf numFmtId="3" fontId="6" fillId="5" borderId="77" xfId="0" applyNumberFormat="1" applyFont="1" applyFill="1" applyBorder="1" applyAlignment="1">
      <alignment horizontal="center" vertical="top"/>
    </xf>
    <xf numFmtId="3" fontId="6" fillId="5" borderId="34" xfId="0" applyNumberFormat="1" applyFont="1" applyFill="1" applyBorder="1" applyAlignment="1">
      <alignment horizontal="center" vertical="top"/>
    </xf>
    <xf numFmtId="3" fontId="6" fillId="5" borderId="9" xfId="0" applyNumberFormat="1" applyFont="1" applyFill="1" applyBorder="1" applyAlignment="1">
      <alignment horizontal="center" vertical="top"/>
    </xf>
    <xf numFmtId="3" fontId="3" fillId="4" borderId="77" xfId="0" applyNumberFormat="1" applyFont="1" applyFill="1" applyBorder="1" applyAlignment="1">
      <alignment horizontal="center" vertical="top"/>
    </xf>
    <xf numFmtId="3" fontId="3" fillId="4" borderId="34" xfId="0" applyNumberFormat="1" applyFont="1" applyFill="1" applyBorder="1" applyAlignment="1">
      <alignment horizontal="center" vertical="top"/>
    </xf>
    <xf numFmtId="3" fontId="3" fillId="4" borderId="9" xfId="0" applyNumberFormat="1" applyFont="1" applyFill="1" applyBorder="1" applyAlignment="1">
      <alignment horizontal="center" vertical="top"/>
    </xf>
    <xf numFmtId="3" fontId="3" fillId="3" borderId="62" xfId="0" applyNumberFormat="1" applyFont="1" applyFill="1" applyBorder="1" applyAlignment="1">
      <alignment horizontal="center" vertical="top" wrapText="1"/>
    </xf>
    <xf numFmtId="3" fontId="3" fillId="3" borderId="77" xfId="0" applyNumberFormat="1" applyFont="1" applyFill="1" applyBorder="1" applyAlignment="1">
      <alignment horizontal="center" vertical="top" wrapText="1"/>
    </xf>
    <xf numFmtId="3" fontId="3" fillId="3" borderId="22"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3" fontId="1" fillId="0" borderId="0" xfId="0" applyNumberFormat="1" applyFont="1" applyFill="1" applyBorder="1" applyAlignment="1">
      <alignment vertical="top" wrapText="1"/>
    </xf>
    <xf numFmtId="49" fontId="4" fillId="0" borderId="0" xfId="0" applyNumberFormat="1" applyFont="1" applyFill="1" applyBorder="1" applyAlignment="1">
      <alignment horizontal="center" vertical="center" wrapText="1"/>
    </xf>
    <xf numFmtId="3" fontId="1" fillId="0" borderId="33" xfId="0" applyNumberFormat="1" applyFont="1" applyBorder="1" applyAlignment="1">
      <alignment horizontal="center" vertical="top" wrapText="1"/>
    </xf>
    <xf numFmtId="3" fontId="1" fillId="0" borderId="9" xfId="0" applyNumberFormat="1" applyFont="1" applyBorder="1" applyAlignment="1">
      <alignment vertical="top" wrapText="1"/>
    </xf>
    <xf numFmtId="3" fontId="1" fillId="0" borderId="10" xfId="0" applyNumberFormat="1" applyFont="1" applyBorder="1" applyAlignment="1">
      <alignment vertical="top" wrapText="1"/>
    </xf>
    <xf numFmtId="3" fontId="1" fillId="0" borderId="70" xfId="0" applyNumberFormat="1" applyFont="1" applyBorder="1" applyAlignment="1">
      <alignment horizontal="center" vertical="top" wrapText="1"/>
    </xf>
    <xf numFmtId="3" fontId="6" fillId="3" borderId="8" xfId="0" applyNumberFormat="1" applyFont="1" applyFill="1" applyBorder="1" applyAlignment="1">
      <alignment horizontal="center" vertical="top" wrapText="1"/>
    </xf>
    <xf numFmtId="3" fontId="6" fillId="3" borderId="77" xfId="0" applyNumberFormat="1" applyFont="1" applyFill="1" applyBorder="1" applyAlignment="1">
      <alignment horizontal="center" vertical="top" wrapText="1"/>
    </xf>
    <xf numFmtId="3" fontId="6" fillId="3" borderId="33" xfId="0" applyNumberFormat="1" applyFont="1" applyFill="1" applyBorder="1" applyAlignment="1">
      <alignment horizontal="center" vertical="top" wrapText="1"/>
    </xf>
    <xf numFmtId="3" fontId="6" fillId="3" borderId="9" xfId="0" applyNumberFormat="1" applyFont="1" applyFill="1" applyBorder="1" applyAlignment="1">
      <alignment vertical="top" wrapText="1"/>
    </xf>
    <xf numFmtId="3" fontId="6" fillId="3" borderId="10" xfId="0" applyNumberFormat="1" applyFont="1" applyFill="1" applyBorder="1" applyAlignment="1">
      <alignment vertical="top" wrapText="1"/>
    </xf>
    <xf numFmtId="3" fontId="6" fillId="3" borderId="10" xfId="0" applyNumberFormat="1" applyFont="1" applyFill="1" applyBorder="1" applyAlignment="1">
      <alignment horizontal="center" vertical="top" wrapText="1"/>
    </xf>
    <xf numFmtId="3" fontId="6" fillId="3" borderId="70" xfId="0" applyNumberFormat="1" applyFont="1" applyFill="1" applyBorder="1" applyAlignment="1">
      <alignment horizontal="center" vertical="top" wrapText="1"/>
    </xf>
    <xf numFmtId="3" fontId="1" fillId="0" borderId="37" xfId="0" applyNumberFormat="1" applyFont="1" applyBorder="1" applyAlignment="1">
      <alignment horizontal="center" vertical="top" wrapText="1"/>
    </xf>
    <xf numFmtId="3" fontId="1" fillId="0" borderId="61"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3" fontId="1" fillId="0" borderId="28" xfId="0" applyNumberFormat="1" applyFont="1" applyBorder="1" applyAlignment="1">
      <alignment vertical="top" wrapText="1"/>
    </xf>
    <xf numFmtId="3" fontId="1" fillId="0" borderId="29" xfId="0" applyNumberFormat="1" applyFont="1" applyBorder="1" applyAlignment="1">
      <alignment vertical="top" wrapText="1"/>
    </xf>
    <xf numFmtId="3" fontId="1" fillId="0" borderId="6" xfId="0" applyNumberFormat="1" applyFont="1" applyBorder="1" applyAlignment="1">
      <alignment horizontal="center" vertical="top" wrapText="1"/>
    </xf>
    <xf numFmtId="3" fontId="1" fillId="0" borderId="30" xfId="0" applyNumberFormat="1" applyFont="1" applyBorder="1" applyAlignment="1">
      <alignment horizontal="center" vertical="top" wrapText="1"/>
    </xf>
    <xf numFmtId="3" fontId="1" fillId="0" borderId="47" xfId="0" applyNumberFormat="1" applyFont="1" applyBorder="1" applyAlignment="1">
      <alignment horizontal="center" vertical="top" wrapText="1"/>
    </xf>
    <xf numFmtId="3" fontId="1" fillId="0" borderId="11" xfId="0" applyNumberFormat="1" applyFont="1" applyBorder="1" applyAlignment="1">
      <alignment horizontal="center" vertical="top" wrapText="1"/>
    </xf>
    <xf numFmtId="3" fontId="1" fillId="0" borderId="18" xfId="0" applyNumberFormat="1" applyFont="1" applyBorder="1" applyAlignment="1">
      <alignment vertical="top" wrapText="1"/>
    </xf>
    <xf numFmtId="3" fontId="1" fillId="0" borderId="19" xfId="0" applyNumberFormat="1" applyFont="1" applyBorder="1" applyAlignment="1">
      <alignment vertical="top" wrapText="1"/>
    </xf>
    <xf numFmtId="3" fontId="1" fillId="0" borderId="19" xfId="0" applyNumberFormat="1" applyFont="1" applyBorder="1" applyAlignment="1">
      <alignment horizontal="center" vertical="top" wrapText="1"/>
    </xf>
    <xf numFmtId="3" fontId="1" fillId="0" borderId="46" xfId="0" applyNumberFormat="1" applyFont="1" applyBorder="1" applyAlignment="1">
      <alignment horizontal="center" vertical="top" wrapText="1"/>
    </xf>
    <xf numFmtId="3" fontId="1" fillId="0" borderId="45" xfId="0" applyNumberFormat="1" applyFont="1" applyFill="1" applyBorder="1" applyAlignment="1">
      <alignment horizontal="center" vertical="top" wrapText="1"/>
    </xf>
    <xf numFmtId="3" fontId="1" fillId="0" borderId="11" xfId="0" applyNumberFormat="1" applyFont="1" applyFill="1" applyBorder="1" applyAlignment="1">
      <alignment horizontal="center" vertical="top" wrapText="1"/>
    </xf>
    <xf numFmtId="3" fontId="1" fillId="0" borderId="18" xfId="0" applyNumberFormat="1" applyFont="1" applyFill="1" applyBorder="1" applyAlignment="1">
      <alignment vertical="top" wrapText="1"/>
    </xf>
    <xf numFmtId="3" fontId="1" fillId="0" borderId="19" xfId="0" applyNumberFormat="1" applyFont="1" applyFill="1" applyBorder="1" applyAlignment="1">
      <alignment vertical="top" wrapText="1"/>
    </xf>
    <xf numFmtId="3" fontId="1" fillId="0" borderId="15" xfId="0" applyNumberFormat="1" applyFont="1" applyFill="1" applyBorder="1" applyAlignment="1">
      <alignment horizontal="center" vertical="top" wrapText="1"/>
    </xf>
    <xf numFmtId="3" fontId="1" fillId="0" borderId="55" xfId="0" applyNumberFormat="1" applyFont="1" applyFill="1" applyBorder="1" applyAlignment="1">
      <alignment horizontal="center" vertical="top" wrapText="1"/>
    </xf>
    <xf numFmtId="3" fontId="1" fillId="0" borderId="26" xfId="0" applyNumberFormat="1" applyFont="1" applyFill="1" applyBorder="1" applyAlignment="1">
      <alignment horizontal="center" vertical="top" wrapText="1"/>
    </xf>
    <xf numFmtId="3" fontId="1" fillId="0" borderId="20" xfId="0" applyNumberFormat="1" applyFont="1" applyFill="1" applyBorder="1" applyAlignment="1">
      <alignment horizontal="center" vertical="top" wrapText="1"/>
    </xf>
    <xf numFmtId="3" fontId="1" fillId="0" borderId="56" xfId="0" applyNumberFormat="1" applyFont="1" applyFill="1" applyBorder="1" applyAlignment="1">
      <alignment vertical="top" wrapText="1"/>
    </xf>
    <xf numFmtId="3" fontId="1" fillId="0" borderId="57" xfId="0" applyNumberFormat="1" applyFont="1" applyFill="1" applyBorder="1" applyAlignment="1">
      <alignment vertical="top" wrapText="1"/>
    </xf>
    <xf numFmtId="3" fontId="1" fillId="0" borderId="57" xfId="0" applyNumberFormat="1" applyFont="1" applyFill="1" applyBorder="1" applyAlignment="1">
      <alignment horizontal="center" vertical="top" wrapText="1"/>
    </xf>
    <xf numFmtId="3" fontId="1" fillId="0" borderId="58" xfId="0" applyNumberFormat="1" applyFont="1" applyFill="1" applyBorder="1" applyAlignment="1">
      <alignment horizontal="center" vertical="top" wrapText="1"/>
    </xf>
    <xf numFmtId="3" fontId="1" fillId="0" borderId="15" xfId="0" applyNumberFormat="1" applyFont="1" applyBorder="1" applyAlignment="1">
      <alignment horizontal="center" vertical="top" wrapText="1"/>
    </xf>
    <xf numFmtId="3" fontId="1" fillId="0" borderId="55" xfId="0" applyNumberFormat="1" applyFont="1" applyBorder="1" applyAlignment="1">
      <alignment horizontal="center" vertical="top" wrapText="1"/>
    </xf>
    <xf numFmtId="3" fontId="1" fillId="0" borderId="26" xfId="0" applyNumberFormat="1" applyFont="1" applyBorder="1" applyAlignment="1">
      <alignment horizontal="center" vertical="top" wrapText="1"/>
    </xf>
    <xf numFmtId="3" fontId="1" fillId="0" borderId="20" xfId="0" applyNumberFormat="1" applyFont="1" applyBorder="1" applyAlignment="1">
      <alignment horizontal="center" vertical="top" wrapText="1"/>
    </xf>
    <xf numFmtId="3" fontId="1" fillId="0" borderId="56" xfId="0" applyNumberFormat="1" applyFont="1" applyBorder="1" applyAlignment="1">
      <alignment vertical="top" wrapText="1"/>
    </xf>
    <xf numFmtId="3" fontId="1" fillId="0" borderId="57" xfId="0" applyNumberFormat="1" applyFont="1" applyBorder="1" applyAlignment="1">
      <alignment vertical="top" wrapText="1"/>
    </xf>
    <xf numFmtId="3" fontId="6" fillId="8" borderId="8" xfId="0" applyNumberFormat="1" applyFont="1" applyFill="1" applyBorder="1" applyAlignment="1">
      <alignment horizontal="center" vertical="top" wrapText="1"/>
    </xf>
    <xf numFmtId="3" fontId="6" fillId="8" borderId="77" xfId="0" applyNumberFormat="1" applyFont="1" applyFill="1" applyBorder="1" applyAlignment="1">
      <alignment horizontal="center" vertical="top" wrapText="1"/>
    </xf>
    <xf numFmtId="3" fontId="6" fillId="8" borderId="33" xfId="0" applyNumberFormat="1" applyFont="1" applyFill="1" applyBorder="1" applyAlignment="1">
      <alignment horizontal="center" vertical="top" wrapText="1"/>
    </xf>
    <xf numFmtId="3" fontId="6" fillId="8" borderId="9" xfId="0" applyNumberFormat="1" applyFont="1" applyFill="1" applyBorder="1" applyAlignment="1">
      <alignment vertical="top" wrapText="1"/>
    </xf>
    <xf numFmtId="3" fontId="6" fillId="8" borderId="10" xfId="0" applyNumberFormat="1" applyFont="1" applyFill="1" applyBorder="1" applyAlignment="1">
      <alignment vertical="top" wrapText="1"/>
    </xf>
    <xf numFmtId="3" fontId="6" fillId="8" borderId="10" xfId="0" applyNumberFormat="1" applyFont="1" applyFill="1" applyBorder="1" applyAlignment="1">
      <alignment horizontal="center" vertical="top" wrapText="1"/>
    </xf>
    <xf numFmtId="3" fontId="6" fillId="8" borderId="70" xfId="0" applyNumberFormat="1" applyFont="1" applyFill="1" applyBorder="1" applyAlignment="1">
      <alignment horizontal="center" vertical="top" wrapText="1"/>
    </xf>
    <xf numFmtId="3" fontId="1" fillId="0" borderId="0" xfId="0" applyNumberFormat="1" applyFont="1" applyAlignment="1">
      <alignment horizontal="center" vertical="center" textRotation="90" wrapText="1"/>
    </xf>
    <xf numFmtId="3" fontId="7" fillId="0" borderId="27" xfId="0" applyNumberFormat="1" applyFont="1" applyBorder="1" applyAlignment="1">
      <alignment horizontal="center" vertical="top" wrapText="1"/>
    </xf>
    <xf numFmtId="3" fontId="7" fillId="0" borderId="67" xfId="0" applyNumberFormat="1" applyFont="1" applyBorder="1" applyAlignment="1">
      <alignment horizontal="center" vertical="top" wrapText="1"/>
    </xf>
    <xf numFmtId="3" fontId="3" fillId="5" borderId="75" xfId="0" applyNumberFormat="1" applyFont="1" applyFill="1" applyBorder="1" applyAlignment="1">
      <alignment horizontal="center" vertical="top"/>
    </xf>
    <xf numFmtId="49" fontId="3" fillId="0" borderId="50" xfId="0" applyNumberFormat="1" applyFont="1" applyBorder="1" applyAlignment="1">
      <alignment horizontal="center" vertical="top" wrapText="1"/>
    </xf>
    <xf numFmtId="3" fontId="4" fillId="0" borderId="80" xfId="0" applyNumberFormat="1" applyFont="1" applyFill="1" applyBorder="1" applyAlignment="1">
      <alignment horizontal="center" vertical="top"/>
    </xf>
    <xf numFmtId="49" fontId="3" fillId="0" borderId="50" xfId="0" applyNumberFormat="1" applyFont="1" applyBorder="1" applyAlignment="1">
      <alignment horizontal="center" vertical="top"/>
    </xf>
    <xf numFmtId="3" fontId="4" fillId="0" borderId="48" xfId="0" applyNumberFormat="1" applyFont="1" applyBorder="1" applyAlignment="1">
      <alignment horizontal="center" vertical="center" textRotation="90" wrapText="1"/>
    </xf>
    <xf numFmtId="3" fontId="3" fillId="8" borderId="18"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top"/>
    </xf>
    <xf numFmtId="3" fontId="3" fillId="6" borderId="41" xfId="0" applyNumberFormat="1" applyFont="1" applyFill="1" applyBorder="1" applyAlignment="1">
      <alignment horizontal="center" vertical="top"/>
    </xf>
    <xf numFmtId="3" fontId="1" fillId="6" borderId="0" xfId="0" applyNumberFormat="1" applyFont="1" applyFill="1" applyBorder="1" applyAlignment="1">
      <alignment horizontal="center" vertical="top"/>
    </xf>
    <xf numFmtId="3" fontId="1" fillId="6" borderId="54" xfId="0" applyNumberFormat="1" applyFont="1" applyFill="1" applyBorder="1" applyAlignment="1">
      <alignment horizontal="center" vertical="top"/>
    </xf>
    <xf numFmtId="3" fontId="4" fillId="6" borderId="54" xfId="0" applyNumberFormat="1" applyFont="1" applyFill="1" applyBorder="1" applyAlignment="1">
      <alignment vertical="top" wrapText="1"/>
    </xf>
    <xf numFmtId="3" fontId="4" fillId="6" borderId="53" xfId="0" applyNumberFormat="1" applyFont="1" applyFill="1" applyBorder="1" applyAlignment="1">
      <alignment vertical="top" wrapText="1"/>
    </xf>
    <xf numFmtId="49" fontId="4" fillId="7" borderId="53" xfId="0" applyNumberFormat="1" applyFont="1" applyFill="1" applyBorder="1" applyAlignment="1">
      <alignment horizontal="center" vertical="top"/>
    </xf>
    <xf numFmtId="0" fontId="4" fillId="6" borderId="48" xfId="0" applyFont="1" applyFill="1" applyBorder="1" applyAlignment="1">
      <alignment vertical="top" wrapText="1"/>
    </xf>
    <xf numFmtId="0" fontId="4" fillId="0" borderId="49" xfId="0" applyFont="1" applyFill="1" applyBorder="1" applyAlignment="1">
      <alignment vertical="top" wrapText="1"/>
    </xf>
    <xf numFmtId="3" fontId="3" fillId="0" borderId="52" xfId="0" applyNumberFormat="1" applyFont="1" applyFill="1" applyBorder="1" applyAlignment="1">
      <alignment vertical="center" textRotation="90" wrapText="1"/>
    </xf>
    <xf numFmtId="3" fontId="4" fillId="0" borderId="30" xfId="0" applyNumberFormat="1" applyFont="1" applyFill="1" applyBorder="1" applyAlignment="1">
      <alignment horizontal="left" vertical="top" wrapText="1"/>
    </xf>
    <xf numFmtId="3" fontId="3" fillId="0" borderId="24" xfId="0" applyNumberFormat="1" applyFont="1" applyFill="1" applyBorder="1" applyAlignment="1">
      <alignment horizontal="center" vertical="top" wrapText="1"/>
    </xf>
    <xf numFmtId="3" fontId="4" fillId="0" borderId="62" xfId="0" applyNumberFormat="1" applyFont="1" applyFill="1" applyBorder="1" applyAlignment="1">
      <alignment horizontal="left" vertical="top" wrapText="1"/>
    </xf>
    <xf numFmtId="3" fontId="3" fillId="4" borderId="52" xfId="0" applyNumberFormat="1" applyFont="1" applyFill="1" applyBorder="1" applyAlignment="1">
      <alignment vertical="top"/>
    </xf>
    <xf numFmtId="49" fontId="6" fillId="7" borderId="50" xfId="0" applyNumberFormat="1" applyFont="1" applyFill="1" applyBorder="1" applyAlignment="1">
      <alignment horizontal="center" vertical="top"/>
    </xf>
    <xf numFmtId="3" fontId="3" fillId="0" borderId="0" xfId="0" applyNumberFormat="1" applyFont="1" applyBorder="1" applyAlignment="1">
      <alignment horizontal="center" vertical="top"/>
    </xf>
    <xf numFmtId="3" fontId="3" fillId="0" borderId="35" xfId="0" applyNumberFormat="1" applyFont="1" applyBorder="1" applyAlignment="1">
      <alignment horizontal="center" vertical="top"/>
    </xf>
    <xf numFmtId="3" fontId="4" fillId="0" borderId="48" xfId="0" applyNumberFormat="1" applyFont="1" applyBorder="1" applyAlignment="1">
      <alignment horizontal="left" vertical="top" wrapText="1"/>
    </xf>
    <xf numFmtId="3" fontId="4" fillId="0" borderId="75" xfId="0" applyNumberFormat="1" applyFont="1" applyBorder="1" applyAlignment="1">
      <alignment horizontal="center" vertical="top"/>
    </xf>
    <xf numFmtId="0" fontId="4" fillId="0" borderId="47" xfId="0" applyFont="1" applyFill="1" applyBorder="1" applyAlignment="1">
      <alignment horizontal="center" vertical="top" wrapText="1"/>
    </xf>
    <xf numFmtId="164" fontId="4" fillId="7" borderId="66" xfId="0" applyNumberFormat="1" applyFont="1" applyFill="1" applyBorder="1" applyAlignment="1">
      <alignment horizontal="center" vertical="top" wrapText="1"/>
    </xf>
    <xf numFmtId="49" fontId="6" fillId="7" borderId="75" xfId="0" applyNumberFormat="1" applyFont="1" applyFill="1" applyBorder="1" applyAlignment="1">
      <alignment horizontal="center" vertical="top"/>
    </xf>
    <xf numFmtId="3" fontId="4" fillId="6" borderId="13" xfId="0" applyNumberFormat="1" applyFont="1" applyFill="1" applyBorder="1" applyAlignment="1">
      <alignment horizontal="center" vertical="top" wrapText="1"/>
    </xf>
    <xf numFmtId="3" fontId="1" fillId="0" borderId="54" xfId="0" applyNumberFormat="1" applyFont="1" applyFill="1" applyBorder="1" applyAlignment="1">
      <alignment vertical="top"/>
    </xf>
    <xf numFmtId="3" fontId="1" fillId="0" borderId="53" xfId="0" applyNumberFormat="1" applyFont="1" applyFill="1" applyBorder="1" applyAlignment="1">
      <alignment vertical="top"/>
    </xf>
    <xf numFmtId="3" fontId="4" fillId="0" borderId="38" xfId="0" applyNumberFormat="1" applyFont="1" applyFill="1" applyBorder="1" applyAlignment="1">
      <alignment vertical="top" wrapText="1"/>
    </xf>
    <xf numFmtId="3" fontId="3" fillId="0" borderId="54" xfId="0" applyNumberFormat="1" applyFont="1" applyFill="1" applyBorder="1" applyAlignment="1">
      <alignment horizontal="center" vertical="top" wrapText="1"/>
    </xf>
    <xf numFmtId="3" fontId="3" fillId="0" borderId="45" xfId="0" applyNumberFormat="1" applyFont="1" applyFill="1" applyBorder="1" applyAlignment="1">
      <alignment horizontal="center" vertical="top" wrapText="1"/>
    </xf>
    <xf numFmtId="3" fontId="3" fillId="0" borderId="53" xfId="0" applyNumberFormat="1" applyFont="1" applyFill="1" applyBorder="1" applyAlignment="1">
      <alignment horizontal="center" vertical="top" wrapText="1"/>
    </xf>
    <xf numFmtId="3" fontId="3" fillId="0" borderId="53" xfId="0" applyNumberFormat="1" applyFont="1" applyBorder="1" applyAlignment="1">
      <alignment horizontal="center" vertical="top"/>
    </xf>
    <xf numFmtId="3" fontId="3" fillId="0" borderId="53" xfId="0" applyNumberFormat="1" applyFont="1" applyBorder="1" applyAlignment="1">
      <alignment horizontal="center" vertical="top" wrapText="1"/>
    </xf>
    <xf numFmtId="3" fontId="6" fillId="0" borderId="54" xfId="0" applyNumberFormat="1" applyFont="1" applyBorder="1" applyAlignment="1">
      <alignment horizontal="center" vertical="top" wrapText="1"/>
    </xf>
    <xf numFmtId="3" fontId="3" fillId="10" borderId="55" xfId="0" applyNumberFormat="1" applyFont="1" applyFill="1" applyBorder="1" applyAlignment="1">
      <alignment horizontal="center" vertical="top"/>
    </xf>
    <xf numFmtId="3" fontId="3" fillId="10" borderId="57" xfId="0" applyNumberFormat="1" applyFont="1" applyFill="1" applyBorder="1" applyAlignment="1">
      <alignment horizontal="center" vertical="top"/>
    </xf>
    <xf numFmtId="3" fontId="4" fillId="6" borderId="63" xfId="0" applyNumberFormat="1" applyFont="1" applyFill="1" applyBorder="1" applyAlignment="1">
      <alignment horizontal="center" vertical="top"/>
    </xf>
    <xf numFmtId="3" fontId="11" fillId="6" borderId="11" xfId="0" applyNumberFormat="1" applyFont="1" applyFill="1" applyBorder="1" applyAlignment="1">
      <alignment horizontal="center" vertical="top"/>
    </xf>
    <xf numFmtId="3" fontId="11" fillId="6" borderId="12" xfId="0" applyNumberFormat="1" applyFont="1" applyFill="1" applyBorder="1" applyAlignment="1">
      <alignment horizontal="center" vertical="top"/>
    </xf>
    <xf numFmtId="3" fontId="11" fillId="6" borderId="71" xfId="0" applyNumberFormat="1" applyFont="1" applyFill="1" applyBorder="1" applyAlignment="1">
      <alignment horizontal="center" vertical="top"/>
    </xf>
    <xf numFmtId="3" fontId="4" fillId="6" borderId="71" xfId="0" applyNumberFormat="1" applyFont="1" applyFill="1" applyBorder="1" applyAlignment="1">
      <alignment horizontal="center" vertical="top"/>
    </xf>
    <xf numFmtId="3" fontId="4" fillId="0" borderId="73" xfId="0" applyNumberFormat="1" applyFont="1" applyFill="1" applyBorder="1" applyAlignment="1">
      <alignment horizontal="center" vertical="top"/>
    </xf>
    <xf numFmtId="3" fontId="4" fillId="6" borderId="16" xfId="0" applyNumberFormat="1" applyFont="1" applyFill="1" applyBorder="1" applyAlignment="1">
      <alignment horizontal="center" vertical="top"/>
    </xf>
    <xf numFmtId="3" fontId="3" fillId="10" borderId="21" xfId="0" applyNumberFormat="1" applyFont="1" applyFill="1" applyBorder="1" applyAlignment="1">
      <alignment horizontal="center" vertical="top"/>
    </xf>
    <xf numFmtId="3" fontId="3" fillId="0" borderId="41" xfId="0" applyNumberFormat="1" applyFont="1" applyFill="1" applyBorder="1" applyAlignment="1">
      <alignment horizontal="center" vertical="top" textRotation="180" wrapText="1"/>
    </xf>
    <xf numFmtId="3" fontId="4" fillId="0" borderId="39" xfId="0" applyNumberFormat="1" applyFont="1" applyFill="1" applyBorder="1" applyAlignment="1">
      <alignment vertical="top" textRotation="90" wrapText="1"/>
    </xf>
    <xf numFmtId="3" fontId="4" fillId="0" borderId="52" xfId="0" applyNumberFormat="1" applyFont="1" applyFill="1" applyBorder="1" applyAlignment="1">
      <alignment vertical="top" textRotation="90" wrapText="1"/>
    </xf>
    <xf numFmtId="49" fontId="4" fillId="0" borderId="50" xfId="0" applyNumberFormat="1" applyFont="1" applyBorder="1" applyAlignment="1">
      <alignment vertical="top" wrapText="1"/>
    </xf>
    <xf numFmtId="3" fontId="3" fillId="0" borderId="54" xfId="0" applyNumberFormat="1" applyFont="1" applyBorder="1" applyAlignment="1">
      <alignment vertical="top"/>
    </xf>
    <xf numFmtId="3" fontId="3" fillId="0" borderId="53" xfId="0" applyNumberFormat="1" applyFont="1" applyBorder="1" applyAlignment="1">
      <alignment vertical="top"/>
    </xf>
    <xf numFmtId="0" fontId="4" fillId="0" borderId="49" xfId="0" applyFont="1" applyFill="1" applyBorder="1" applyAlignment="1">
      <alignment horizontal="center" vertical="top" wrapText="1"/>
    </xf>
    <xf numFmtId="3" fontId="4" fillId="0" borderId="48" xfId="0" applyNumberFormat="1" applyFont="1" applyBorder="1" applyAlignment="1">
      <alignment vertical="center" textRotation="90" wrapText="1"/>
    </xf>
    <xf numFmtId="3" fontId="4" fillId="6" borderId="25" xfId="0" applyNumberFormat="1" applyFont="1" applyFill="1" applyBorder="1" applyAlignment="1">
      <alignment vertical="top" wrapText="1"/>
    </xf>
    <xf numFmtId="0" fontId="4" fillId="0" borderId="52" xfId="0" applyNumberFormat="1" applyFont="1" applyFill="1" applyBorder="1" applyAlignment="1">
      <alignment horizontal="center" vertical="top"/>
    </xf>
    <xf numFmtId="0" fontId="4" fillId="0" borderId="50" xfId="0" applyNumberFormat="1" applyFont="1" applyFill="1" applyBorder="1" applyAlignment="1">
      <alignment horizontal="center" vertical="top"/>
    </xf>
    <xf numFmtId="0" fontId="4" fillId="0" borderId="53" xfId="0" applyNumberFormat="1" applyFont="1" applyFill="1" applyBorder="1" applyAlignment="1">
      <alignment horizontal="center" vertical="top"/>
    </xf>
    <xf numFmtId="3" fontId="4" fillId="0" borderId="38" xfId="0" applyNumberFormat="1" applyFont="1" applyFill="1" applyBorder="1" applyAlignment="1">
      <alignment horizontal="center" vertical="top" wrapText="1"/>
    </xf>
    <xf numFmtId="3" fontId="4" fillId="0" borderId="38" xfId="0" applyNumberFormat="1" applyFont="1" applyBorder="1" applyAlignment="1">
      <alignment horizontal="center" vertical="top" wrapText="1"/>
    </xf>
    <xf numFmtId="3" fontId="4" fillId="6" borderId="78" xfId="0" applyNumberFormat="1" applyFont="1" applyFill="1" applyBorder="1" applyAlignment="1">
      <alignment horizontal="center" vertical="top"/>
    </xf>
    <xf numFmtId="3" fontId="4" fillId="0" borderId="27" xfId="0" applyNumberFormat="1" applyFont="1" applyBorder="1" applyAlignment="1">
      <alignment horizontal="center" vertical="top"/>
    </xf>
    <xf numFmtId="3" fontId="4" fillId="0" borderId="3" xfId="0" applyNumberFormat="1" applyFont="1" applyBorder="1" applyAlignment="1">
      <alignment horizontal="center" vertical="top"/>
    </xf>
    <xf numFmtId="3" fontId="4" fillId="0" borderId="67" xfId="0" applyNumberFormat="1" applyFont="1" applyBorder="1" applyAlignment="1">
      <alignment horizontal="center" vertical="top"/>
    </xf>
    <xf numFmtId="164" fontId="1" fillId="0" borderId="27" xfId="0" applyNumberFormat="1" applyFont="1" applyFill="1" applyBorder="1" applyAlignment="1">
      <alignment horizontal="center" vertical="top"/>
    </xf>
    <xf numFmtId="3" fontId="4" fillId="7" borderId="37" xfId="0" applyNumberFormat="1" applyFont="1" applyFill="1" applyBorder="1" applyAlignment="1">
      <alignment horizontal="center" vertical="top"/>
    </xf>
    <xf numFmtId="3" fontId="4" fillId="7" borderId="67" xfId="0" applyNumberFormat="1" applyFont="1" applyFill="1" applyBorder="1" applyAlignment="1">
      <alignment horizontal="center" vertical="top"/>
    </xf>
    <xf numFmtId="3" fontId="4" fillId="7" borderId="3" xfId="0" applyNumberFormat="1" applyFont="1" applyFill="1" applyBorder="1" applyAlignment="1">
      <alignment horizontal="center" vertical="top"/>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47" xfId="0" applyFont="1" applyBorder="1" applyAlignment="1">
      <alignment horizontal="center" vertical="top" wrapText="1"/>
    </xf>
    <xf numFmtId="3" fontId="4" fillId="6" borderId="48" xfId="0" applyNumberFormat="1" applyFont="1" applyFill="1" applyBorder="1" applyAlignment="1">
      <alignment horizontal="center" vertical="top" wrapText="1"/>
    </xf>
    <xf numFmtId="3" fontId="4" fillId="0" borderId="42" xfId="0" applyNumberFormat="1" applyFont="1" applyBorder="1" applyAlignment="1">
      <alignment vertical="top" wrapText="1"/>
    </xf>
    <xf numFmtId="3" fontId="4" fillId="0" borderId="30" xfId="0" applyNumberFormat="1" applyFont="1" applyBorder="1" applyAlignment="1">
      <alignment vertical="top" wrapText="1"/>
    </xf>
    <xf numFmtId="49" fontId="4" fillId="10" borderId="54" xfId="0" applyNumberFormat="1" applyFont="1" applyFill="1" applyBorder="1" applyAlignment="1">
      <alignment horizontal="center" vertical="top" wrapText="1"/>
    </xf>
    <xf numFmtId="3" fontId="4" fillId="0" borderId="41" xfId="0" applyNumberFormat="1" applyFont="1" applyBorder="1" applyAlignment="1">
      <alignment horizontal="center" vertical="top"/>
    </xf>
    <xf numFmtId="3" fontId="4" fillId="0" borderId="13" xfId="0" applyNumberFormat="1" applyFont="1" applyBorder="1" applyAlignment="1">
      <alignment horizontal="center" vertical="top"/>
    </xf>
    <xf numFmtId="3" fontId="4" fillId="0" borderId="54" xfId="0" applyNumberFormat="1" applyFont="1" applyBorder="1" applyAlignment="1">
      <alignment horizontal="center" vertical="top"/>
    </xf>
    <xf numFmtId="165" fontId="4" fillId="0" borderId="48" xfId="0" applyNumberFormat="1" applyFont="1" applyBorder="1" applyAlignment="1">
      <alignment horizontal="left" vertical="top" wrapText="1"/>
    </xf>
    <xf numFmtId="49" fontId="4" fillId="0" borderId="50" xfId="0" applyNumberFormat="1" applyFont="1" applyFill="1" applyBorder="1" applyAlignment="1">
      <alignment horizontal="center" vertical="center"/>
    </xf>
    <xf numFmtId="49" fontId="4" fillId="0" borderId="53" xfId="0" applyNumberFormat="1" applyFont="1" applyFill="1" applyBorder="1" applyAlignment="1">
      <alignment horizontal="right" vertical="center"/>
    </xf>
    <xf numFmtId="3" fontId="1" fillId="6" borderId="48" xfId="0" applyNumberFormat="1" applyFont="1" applyFill="1" applyBorder="1" applyAlignment="1">
      <alignment vertical="top" wrapText="1"/>
    </xf>
    <xf numFmtId="3" fontId="6" fillId="0" borderId="51" xfId="0" applyNumberFormat="1" applyFont="1" applyBorder="1" applyAlignment="1">
      <alignment horizontal="center" vertical="top"/>
    </xf>
    <xf numFmtId="3" fontId="1" fillId="0" borderId="48" xfId="0" applyNumberFormat="1" applyFont="1" applyBorder="1" applyAlignment="1">
      <alignment horizontal="center" vertical="center" textRotation="90" wrapText="1"/>
    </xf>
    <xf numFmtId="3" fontId="3" fillId="0" borderId="39" xfId="0" applyNumberFormat="1" applyFont="1" applyFill="1" applyBorder="1" applyAlignment="1">
      <alignment horizontal="center" vertical="top" textRotation="180" wrapText="1"/>
    </xf>
    <xf numFmtId="3" fontId="3" fillId="0" borderId="41" xfId="0" applyNumberFormat="1" applyFont="1" applyFill="1" applyBorder="1" applyAlignment="1">
      <alignment horizontal="center" vertical="top" wrapText="1"/>
    </xf>
    <xf numFmtId="3" fontId="4" fillId="6" borderId="7" xfId="0" applyNumberFormat="1" applyFont="1" applyFill="1" applyBorder="1" applyAlignment="1">
      <alignment vertical="top" wrapText="1"/>
    </xf>
    <xf numFmtId="49" fontId="1" fillId="9" borderId="15" xfId="0" applyNumberFormat="1" applyFont="1" applyFill="1" applyBorder="1" applyAlignment="1">
      <alignment horizontal="center" vertical="top"/>
    </xf>
    <xf numFmtId="49" fontId="6" fillId="7" borderId="72" xfId="0" applyNumberFormat="1" applyFont="1" applyFill="1" applyBorder="1" applyAlignment="1">
      <alignment horizontal="center" vertical="top"/>
    </xf>
    <xf numFmtId="0" fontId="4" fillId="0" borderId="54" xfId="0" applyFont="1" applyFill="1" applyBorder="1" applyAlignment="1">
      <alignment horizontal="center" vertical="top" wrapText="1"/>
    </xf>
    <xf numFmtId="49" fontId="1" fillId="10" borderId="17" xfId="0" applyNumberFormat="1" applyFont="1" applyFill="1" applyBorder="1" applyAlignment="1">
      <alignment horizontal="center" vertical="top" wrapText="1"/>
    </xf>
    <xf numFmtId="3" fontId="4" fillId="6" borderId="46" xfId="0" applyNumberFormat="1" applyFont="1" applyFill="1" applyBorder="1" applyAlignment="1">
      <alignment vertical="top" wrapText="1"/>
    </xf>
    <xf numFmtId="3" fontId="3" fillId="0" borderId="18" xfId="0" applyNumberFormat="1" applyFont="1" applyFill="1" applyBorder="1" applyAlignment="1">
      <alignment horizontal="center" vertical="top" wrapText="1"/>
    </xf>
    <xf numFmtId="3" fontId="4" fillId="0" borderId="39" xfId="0" applyNumberFormat="1" applyFont="1" applyFill="1" applyBorder="1" applyAlignment="1">
      <alignment horizontal="center" vertical="top" textRotation="90" wrapText="1"/>
    </xf>
    <xf numFmtId="49" fontId="4" fillId="9" borderId="45" xfId="0" applyNumberFormat="1" applyFont="1" applyFill="1" applyBorder="1" applyAlignment="1">
      <alignment vertical="top"/>
    </xf>
    <xf numFmtId="49" fontId="4" fillId="9" borderId="54" xfId="0" applyNumberFormat="1" applyFont="1" applyFill="1" applyBorder="1" applyAlignment="1">
      <alignment vertical="top"/>
    </xf>
    <xf numFmtId="49" fontId="4" fillId="9" borderId="53" xfId="0" applyNumberFormat="1" applyFont="1" applyFill="1" applyBorder="1" applyAlignment="1">
      <alignment vertical="top"/>
    </xf>
    <xf numFmtId="3" fontId="3" fillId="8" borderId="66" xfId="0" applyNumberFormat="1" applyFont="1" applyFill="1" applyBorder="1" applyAlignment="1">
      <alignment horizontal="center" vertical="top"/>
    </xf>
    <xf numFmtId="3" fontId="3" fillId="8" borderId="49" xfId="0" applyNumberFormat="1" applyFont="1" applyFill="1" applyBorder="1" applyAlignment="1">
      <alignment horizontal="center" vertical="top"/>
    </xf>
    <xf numFmtId="3" fontId="3" fillId="8" borderId="75" xfId="0" applyNumberFormat="1" applyFont="1" applyFill="1" applyBorder="1" applyAlignment="1">
      <alignment horizontal="center" vertical="top"/>
    </xf>
    <xf numFmtId="3" fontId="3" fillId="8" borderId="50" xfId="0" applyNumberFormat="1" applyFont="1" applyFill="1" applyBorder="1" applyAlignment="1">
      <alignment horizontal="center" vertical="top"/>
    </xf>
    <xf numFmtId="3" fontId="3" fillId="8" borderId="51" xfId="0" applyNumberFormat="1" applyFont="1" applyFill="1" applyBorder="1" applyAlignment="1">
      <alignment horizontal="center" vertical="top"/>
    </xf>
    <xf numFmtId="49" fontId="3" fillId="0" borderId="75" xfId="0" applyNumberFormat="1" applyFont="1" applyBorder="1" applyAlignment="1">
      <alignment horizontal="center" vertical="top"/>
    </xf>
    <xf numFmtId="3" fontId="3" fillId="4" borderId="2" xfId="0" applyNumberFormat="1" applyFont="1" applyFill="1" applyBorder="1" applyAlignment="1">
      <alignment horizontal="center" vertical="top" wrapText="1"/>
    </xf>
    <xf numFmtId="3" fontId="3" fillId="5" borderId="3" xfId="0" applyNumberFormat="1" applyFont="1" applyFill="1" applyBorder="1" applyAlignment="1">
      <alignment horizontal="center" vertical="top" wrapText="1"/>
    </xf>
    <xf numFmtId="49" fontId="3" fillId="0" borderId="3" xfId="0" applyNumberFormat="1" applyFont="1" applyBorder="1" applyAlignment="1">
      <alignment horizontal="center" vertical="top" wrapText="1"/>
    </xf>
    <xf numFmtId="49" fontId="4" fillId="7" borderId="28" xfId="0" applyNumberFormat="1" applyFont="1" applyFill="1" applyBorder="1" applyAlignment="1">
      <alignment horizontal="center" vertical="top" wrapText="1"/>
    </xf>
    <xf numFmtId="3" fontId="3" fillId="6" borderId="38" xfId="0" applyNumberFormat="1" applyFont="1" applyFill="1" applyBorder="1" applyAlignment="1">
      <alignment vertical="top" wrapText="1"/>
    </xf>
    <xf numFmtId="3" fontId="3" fillId="0" borderId="2" xfId="0" applyNumberFormat="1" applyFont="1" applyFill="1" applyBorder="1" applyAlignment="1">
      <alignment vertical="center" textRotation="90" wrapText="1"/>
    </xf>
    <xf numFmtId="49" fontId="4" fillId="0" borderId="3" xfId="0" applyNumberFormat="1" applyFont="1" applyBorder="1" applyAlignment="1">
      <alignment horizontal="center" vertical="top" wrapText="1"/>
    </xf>
    <xf numFmtId="3" fontId="3" fillId="0" borderId="29" xfId="0" applyNumberFormat="1" applyFont="1" applyBorder="1" applyAlignment="1">
      <alignment horizontal="center" vertical="top" wrapText="1"/>
    </xf>
    <xf numFmtId="3" fontId="1" fillId="0" borderId="38" xfId="0" applyNumberFormat="1" applyFont="1" applyBorder="1" applyAlignment="1">
      <alignment horizontal="center" vertical="top" wrapText="1"/>
    </xf>
    <xf numFmtId="3" fontId="4" fillId="6" borderId="28" xfId="0" applyNumberFormat="1" applyFont="1" applyFill="1" applyBorder="1" applyAlignment="1">
      <alignment horizontal="center" vertical="top" wrapText="1"/>
    </xf>
    <xf numFmtId="3" fontId="4" fillId="6" borderId="78" xfId="0" applyNumberFormat="1" applyFont="1" applyFill="1" applyBorder="1" applyAlignment="1">
      <alignment horizontal="center" vertical="top" wrapText="1"/>
    </xf>
    <xf numFmtId="3" fontId="4" fillId="0" borderId="27" xfId="0" applyNumberFormat="1" applyFont="1" applyFill="1" applyBorder="1" applyAlignment="1">
      <alignment horizontal="left" vertical="top" wrapText="1"/>
    </xf>
    <xf numFmtId="3" fontId="3" fillId="4" borderId="52" xfId="0" applyNumberFormat="1" applyFont="1" applyFill="1" applyBorder="1" applyAlignment="1">
      <alignment vertical="top" wrapText="1"/>
    </xf>
    <xf numFmtId="3" fontId="3" fillId="5" borderId="50" xfId="0" applyNumberFormat="1" applyFont="1" applyFill="1" applyBorder="1" applyAlignment="1">
      <alignment vertical="top" wrapText="1"/>
    </xf>
    <xf numFmtId="3" fontId="3" fillId="4" borderId="43" xfId="0" applyNumberFormat="1" applyFont="1" applyFill="1" applyBorder="1" applyAlignment="1">
      <alignment vertical="top" wrapText="1"/>
    </xf>
    <xf numFmtId="3" fontId="3" fillId="5" borderId="44" xfId="0" applyNumberFormat="1" applyFont="1" applyFill="1" applyBorder="1" applyAlignment="1">
      <alignment vertical="top" wrapText="1"/>
    </xf>
    <xf numFmtId="49" fontId="3" fillId="0" borderId="44" xfId="0" applyNumberFormat="1" applyFont="1" applyBorder="1" applyAlignment="1">
      <alignment horizontal="center" vertical="top" wrapText="1"/>
    </xf>
    <xf numFmtId="49" fontId="4" fillId="7" borderId="31" xfId="0" applyNumberFormat="1" applyFont="1" applyFill="1" applyBorder="1" applyAlignment="1">
      <alignment horizontal="center" vertical="top" wrapText="1"/>
    </xf>
    <xf numFmtId="3" fontId="3" fillId="0" borderId="43" xfId="0" applyNumberFormat="1" applyFont="1" applyFill="1" applyBorder="1" applyAlignment="1">
      <alignment vertical="center" textRotation="90" wrapText="1"/>
    </xf>
    <xf numFmtId="3" fontId="3" fillId="4" borderId="43" xfId="0" applyNumberFormat="1" applyFont="1" applyFill="1" applyBorder="1" applyAlignment="1">
      <alignment horizontal="center" vertical="top" wrapText="1"/>
    </xf>
    <xf numFmtId="3" fontId="3" fillId="5" borderId="44" xfId="0" applyNumberFormat="1" applyFont="1" applyFill="1" applyBorder="1" applyAlignment="1">
      <alignment horizontal="center" vertical="top" wrapText="1"/>
    </xf>
    <xf numFmtId="3" fontId="3" fillId="0" borderId="32" xfId="0" applyNumberFormat="1" applyFont="1" applyBorder="1" applyAlignment="1">
      <alignment horizontal="center" vertical="top" wrapText="1"/>
    </xf>
    <xf numFmtId="3" fontId="1" fillId="0" borderId="40" xfId="0" applyNumberFormat="1" applyFont="1" applyBorder="1" applyAlignment="1">
      <alignment vertical="top" wrapText="1"/>
    </xf>
    <xf numFmtId="3" fontId="13" fillId="0" borderId="0" xfId="0" applyNumberFormat="1" applyFont="1"/>
    <xf numFmtId="3" fontId="15" fillId="0" borderId="0" xfId="0" applyNumberFormat="1" applyFont="1" applyAlignment="1">
      <alignment vertical="top"/>
    </xf>
    <xf numFmtId="3" fontId="12" fillId="0" borderId="0" xfId="0" applyNumberFormat="1" applyFont="1"/>
    <xf numFmtId="3" fontId="12" fillId="0" borderId="0" xfId="0" applyNumberFormat="1" applyFont="1" applyAlignment="1">
      <alignment vertical="top"/>
    </xf>
    <xf numFmtId="49" fontId="4" fillId="7" borderId="75" xfId="0" applyNumberFormat="1" applyFont="1" applyFill="1" applyBorder="1" applyAlignment="1">
      <alignment horizontal="center" vertical="top"/>
    </xf>
    <xf numFmtId="3" fontId="1" fillId="0" borderId="17" xfId="0" applyNumberFormat="1" applyFont="1" applyFill="1" applyBorder="1" applyAlignment="1">
      <alignment horizontal="center" vertical="top"/>
    </xf>
    <xf numFmtId="0" fontId="4" fillId="0" borderId="15" xfId="0" applyFont="1" applyFill="1" applyBorder="1" applyAlignment="1">
      <alignment vertical="top" wrapText="1"/>
    </xf>
    <xf numFmtId="0" fontId="4" fillId="0" borderId="24" xfId="0" applyFont="1" applyFill="1" applyBorder="1" applyAlignment="1">
      <alignment vertical="top" wrapText="1"/>
    </xf>
    <xf numFmtId="164" fontId="2" fillId="0" borderId="0" xfId="0" applyNumberFormat="1" applyFont="1" applyAlignment="1">
      <alignment horizontal="center" vertical="top"/>
    </xf>
    <xf numFmtId="164" fontId="2" fillId="0" borderId="0" xfId="0" applyNumberFormat="1" applyFont="1" applyAlignment="1">
      <alignment vertical="top"/>
    </xf>
    <xf numFmtId="0" fontId="17" fillId="0" borderId="0" xfId="0" applyFont="1"/>
    <xf numFmtId="3" fontId="4" fillId="0" borderId="16" xfId="0" applyNumberFormat="1" applyFont="1" applyBorder="1" applyAlignment="1">
      <alignment horizontal="center" vertical="center" textRotation="90" wrapText="1"/>
    </xf>
    <xf numFmtId="3" fontId="4" fillId="0" borderId="25" xfId="0" applyNumberFormat="1" applyFont="1" applyBorder="1" applyAlignment="1">
      <alignment horizontal="center" vertical="center" textRotation="90" wrapText="1"/>
    </xf>
    <xf numFmtId="49" fontId="4" fillId="0" borderId="4" xfId="0" applyNumberFormat="1" applyFont="1" applyBorder="1" applyAlignment="1">
      <alignment horizontal="center" vertical="center" textRotation="90" wrapText="1"/>
    </xf>
    <xf numFmtId="49" fontId="4" fillId="0" borderId="13" xfId="0" applyNumberFormat="1" applyFont="1" applyBorder="1" applyAlignment="1">
      <alignment horizontal="center" vertical="center" textRotation="90" wrapText="1"/>
    </xf>
    <xf numFmtId="49" fontId="4" fillId="0" borderId="22" xfId="0" applyNumberFormat="1" applyFont="1" applyBorder="1" applyAlignment="1">
      <alignment horizontal="center" vertical="center" textRotation="90" wrapText="1"/>
    </xf>
    <xf numFmtId="3" fontId="4" fillId="0" borderId="40" xfId="0" applyNumberFormat="1" applyFont="1" applyFill="1" applyBorder="1" applyAlignment="1">
      <alignment horizontal="left" vertical="top" wrapText="1"/>
    </xf>
    <xf numFmtId="3" fontId="4" fillId="0" borderId="48" xfId="0" applyNumberFormat="1" applyFont="1" applyFill="1" applyBorder="1" applyAlignment="1">
      <alignment horizontal="left" vertical="top" wrapText="1"/>
    </xf>
    <xf numFmtId="3" fontId="4" fillId="0" borderId="43" xfId="0" applyNumberFormat="1" applyFont="1" applyFill="1" applyBorder="1" applyAlignment="1">
      <alignment horizontal="center" vertical="top" wrapText="1"/>
    </xf>
    <xf numFmtId="3" fontId="4" fillId="0" borderId="52" xfId="0" applyNumberFormat="1" applyFont="1" applyFill="1" applyBorder="1" applyAlignment="1">
      <alignment horizontal="center" vertical="top" wrapText="1"/>
    </xf>
    <xf numFmtId="3" fontId="4" fillId="0" borderId="44" xfId="0" applyNumberFormat="1" applyFont="1" applyFill="1" applyBorder="1" applyAlignment="1">
      <alignment horizontal="center" vertical="top" wrapText="1"/>
    </xf>
    <xf numFmtId="3" fontId="4" fillId="0" borderId="50" xfId="0" applyNumberFormat="1" applyFont="1" applyFill="1" applyBorder="1" applyAlignment="1">
      <alignment horizontal="center" vertical="top" wrapText="1"/>
    </xf>
    <xf numFmtId="3" fontId="4" fillId="0" borderId="53" xfId="0" applyNumberFormat="1" applyFont="1" applyFill="1" applyBorder="1" applyAlignment="1">
      <alignment horizontal="center" vertical="top" wrapText="1"/>
    </xf>
    <xf numFmtId="3" fontId="3" fillId="4" borderId="36" xfId="0" applyNumberFormat="1" applyFont="1" applyFill="1" applyBorder="1" applyAlignment="1">
      <alignment horizontal="center" vertical="top"/>
    </xf>
    <xf numFmtId="3" fontId="3" fillId="4" borderId="59"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49" fontId="3" fillId="0" borderId="4"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3" fontId="4" fillId="0" borderId="37" xfId="0" applyNumberFormat="1" applyFont="1" applyFill="1" applyBorder="1" applyAlignment="1">
      <alignment horizontal="center" vertical="top" wrapText="1"/>
    </xf>
    <xf numFmtId="3" fontId="4" fillId="0" borderId="62" xfId="0" applyNumberFormat="1" applyFont="1" applyFill="1" applyBorder="1" applyAlignment="1">
      <alignment horizontal="center" vertical="top" wrapText="1"/>
    </xf>
    <xf numFmtId="3" fontId="4" fillId="6" borderId="16" xfId="0" applyNumberFormat="1" applyFont="1" applyFill="1" applyBorder="1" applyAlignment="1">
      <alignment horizontal="left" vertical="top" wrapText="1"/>
    </xf>
    <xf numFmtId="3" fontId="4" fillId="0" borderId="16" xfId="0" applyNumberFormat="1" applyFont="1" applyFill="1" applyBorder="1" applyAlignment="1">
      <alignment horizontal="left" vertical="top" wrapText="1"/>
    </xf>
    <xf numFmtId="3" fontId="3" fillId="4" borderId="39"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3" fontId="4" fillId="6" borderId="48" xfId="0" applyNumberFormat="1" applyFont="1" applyFill="1" applyBorder="1" applyAlignment="1">
      <alignment horizontal="left" vertical="top" wrapText="1"/>
    </xf>
    <xf numFmtId="3" fontId="4" fillId="0" borderId="37" xfId="0" applyNumberFormat="1" applyFont="1" applyFill="1" applyBorder="1" applyAlignment="1">
      <alignment vertical="top" wrapText="1"/>
    </xf>
    <xf numFmtId="3" fontId="3" fillId="0" borderId="54" xfId="0" applyNumberFormat="1" applyFont="1" applyBorder="1" applyAlignment="1">
      <alignment horizontal="center" vertical="top"/>
    </xf>
    <xf numFmtId="3" fontId="4" fillId="0" borderId="25" xfId="0" applyNumberFormat="1" applyFont="1" applyFill="1" applyBorder="1" applyAlignment="1">
      <alignment horizontal="left" vertical="top" wrapText="1"/>
    </xf>
    <xf numFmtId="3" fontId="4" fillId="0" borderId="4"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0" borderId="22" xfId="0" applyNumberFormat="1" applyFont="1" applyBorder="1" applyAlignment="1">
      <alignment horizontal="center" vertical="top"/>
    </xf>
    <xf numFmtId="3" fontId="4" fillId="0" borderId="37" xfId="0" applyNumberFormat="1" applyFont="1" applyFill="1" applyBorder="1" applyAlignment="1">
      <alignment horizontal="center" vertical="top"/>
    </xf>
    <xf numFmtId="3" fontId="4" fillId="0" borderId="49" xfId="0" applyNumberFormat="1" applyFont="1" applyFill="1" applyBorder="1" applyAlignment="1">
      <alignment horizontal="center" vertical="top" wrapText="1"/>
    </xf>
    <xf numFmtId="3" fontId="4" fillId="0" borderId="32" xfId="0" applyNumberFormat="1" applyFont="1" applyFill="1" applyBorder="1" applyAlignment="1">
      <alignment horizontal="center" vertical="top" wrapText="1"/>
    </xf>
    <xf numFmtId="3" fontId="4" fillId="0" borderId="66" xfId="0" applyNumberFormat="1" applyFont="1" applyFill="1" applyBorder="1" applyAlignment="1">
      <alignment horizontal="center" vertical="top" wrapText="1"/>
    </xf>
    <xf numFmtId="49" fontId="6" fillId="0" borderId="4" xfId="0" applyNumberFormat="1" applyFont="1" applyBorder="1" applyAlignment="1">
      <alignment horizontal="center" vertical="top"/>
    </xf>
    <xf numFmtId="3" fontId="3" fillId="0" borderId="60" xfId="0" applyNumberFormat="1" applyFont="1" applyBorder="1" applyAlignment="1">
      <alignment horizontal="center" vertical="top"/>
    </xf>
    <xf numFmtId="3" fontId="4" fillId="0" borderId="11" xfId="0" applyNumberFormat="1" applyFont="1" applyFill="1" applyBorder="1" applyAlignment="1">
      <alignment horizontal="center" vertical="top"/>
    </xf>
    <xf numFmtId="3" fontId="4" fillId="0" borderId="12" xfId="0" applyNumberFormat="1" applyFont="1" applyFill="1" applyBorder="1" applyAlignment="1">
      <alignment horizontal="center" vertical="top"/>
    </xf>
    <xf numFmtId="3" fontId="4" fillId="0" borderId="21" xfId="0" applyNumberFormat="1" applyFont="1" applyFill="1" applyBorder="1" applyAlignment="1">
      <alignment horizontal="center" vertical="top"/>
    </xf>
    <xf numFmtId="3" fontId="4" fillId="0" borderId="47" xfId="0" applyNumberFormat="1" applyFont="1" applyFill="1" applyBorder="1" applyAlignment="1">
      <alignment horizontal="center" vertical="top"/>
    </xf>
    <xf numFmtId="3" fontId="4" fillId="0" borderId="26"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1" xfId="0" applyFont="1" applyFill="1" applyBorder="1" applyAlignment="1">
      <alignment horizontal="left" vertical="top" wrapText="1"/>
    </xf>
    <xf numFmtId="3" fontId="4" fillId="0" borderId="16" xfId="0" applyNumberFormat="1" applyFont="1" applyBorder="1" applyAlignment="1">
      <alignment horizontal="left" vertical="top" wrapText="1"/>
    </xf>
    <xf numFmtId="3" fontId="1" fillId="7" borderId="0"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3" fillId="0" borderId="0" xfId="0" applyNumberFormat="1" applyFont="1" applyFill="1" applyBorder="1" applyAlignment="1">
      <alignment horizontal="center" vertical="center" wrapText="1"/>
    </xf>
    <xf numFmtId="3" fontId="1" fillId="7" borderId="0" xfId="0" applyNumberFormat="1" applyFont="1" applyFill="1" applyBorder="1" applyAlignment="1">
      <alignment horizontal="center" vertical="center" wrapText="1"/>
    </xf>
    <xf numFmtId="3" fontId="4" fillId="0" borderId="7" xfId="0" applyNumberFormat="1" applyFont="1" applyFill="1" applyBorder="1" applyAlignment="1">
      <alignment horizontal="center" vertical="top" wrapText="1"/>
    </xf>
    <xf numFmtId="3" fontId="4" fillId="0" borderId="16" xfId="0" applyNumberFormat="1" applyFont="1" applyFill="1" applyBorder="1" applyAlignment="1">
      <alignment horizontal="center" vertical="top" wrapText="1"/>
    </xf>
    <xf numFmtId="3" fontId="4" fillId="6" borderId="45" xfId="0" applyNumberFormat="1" applyFont="1" applyFill="1" applyBorder="1" applyAlignment="1">
      <alignment horizontal="center" vertical="top"/>
    </xf>
    <xf numFmtId="3" fontId="4" fillId="6" borderId="54" xfId="0" applyNumberFormat="1" applyFont="1" applyFill="1" applyBorder="1" applyAlignment="1">
      <alignment horizontal="center" vertical="top"/>
    </xf>
    <xf numFmtId="3" fontId="4" fillId="6" borderId="53" xfId="0" applyNumberFormat="1" applyFont="1" applyFill="1" applyBorder="1" applyAlignment="1">
      <alignment horizontal="center" vertical="top"/>
    </xf>
    <xf numFmtId="3" fontId="1" fillId="0" borderId="7" xfId="0" applyNumberFormat="1" applyFont="1" applyBorder="1" applyAlignment="1">
      <alignment horizontal="center" vertical="center" textRotation="90" wrapText="1"/>
    </xf>
    <xf numFmtId="3" fontId="1" fillId="0" borderId="6" xfId="0" applyNumberFormat="1" applyFont="1" applyBorder="1" applyAlignment="1">
      <alignment horizontal="center" vertical="center" textRotation="90" wrapText="1"/>
    </xf>
    <xf numFmtId="3" fontId="4" fillId="0" borderId="40" xfId="0" applyNumberFormat="1" applyFont="1" applyFill="1" applyBorder="1" applyAlignment="1">
      <alignment horizontal="center" vertical="top" wrapText="1"/>
    </xf>
    <xf numFmtId="3" fontId="4" fillId="0" borderId="41" xfId="0" applyNumberFormat="1" applyFont="1" applyFill="1" applyBorder="1" applyAlignment="1">
      <alignment horizontal="left" vertical="top" wrapText="1"/>
    </xf>
    <xf numFmtId="3" fontId="3" fillId="4" borderId="52" xfId="0" applyNumberFormat="1" applyFont="1" applyFill="1" applyBorder="1" applyAlignment="1">
      <alignment horizontal="center" vertical="top"/>
    </xf>
    <xf numFmtId="3" fontId="3" fillId="5" borderId="50" xfId="0" applyNumberFormat="1" applyFont="1" applyFill="1" applyBorder="1" applyAlignment="1">
      <alignment horizontal="center" vertical="top"/>
    </xf>
    <xf numFmtId="3" fontId="4" fillId="0" borderId="42" xfId="0" applyNumberFormat="1" applyFont="1" applyFill="1" applyBorder="1" applyAlignment="1">
      <alignment horizontal="left" vertical="top" wrapText="1"/>
    </xf>
    <xf numFmtId="3" fontId="4" fillId="0" borderId="49" xfId="0" applyNumberFormat="1" applyFont="1" applyFill="1" applyBorder="1" applyAlignment="1">
      <alignment horizontal="left" vertical="top" wrapText="1"/>
    </xf>
    <xf numFmtId="49" fontId="4" fillId="0" borderId="4" xfId="0" applyNumberFormat="1" applyFont="1" applyBorder="1" applyAlignment="1">
      <alignment horizontal="center" vertical="top" wrapText="1"/>
    </xf>
    <xf numFmtId="49" fontId="4" fillId="0" borderId="22" xfId="0" applyNumberFormat="1" applyFont="1" applyBorder="1" applyAlignment="1">
      <alignment horizontal="center" vertical="top" wrapText="1"/>
    </xf>
    <xf numFmtId="3" fontId="3" fillId="0" borderId="35"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3" fontId="4" fillId="0" borderId="16" xfId="0" applyNumberFormat="1" applyFont="1" applyBorder="1" applyAlignment="1">
      <alignment horizontal="center" vertical="top" wrapText="1"/>
    </xf>
    <xf numFmtId="0" fontId="4" fillId="0" borderId="42" xfId="0" applyFont="1" applyFill="1" applyBorder="1" applyAlignment="1">
      <alignment horizontal="center" vertical="top" wrapText="1"/>
    </xf>
    <xf numFmtId="3" fontId="4" fillId="0" borderId="44" xfId="0" applyNumberFormat="1" applyFont="1" applyFill="1" applyBorder="1" applyAlignment="1">
      <alignment horizontal="center" vertical="top"/>
    </xf>
    <xf numFmtId="3" fontId="4" fillId="0" borderId="22" xfId="0" applyNumberFormat="1" applyFont="1" applyFill="1" applyBorder="1" applyAlignment="1">
      <alignment horizontal="center" vertical="top"/>
    </xf>
    <xf numFmtId="3" fontId="4" fillId="0" borderId="32" xfId="0" applyNumberFormat="1" applyFont="1" applyFill="1" applyBorder="1" applyAlignment="1">
      <alignment horizontal="center" vertical="top"/>
    </xf>
    <xf numFmtId="49" fontId="3" fillId="0" borderId="13" xfId="0" applyNumberFormat="1" applyFont="1" applyBorder="1" applyAlignment="1">
      <alignment horizontal="center" vertical="top"/>
    </xf>
    <xf numFmtId="49" fontId="4" fillId="9" borderId="14" xfId="0" applyNumberFormat="1" applyFont="1" applyFill="1" applyBorder="1" applyAlignment="1">
      <alignment horizontal="center" vertical="top"/>
    </xf>
    <xf numFmtId="49" fontId="4" fillId="9" borderId="75" xfId="0" applyNumberFormat="1" applyFont="1" applyFill="1" applyBorder="1" applyAlignment="1">
      <alignment horizontal="center" vertical="top"/>
    </xf>
    <xf numFmtId="3" fontId="4" fillId="7" borderId="16" xfId="0" applyNumberFormat="1" applyFont="1" applyFill="1" applyBorder="1" applyAlignment="1">
      <alignment horizontal="center" vertical="top" wrapText="1"/>
    </xf>
    <xf numFmtId="3" fontId="4" fillId="7" borderId="48" xfId="0" applyNumberFormat="1" applyFont="1" applyFill="1" applyBorder="1" applyAlignment="1">
      <alignment horizontal="center" vertical="top" wrapText="1"/>
    </xf>
    <xf numFmtId="3" fontId="6" fillId="0" borderId="35" xfId="0" applyNumberFormat="1" applyFont="1" applyBorder="1" applyAlignment="1">
      <alignment horizontal="center" vertical="top"/>
    </xf>
    <xf numFmtId="3" fontId="1" fillId="0" borderId="7"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3" fontId="4" fillId="0" borderId="48" xfId="0" applyNumberFormat="1" applyFont="1" applyBorder="1" applyAlignment="1">
      <alignment horizontal="center" vertical="top" wrapText="1"/>
    </xf>
    <xf numFmtId="3" fontId="4" fillId="0" borderId="37" xfId="0" applyNumberFormat="1" applyFont="1" applyFill="1" applyBorder="1" applyAlignment="1">
      <alignment horizontal="left" vertical="top" wrapText="1"/>
    </xf>
    <xf numFmtId="3" fontId="1" fillId="0" borderId="16" xfId="0" applyNumberFormat="1" applyFont="1" applyBorder="1" applyAlignment="1">
      <alignment horizontal="center" vertical="top" wrapText="1"/>
    </xf>
    <xf numFmtId="49" fontId="4" fillId="0" borderId="13" xfId="0" applyNumberFormat="1" applyFont="1" applyBorder="1" applyAlignment="1">
      <alignment horizontal="center" vertical="top" wrapText="1"/>
    </xf>
    <xf numFmtId="3" fontId="3" fillId="0" borderId="15" xfId="0" applyNumberFormat="1" applyFont="1" applyBorder="1" applyAlignment="1">
      <alignment horizontal="center" vertical="top"/>
    </xf>
    <xf numFmtId="3" fontId="6" fillId="6" borderId="45" xfId="0" applyNumberFormat="1" applyFont="1" applyFill="1" applyBorder="1" applyAlignment="1">
      <alignment horizontal="center" vertical="top"/>
    </xf>
    <xf numFmtId="3" fontId="1" fillId="6" borderId="16" xfId="0" applyNumberFormat="1" applyFont="1" applyFill="1" applyBorder="1" applyAlignment="1">
      <alignment horizontal="center" vertical="top" wrapText="1"/>
    </xf>
    <xf numFmtId="3" fontId="4" fillId="7" borderId="44" xfId="0" applyNumberFormat="1" applyFont="1" applyFill="1" applyBorder="1" applyAlignment="1">
      <alignment horizontal="center" vertical="top" wrapText="1"/>
    </xf>
    <xf numFmtId="3" fontId="4" fillId="7" borderId="13" xfId="0" applyNumberFormat="1" applyFont="1" applyFill="1" applyBorder="1" applyAlignment="1">
      <alignment horizontal="center" vertical="top" wrapText="1"/>
    </xf>
    <xf numFmtId="3" fontId="4" fillId="0" borderId="40" xfId="0" applyNumberFormat="1" applyFont="1" applyBorder="1" applyAlignment="1">
      <alignment horizontal="center" vertical="top" wrapText="1"/>
    </xf>
    <xf numFmtId="3" fontId="3" fillId="9" borderId="56" xfId="0" applyNumberFormat="1" applyFont="1" applyFill="1" applyBorder="1" applyAlignment="1">
      <alignment horizontal="center" vertical="top"/>
    </xf>
    <xf numFmtId="3" fontId="4" fillId="7" borderId="16" xfId="0" applyNumberFormat="1" applyFont="1" applyFill="1" applyBorder="1" applyAlignment="1">
      <alignment horizontal="left" vertical="top" wrapText="1"/>
    </xf>
    <xf numFmtId="3" fontId="4" fillId="0" borderId="16" xfId="0" applyNumberFormat="1" applyFont="1" applyBorder="1" applyAlignment="1">
      <alignment horizontal="center" vertical="center" wrapText="1"/>
    </xf>
    <xf numFmtId="49" fontId="4" fillId="0" borderId="44" xfId="0" applyNumberFormat="1" applyFont="1" applyBorder="1" applyAlignment="1">
      <alignment horizontal="center" vertical="top" wrapText="1"/>
    </xf>
    <xf numFmtId="49" fontId="4" fillId="0" borderId="50" xfId="0" applyNumberFormat="1" applyFont="1" applyBorder="1" applyAlignment="1">
      <alignment horizontal="center" vertical="top" wrapText="1"/>
    </xf>
    <xf numFmtId="3" fontId="1" fillId="0" borderId="0" xfId="0" applyNumberFormat="1" applyFont="1" applyFill="1" applyBorder="1" applyAlignment="1">
      <alignment horizontal="left" vertical="top" wrapText="1"/>
    </xf>
    <xf numFmtId="3" fontId="1" fillId="7" borderId="0"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1" fillId="7" borderId="0" xfId="0" applyNumberFormat="1" applyFont="1" applyFill="1" applyBorder="1" applyAlignment="1">
      <alignment horizontal="center" vertical="center" wrapText="1"/>
    </xf>
    <xf numFmtId="3" fontId="3" fillId="4" borderId="39" xfId="0" applyNumberFormat="1" applyFont="1" applyFill="1" applyBorder="1" applyAlignment="1">
      <alignment horizontal="center" vertical="top"/>
    </xf>
    <xf numFmtId="3" fontId="4" fillId="0" borderId="16" xfId="0" applyNumberFormat="1" applyFont="1" applyFill="1" applyBorder="1" applyAlignment="1">
      <alignment horizontal="left" vertical="top" wrapText="1"/>
    </xf>
    <xf numFmtId="3" fontId="3" fillId="4" borderId="36" xfId="0" applyNumberFormat="1" applyFont="1" applyFill="1" applyBorder="1" applyAlignment="1">
      <alignment horizontal="center" vertical="top"/>
    </xf>
    <xf numFmtId="3" fontId="3" fillId="0" borderId="54" xfId="0" applyNumberFormat="1" applyFont="1" applyBorder="1" applyAlignment="1">
      <alignment horizontal="center" vertical="top"/>
    </xf>
    <xf numFmtId="3" fontId="3" fillId="0" borderId="60" xfId="0" applyNumberFormat="1" applyFont="1" applyBorder="1" applyAlignment="1">
      <alignment horizontal="center" vertical="top"/>
    </xf>
    <xf numFmtId="3" fontId="6" fillId="0" borderId="60" xfId="0" applyNumberFormat="1" applyFont="1" applyBorder="1" applyAlignment="1">
      <alignment horizontal="center" vertical="top" wrapText="1"/>
    </xf>
    <xf numFmtId="3" fontId="6" fillId="0" borderId="61" xfId="0" applyNumberFormat="1" applyFont="1" applyBorder="1" applyAlignment="1">
      <alignment horizontal="center" vertical="top"/>
    </xf>
    <xf numFmtId="3" fontId="3" fillId="4" borderId="59"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0" borderId="22" xfId="0" applyNumberFormat="1" applyFont="1" applyBorder="1" applyAlignment="1">
      <alignment horizontal="center" vertical="top"/>
    </xf>
    <xf numFmtId="49" fontId="3" fillId="0" borderId="4"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3" fontId="3" fillId="0" borderId="61" xfId="0" applyNumberFormat="1" applyFont="1" applyFill="1" applyBorder="1" applyAlignment="1">
      <alignment horizontal="center" vertical="top" wrapText="1"/>
    </xf>
    <xf numFmtId="3" fontId="3" fillId="0" borderId="60" xfId="0" applyNumberFormat="1" applyFont="1" applyFill="1" applyBorder="1" applyAlignment="1">
      <alignment horizontal="center" vertical="top" wrapText="1"/>
    </xf>
    <xf numFmtId="3" fontId="4" fillId="0" borderId="16"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3" fontId="1" fillId="0" borderId="7" xfId="0" applyNumberFormat="1" applyFont="1" applyBorder="1" applyAlignment="1">
      <alignment horizontal="center" vertical="top" wrapText="1"/>
    </xf>
    <xf numFmtId="3" fontId="4" fillId="0" borderId="7" xfId="0" applyNumberFormat="1" applyFont="1" applyFill="1" applyBorder="1" applyAlignment="1">
      <alignment horizontal="center" vertical="top" wrapText="1"/>
    </xf>
    <xf numFmtId="3" fontId="4" fillId="0" borderId="25" xfId="0" applyNumberFormat="1" applyFont="1" applyFill="1" applyBorder="1" applyAlignment="1">
      <alignment horizontal="center" vertical="top" wrapText="1"/>
    </xf>
    <xf numFmtId="49" fontId="3" fillId="0" borderId="13" xfId="0" applyNumberFormat="1" applyFont="1" applyBorder="1" applyAlignment="1">
      <alignment horizontal="center" vertical="top"/>
    </xf>
    <xf numFmtId="3" fontId="4" fillId="0" borderId="16" xfId="0" applyNumberFormat="1" applyFont="1" applyFill="1" applyBorder="1" applyAlignment="1">
      <alignment horizontal="center" vertical="top" wrapText="1"/>
    </xf>
    <xf numFmtId="0" fontId="12" fillId="0" borderId="0" xfId="0" applyFont="1"/>
    <xf numFmtId="3" fontId="1" fillId="0" borderId="13" xfId="0" applyNumberFormat="1" applyFont="1" applyFill="1" applyBorder="1" applyAlignment="1">
      <alignment horizontal="center" vertical="top"/>
    </xf>
    <xf numFmtId="3" fontId="1" fillId="7" borderId="13" xfId="0" applyNumberFormat="1" applyFont="1" applyFill="1" applyBorder="1" applyAlignment="1">
      <alignment horizontal="center" vertical="top"/>
    </xf>
    <xf numFmtId="3" fontId="2" fillId="0" borderId="0" xfId="0" applyNumberFormat="1" applyFont="1" applyAlignment="1">
      <alignment vertical="top"/>
    </xf>
    <xf numFmtId="3" fontId="2" fillId="0" borderId="0" xfId="0" applyNumberFormat="1" applyFont="1" applyAlignment="1">
      <alignment horizontal="center" vertical="top"/>
    </xf>
    <xf numFmtId="3" fontId="17" fillId="0" borderId="0" xfId="0" applyNumberFormat="1" applyFont="1"/>
    <xf numFmtId="164" fontId="1" fillId="6" borderId="52"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3" fontId="1" fillId="7" borderId="0" xfId="0" applyNumberFormat="1" applyFont="1" applyFill="1" applyBorder="1" applyAlignment="1">
      <alignment horizontal="center" vertical="top" wrapText="1"/>
    </xf>
    <xf numFmtId="49" fontId="4" fillId="0" borderId="16" xfId="0" applyNumberFormat="1" applyFont="1" applyFill="1" applyBorder="1" applyAlignment="1">
      <alignment horizontal="center" vertical="top"/>
    </xf>
    <xf numFmtId="3" fontId="4" fillId="0" borderId="25" xfId="0" applyNumberFormat="1" applyFont="1" applyFill="1" applyBorder="1" applyAlignment="1">
      <alignment horizontal="center" vertical="top"/>
    </xf>
    <xf numFmtId="3" fontId="1" fillId="0" borderId="7"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xf>
    <xf numFmtId="0" fontId="4" fillId="0" borderId="40" xfId="0" applyNumberFormat="1" applyFont="1" applyFill="1" applyBorder="1" applyAlignment="1">
      <alignment horizontal="center" vertical="top"/>
    </xf>
    <xf numFmtId="3" fontId="3" fillId="0" borderId="16" xfId="0" applyNumberFormat="1" applyFont="1" applyFill="1" applyBorder="1" applyAlignment="1">
      <alignment horizontal="center" vertical="top"/>
    </xf>
    <xf numFmtId="0" fontId="4" fillId="0" borderId="40" xfId="0" applyFont="1" applyFill="1" applyBorder="1" applyAlignment="1">
      <alignment horizontal="center" vertical="top"/>
    </xf>
    <xf numFmtId="164" fontId="1" fillId="0" borderId="28" xfId="0" applyNumberFormat="1" applyFont="1" applyFill="1" applyBorder="1" applyAlignment="1">
      <alignment horizontal="center" vertical="top"/>
    </xf>
    <xf numFmtId="164" fontId="3" fillId="8" borderId="32" xfId="0" applyNumberFormat="1" applyFont="1" applyFill="1" applyBorder="1" applyAlignment="1">
      <alignment horizontal="center" vertical="top"/>
    </xf>
    <xf numFmtId="164" fontId="4" fillId="7" borderId="29"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top"/>
    </xf>
    <xf numFmtId="164" fontId="3" fillId="4" borderId="9" xfId="0" applyNumberFormat="1" applyFont="1" applyFill="1" applyBorder="1" applyAlignment="1">
      <alignment horizontal="center" vertical="top"/>
    </xf>
    <xf numFmtId="164" fontId="3" fillId="3" borderId="1" xfId="0" applyNumberFormat="1" applyFont="1" applyFill="1" applyBorder="1" applyAlignment="1">
      <alignment horizontal="center" vertical="top" wrapText="1"/>
    </xf>
    <xf numFmtId="3" fontId="6" fillId="0" borderId="7" xfId="0" applyNumberFormat="1" applyFont="1" applyBorder="1" applyAlignment="1">
      <alignment horizontal="center" vertical="top" wrapText="1"/>
    </xf>
    <xf numFmtId="164" fontId="4" fillId="7" borderId="31" xfId="0" applyNumberFormat="1" applyFont="1" applyFill="1" applyBorder="1" applyAlignment="1">
      <alignment horizontal="center" vertical="top" wrapText="1"/>
    </xf>
    <xf numFmtId="164" fontId="1" fillId="0" borderId="6" xfId="0" applyNumberFormat="1" applyFont="1" applyBorder="1" applyAlignment="1">
      <alignment horizontal="center" vertical="center" wrapText="1"/>
    </xf>
    <xf numFmtId="49" fontId="3" fillId="0" borderId="54" xfId="0" applyNumberFormat="1" applyFont="1" applyBorder="1" applyAlignment="1">
      <alignment horizontal="center" vertical="top" wrapText="1"/>
    </xf>
    <xf numFmtId="164" fontId="4" fillId="0" borderId="39" xfId="0" applyNumberFormat="1" applyFont="1" applyFill="1" applyBorder="1" applyAlignment="1">
      <alignment horizontal="center" vertical="top"/>
    </xf>
    <xf numFmtId="164" fontId="19" fillId="0" borderId="19" xfId="0" applyNumberFormat="1" applyFont="1" applyFill="1" applyBorder="1" applyAlignment="1">
      <alignment horizontal="center" vertical="top"/>
    </xf>
    <xf numFmtId="164" fontId="19" fillId="6" borderId="32" xfId="0" applyNumberFormat="1" applyFont="1" applyFill="1" applyBorder="1" applyAlignment="1">
      <alignment horizontal="center" vertical="top"/>
    </xf>
    <xf numFmtId="3" fontId="4" fillId="0" borderId="40" xfId="0" applyNumberFormat="1" applyFont="1" applyBorder="1" applyAlignment="1">
      <alignment vertical="top"/>
    </xf>
    <xf numFmtId="164" fontId="20" fillId="0" borderId="0" xfId="0" applyNumberFormat="1" applyFont="1"/>
    <xf numFmtId="0" fontId="20" fillId="0" borderId="0" xfId="0" applyFont="1"/>
    <xf numFmtId="3" fontId="3" fillId="5" borderId="4"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4" fillId="0" borderId="16" xfId="0" applyNumberFormat="1" applyFont="1" applyFill="1" applyBorder="1" applyAlignment="1">
      <alignment horizontal="left" vertical="top" wrapText="1"/>
    </xf>
    <xf numFmtId="3" fontId="3" fillId="5" borderId="13" xfId="0" applyNumberFormat="1" applyFont="1" applyFill="1" applyBorder="1" applyAlignment="1">
      <alignment horizontal="center" vertical="top"/>
    </xf>
    <xf numFmtId="3" fontId="1" fillId="7" borderId="0"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1" fillId="7" borderId="0" xfId="0" applyNumberFormat="1" applyFont="1" applyFill="1" applyBorder="1" applyAlignment="1">
      <alignment horizontal="center" vertical="center" wrapText="1"/>
    </xf>
    <xf numFmtId="0" fontId="1" fillId="0" borderId="38" xfId="0" applyNumberFormat="1" applyFont="1" applyFill="1" applyBorder="1" applyAlignment="1">
      <alignment horizontal="center" vertical="top"/>
    </xf>
    <xf numFmtId="0" fontId="17" fillId="0" borderId="0" xfId="0" applyFont="1" applyAlignment="1">
      <alignment horizontal="center"/>
    </xf>
    <xf numFmtId="49" fontId="3" fillId="0" borderId="75" xfId="0" applyNumberFormat="1" applyFont="1" applyBorder="1" applyAlignment="1">
      <alignment horizontal="center" vertical="top" wrapText="1"/>
    </xf>
    <xf numFmtId="164" fontId="4" fillId="7" borderId="18" xfId="0" applyNumberFormat="1" applyFont="1" applyFill="1" applyBorder="1" applyAlignment="1">
      <alignment horizontal="center" vertical="top" wrapText="1"/>
    </xf>
    <xf numFmtId="3" fontId="4" fillId="0" borderId="37" xfId="0" applyNumberFormat="1" applyFont="1" applyFill="1" applyBorder="1" applyAlignment="1">
      <alignment horizontal="center" vertical="top" wrapText="1"/>
    </xf>
    <xf numFmtId="3" fontId="4" fillId="0" borderId="0" xfId="0" applyNumberFormat="1" applyFont="1" applyFill="1" applyBorder="1" applyAlignment="1">
      <alignment horizontal="center" vertical="top" textRotation="180" wrapText="1"/>
    </xf>
    <xf numFmtId="3" fontId="4" fillId="0" borderId="37" xfId="0" applyNumberFormat="1" applyFont="1" applyFill="1" applyBorder="1" applyAlignment="1">
      <alignment vertical="center" textRotation="90" wrapText="1"/>
    </xf>
    <xf numFmtId="3" fontId="4" fillId="0" borderId="41" xfId="0" applyNumberFormat="1" applyFont="1" applyFill="1" applyBorder="1" applyAlignment="1">
      <alignment vertical="center" textRotation="90" wrapText="1"/>
    </xf>
    <xf numFmtId="3" fontId="1" fillId="0" borderId="37" xfId="0" applyNumberFormat="1" applyFont="1" applyFill="1" applyBorder="1" applyAlignment="1">
      <alignment horizontal="center" vertical="top" textRotation="180" wrapText="1"/>
    </xf>
    <xf numFmtId="3" fontId="1" fillId="0" borderId="43" xfId="0" applyNumberFormat="1" applyFont="1" applyFill="1" applyBorder="1" applyAlignment="1">
      <alignment horizontal="center" vertical="center" wrapText="1"/>
    </xf>
    <xf numFmtId="3" fontId="1" fillId="0" borderId="39" xfId="0" applyNumberFormat="1" applyFont="1" applyFill="1" applyBorder="1" applyAlignment="1">
      <alignment vertical="center" wrapText="1"/>
    </xf>
    <xf numFmtId="3" fontId="1" fillId="0" borderId="39" xfId="0" applyNumberFormat="1" applyFont="1" applyFill="1" applyBorder="1" applyAlignment="1">
      <alignment horizontal="center" vertical="center" wrapText="1"/>
    </xf>
    <xf numFmtId="3" fontId="4" fillId="0" borderId="39" xfId="0" applyNumberFormat="1" applyFont="1" applyBorder="1" applyAlignment="1">
      <alignment vertical="center" textRotation="90"/>
    </xf>
    <xf numFmtId="3" fontId="1" fillId="0" borderId="39" xfId="0" applyNumberFormat="1" applyFont="1" applyFill="1" applyBorder="1" applyAlignment="1">
      <alignment horizontal="center" vertical="top" wrapText="1"/>
    </xf>
    <xf numFmtId="3" fontId="4" fillId="0" borderId="35" xfId="0" applyNumberFormat="1" applyFont="1" applyBorder="1" applyAlignment="1">
      <alignment horizontal="center" vertical="center" textRotation="90"/>
    </xf>
    <xf numFmtId="3" fontId="4" fillId="0" borderId="41" xfId="0" applyNumberFormat="1" applyFont="1" applyBorder="1" applyAlignment="1">
      <alignment horizontal="center" vertical="center" textRotation="90"/>
    </xf>
    <xf numFmtId="3" fontId="4" fillId="0" borderId="41" xfId="0" applyNumberFormat="1" applyFont="1" applyBorder="1" applyAlignment="1">
      <alignment vertical="center" textRotation="90"/>
    </xf>
    <xf numFmtId="3" fontId="4" fillId="0" borderId="0" xfId="0" applyNumberFormat="1" applyFont="1" applyBorder="1" applyAlignment="1">
      <alignment vertical="center" textRotation="90"/>
    </xf>
    <xf numFmtId="3" fontId="4" fillId="0" borderId="62" xfId="0" applyNumberFormat="1" applyFont="1" applyBorder="1" applyAlignment="1">
      <alignment horizontal="center" vertical="center" textRotation="90"/>
    </xf>
    <xf numFmtId="3" fontId="4" fillId="0" borderId="11" xfId="0" applyNumberFormat="1" applyFont="1" applyFill="1" applyBorder="1" applyAlignment="1">
      <alignment vertical="center" textRotation="90" wrapText="1"/>
    </xf>
    <xf numFmtId="3" fontId="3" fillId="4" borderId="39"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3" fontId="3" fillId="0" borderId="54" xfId="0" applyNumberFormat="1" applyFont="1" applyBorder="1" applyAlignment="1">
      <alignment horizontal="center" vertical="top"/>
    </xf>
    <xf numFmtId="3" fontId="3" fillId="0" borderId="60" xfId="0" applyNumberFormat="1" applyFont="1" applyBorder="1" applyAlignment="1">
      <alignment horizontal="center" vertical="top"/>
    </xf>
    <xf numFmtId="3" fontId="4" fillId="6" borderId="48" xfId="0" applyNumberFormat="1" applyFont="1" applyFill="1" applyBorder="1" applyAlignment="1">
      <alignment horizontal="left" vertical="top" wrapText="1"/>
    </xf>
    <xf numFmtId="3" fontId="3" fillId="5" borderId="22" xfId="0" applyNumberFormat="1" applyFont="1" applyFill="1" applyBorder="1" applyAlignment="1">
      <alignment horizontal="center" vertical="top"/>
    </xf>
    <xf numFmtId="3" fontId="4" fillId="0" borderId="49" xfId="0" applyNumberFormat="1" applyFont="1" applyFill="1" applyBorder="1" applyAlignment="1">
      <alignment horizontal="center" vertical="top" wrapText="1"/>
    </xf>
    <xf numFmtId="49" fontId="3" fillId="0" borderId="4" xfId="0" applyNumberFormat="1" applyFont="1" applyBorder="1" applyAlignment="1">
      <alignment horizontal="center" vertical="top" wrapText="1"/>
    </xf>
    <xf numFmtId="3" fontId="4" fillId="0" borderId="16"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3" fontId="4" fillId="0" borderId="16" xfId="0" applyNumberFormat="1" applyFont="1" applyFill="1" applyBorder="1" applyAlignment="1">
      <alignment horizontal="center" vertical="top" wrapText="1"/>
    </xf>
    <xf numFmtId="3" fontId="4" fillId="0" borderId="46" xfId="0" applyNumberFormat="1" applyFont="1" applyBorder="1" applyAlignment="1">
      <alignment horizontal="center" vertical="top"/>
    </xf>
    <xf numFmtId="3" fontId="4" fillId="6" borderId="46" xfId="0" applyNumberFormat="1" applyFont="1" applyFill="1" applyBorder="1" applyAlignment="1">
      <alignment horizontal="left" vertical="top" wrapText="1"/>
    </xf>
    <xf numFmtId="49" fontId="3" fillId="7" borderId="54" xfId="0" applyNumberFormat="1" applyFont="1" applyFill="1" applyBorder="1" applyAlignment="1">
      <alignment horizontal="center" vertical="top"/>
    </xf>
    <xf numFmtId="49" fontId="3" fillId="0" borderId="23" xfId="0" applyNumberFormat="1" applyFont="1" applyFill="1" applyBorder="1" applyAlignment="1">
      <alignment horizontal="center" vertical="top"/>
    </xf>
    <xf numFmtId="3" fontId="4" fillId="0" borderId="1" xfId="0" applyNumberFormat="1" applyFont="1" applyFill="1" applyBorder="1" applyAlignment="1">
      <alignment horizontal="center" vertical="top" textRotation="180" wrapText="1"/>
    </xf>
    <xf numFmtId="3" fontId="3" fillId="4" borderId="59" xfId="0" applyNumberFormat="1" applyFont="1" applyFill="1" applyBorder="1" applyAlignment="1">
      <alignment horizontal="center" vertical="top"/>
    </xf>
    <xf numFmtId="3" fontId="1" fillId="7" borderId="0"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1" fillId="7" borderId="0" xfId="0" applyNumberFormat="1" applyFont="1" applyFill="1" applyBorder="1" applyAlignment="1">
      <alignment horizontal="center" vertical="center" wrapText="1"/>
    </xf>
    <xf numFmtId="164" fontId="19" fillId="7" borderId="42" xfId="0" applyNumberFormat="1" applyFont="1" applyFill="1" applyBorder="1" applyAlignment="1">
      <alignment horizontal="center" vertical="top" wrapText="1"/>
    </xf>
    <xf numFmtId="3" fontId="4" fillId="0" borderId="62" xfId="0" applyNumberFormat="1" applyFont="1" applyFill="1" applyBorder="1" applyAlignment="1">
      <alignment horizontal="center" vertical="top" wrapText="1"/>
    </xf>
    <xf numFmtId="3" fontId="3" fillId="4" borderId="39" xfId="0" applyNumberFormat="1" applyFont="1" applyFill="1" applyBorder="1" applyAlignment="1">
      <alignment horizontal="center" vertical="top"/>
    </xf>
    <xf numFmtId="3" fontId="4" fillId="0" borderId="4" xfId="0" applyNumberFormat="1" applyFont="1" applyFill="1" applyBorder="1" applyAlignment="1">
      <alignment horizontal="center" vertical="top"/>
    </xf>
    <xf numFmtId="3" fontId="4" fillId="0" borderId="37" xfId="0" applyNumberFormat="1" applyFont="1" applyFill="1" applyBorder="1" applyAlignment="1">
      <alignment horizontal="center" vertical="top"/>
    </xf>
    <xf numFmtId="3" fontId="4" fillId="0" borderId="44" xfId="0" applyNumberFormat="1" applyFont="1" applyFill="1" applyBorder="1" applyAlignment="1">
      <alignment horizontal="center" vertical="top"/>
    </xf>
    <xf numFmtId="3" fontId="4" fillId="0" borderId="22" xfId="0" applyNumberFormat="1" applyFont="1" applyFill="1" applyBorder="1" applyAlignment="1">
      <alignment horizontal="center" vertical="top"/>
    </xf>
    <xf numFmtId="3" fontId="4" fillId="0" borderId="24" xfId="0" applyNumberFormat="1" applyFont="1" applyFill="1" applyBorder="1" applyAlignment="1">
      <alignment horizontal="center" vertical="top"/>
    </xf>
    <xf numFmtId="3" fontId="4" fillId="0" borderId="41" xfId="0" applyNumberFormat="1" applyFont="1" applyFill="1" applyBorder="1" applyAlignment="1">
      <alignment vertical="top"/>
    </xf>
    <xf numFmtId="49" fontId="4" fillId="0" borderId="41" xfId="0" applyNumberFormat="1" applyFont="1" applyFill="1" applyBorder="1" applyAlignment="1">
      <alignment horizontal="center" vertical="top"/>
    </xf>
    <xf numFmtId="49" fontId="4" fillId="0" borderId="62" xfId="0" applyNumberFormat="1" applyFont="1" applyFill="1" applyBorder="1" applyAlignment="1">
      <alignment horizontal="center" vertical="top"/>
    </xf>
    <xf numFmtId="0" fontId="4" fillId="0" borderId="42" xfId="0" applyNumberFormat="1" applyFont="1" applyFill="1" applyBorder="1" applyAlignment="1">
      <alignment horizontal="center" vertical="top"/>
    </xf>
    <xf numFmtId="3" fontId="4" fillId="0" borderId="15" xfId="0" applyNumberFormat="1" applyFont="1" applyFill="1" applyBorder="1" applyAlignment="1">
      <alignment vertical="top"/>
    </xf>
    <xf numFmtId="49" fontId="4" fillId="0" borderId="15"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0" fontId="1" fillId="0" borderId="29" xfId="0" applyNumberFormat="1" applyFont="1" applyFill="1" applyBorder="1" applyAlignment="1">
      <alignment horizontal="center" vertical="top"/>
    </xf>
    <xf numFmtId="0" fontId="4" fillId="0" borderId="32" xfId="0" applyNumberFormat="1" applyFont="1" applyFill="1" applyBorder="1" applyAlignment="1">
      <alignment horizontal="center" vertical="top"/>
    </xf>
    <xf numFmtId="3" fontId="1" fillId="0" borderId="6"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xf>
    <xf numFmtId="3" fontId="4" fillId="7" borderId="27" xfId="0" applyNumberFormat="1" applyFont="1" applyFill="1" applyBorder="1" applyAlignment="1">
      <alignment vertical="top" wrapText="1"/>
    </xf>
    <xf numFmtId="0" fontId="4" fillId="0" borderId="30" xfId="0" applyFont="1" applyFill="1" applyBorder="1" applyAlignment="1">
      <alignment horizontal="center" vertical="top"/>
    </xf>
    <xf numFmtId="3" fontId="4" fillId="0" borderId="30" xfId="0" applyNumberFormat="1" applyFont="1" applyBorder="1" applyAlignment="1">
      <alignment horizontal="center" vertical="top"/>
    </xf>
    <xf numFmtId="3" fontId="4" fillId="0" borderId="44" xfId="0" applyNumberFormat="1" applyFont="1" applyBorder="1" applyAlignment="1">
      <alignment horizontal="center" vertical="top"/>
    </xf>
    <xf numFmtId="0" fontId="4" fillId="0" borderId="41" xfId="0" applyFont="1" applyFill="1" applyBorder="1" applyAlignment="1">
      <alignment horizontal="center" vertical="top" wrapText="1"/>
    </xf>
    <xf numFmtId="3" fontId="1" fillId="0" borderId="52" xfId="0" applyNumberFormat="1" applyFont="1" applyFill="1" applyBorder="1" applyAlignment="1">
      <alignment horizontal="center" vertical="center" wrapText="1"/>
    </xf>
    <xf numFmtId="0" fontId="4" fillId="0" borderId="41" xfId="0" applyFont="1" applyFill="1" applyBorder="1" applyAlignment="1">
      <alignment horizontal="center" vertical="top"/>
    </xf>
    <xf numFmtId="0" fontId="4" fillId="0" borderId="42" xfId="0" applyFont="1" applyFill="1" applyBorder="1" applyAlignment="1">
      <alignment horizontal="center" vertical="top"/>
    </xf>
    <xf numFmtId="0" fontId="4" fillId="0" borderId="15" xfId="0" applyFont="1" applyFill="1" applyBorder="1" applyAlignment="1">
      <alignment horizontal="center" vertical="top"/>
    </xf>
    <xf numFmtId="0" fontId="4" fillId="0" borderId="32" xfId="0" applyFont="1" applyFill="1" applyBorder="1" applyAlignment="1">
      <alignment horizontal="center" vertical="top"/>
    </xf>
    <xf numFmtId="3" fontId="4" fillId="0" borderId="24" xfId="0" applyNumberFormat="1" applyFont="1" applyFill="1" applyBorder="1" applyAlignment="1">
      <alignment vertical="top"/>
    </xf>
    <xf numFmtId="3" fontId="4" fillId="6" borderId="15" xfId="0" applyNumberFormat="1" applyFont="1" applyFill="1" applyBorder="1" applyAlignment="1">
      <alignment horizontal="center" vertical="top"/>
    </xf>
    <xf numFmtId="0" fontId="18" fillId="0" borderId="30" xfId="0" applyFont="1" applyBorder="1" applyAlignment="1">
      <alignment horizontal="center" vertical="top" wrapText="1"/>
    </xf>
    <xf numFmtId="3" fontId="1" fillId="0" borderId="41" xfId="0" applyNumberFormat="1" applyFont="1" applyFill="1" applyBorder="1" applyAlignment="1">
      <alignment horizontal="center" vertical="top" wrapText="1"/>
    </xf>
    <xf numFmtId="3" fontId="3" fillId="4" borderId="36" xfId="0" applyNumberFormat="1" applyFont="1" applyFill="1" applyBorder="1" applyAlignment="1">
      <alignment horizontal="center" vertical="top"/>
    </xf>
    <xf numFmtId="3" fontId="3" fillId="4" borderId="59"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3" fillId="4" borderId="39"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3" fontId="4" fillId="0" borderId="4"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49" fontId="3" fillId="0" borderId="22" xfId="0" applyNumberFormat="1" applyFont="1" applyBorder="1" applyAlignment="1">
      <alignment horizontal="center" vertical="top"/>
    </xf>
    <xf numFmtId="3" fontId="4" fillId="7" borderId="46" xfId="0" applyNumberFormat="1" applyFont="1" applyFill="1" applyBorder="1" applyAlignment="1">
      <alignment vertical="top" wrapText="1"/>
    </xf>
    <xf numFmtId="3" fontId="24" fillId="0" borderId="44" xfId="0" applyNumberFormat="1" applyFont="1" applyBorder="1" applyAlignment="1">
      <alignment horizontal="center" vertical="top"/>
    </xf>
    <xf numFmtId="0" fontId="4" fillId="0" borderId="31" xfId="0" applyFont="1" applyFill="1" applyBorder="1" applyAlignment="1">
      <alignment horizontal="left" vertical="top" wrapText="1"/>
    </xf>
    <xf numFmtId="3" fontId="1" fillId="0" borderId="74" xfId="0" applyNumberFormat="1" applyFont="1" applyFill="1" applyBorder="1" applyAlignment="1">
      <alignment horizontal="center" vertical="top" wrapText="1"/>
    </xf>
    <xf numFmtId="3" fontId="4" fillId="0" borderId="35" xfId="0" applyNumberFormat="1" applyFont="1" applyFill="1" applyBorder="1" applyAlignment="1">
      <alignment horizontal="left" vertical="top" wrapText="1"/>
    </xf>
    <xf numFmtId="0" fontId="4" fillId="0" borderId="0" xfId="0" applyFont="1" applyFill="1" applyBorder="1" applyAlignment="1">
      <alignment vertical="top" wrapText="1"/>
    </xf>
    <xf numFmtId="0" fontId="4" fillId="0" borderId="28" xfId="0" applyFont="1" applyFill="1" applyBorder="1" applyAlignment="1">
      <alignment vertical="top" wrapText="1"/>
    </xf>
    <xf numFmtId="3" fontId="4" fillId="0" borderId="7" xfId="0" applyNumberFormat="1" applyFont="1" applyFill="1" applyBorder="1" applyAlignment="1">
      <alignment horizontal="left" vertical="top" wrapText="1"/>
    </xf>
    <xf numFmtId="3" fontId="1" fillId="7" borderId="0" xfId="0" applyNumberFormat="1" applyFont="1" applyFill="1" applyBorder="1" applyAlignment="1">
      <alignment horizontal="center" vertical="top" wrapText="1"/>
    </xf>
    <xf numFmtId="3" fontId="4" fillId="0" borderId="7" xfId="0" applyNumberFormat="1" applyFont="1" applyFill="1" applyBorder="1" applyAlignment="1">
      <alignment horizontal="center" vertical="top"/>
    </xf>
    <xf numFmtId="164" fontId="1" fillId="0" borderId="28"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0" xfId="0" applyNumberFormat="1" applyFont="1" applyBorder="1" applyAlignment="1">
      <alignment horizontal="center" vertical="top" wrapText="1"/>
    </xf>
    <xf numFmtId="164" fontId="1" fillId="0" borderId="15" xfId="0" applyNumberFormat="1" applyFont="1" applyBorder="1" applyAlignment="1">
      <alignment horizontal="center" vertical="top" wrapText="1"/>
    </xf>
    <xf numFmtId="164" fontId="17" fillId="0" borderId="0" xfId="0" applyNumberFormat="1" applyFont="1"/>
    <xf numFmtId="164" fontId="4" fillId="0" borderId="41" xfId="0" applyNumberFormat="1" applyFont="1" applyFill="1" applyBorder="1" applyAlignment="1">
      <alignment horizontal="center" vertical="top" wrapText="1"/>
    </xf>
    <xf numFmtId="164" fontId="1" fillId="0" borderId="37" xfId="0" applyNumberFormat="1" applyFont="1" applyFill="1" applyBorder="1" applyAlignment="1">
      <alignment horizontal="center" vertical="top"/>
    </xf>
    <xf numFmtId="3" fontId="4" fillId="0" borderId="28" xfId="0" applyNumberFormat="1" applyFont="1" applyFill="1" applyBorder="1" applyAlignment="1">
      <alignment horizontal="center" vertical="top"/>
    </xf>
    <xf numFmtId="3" fontId="4" fillId="0" borderId="72" xfId="0" applyNumberFormat="1" applyFont="1" applyFill="1" applyBorder="1" applyAlignment="1">
      <alignment horizontal="center" vertical="top"/>
    </xf>
    <xf numFmtId="3" fontId="4" fillId="6" borderId="31" xfId="0" applyNumberFormat="1" applyFont="1" applyFill="1" applyBorder="1" applyAlignment="1">
      <alignment horizontal="center" vertical="top" wrapText="1"/>
    </xf>
    <xf numFmtId="3" fontId="24" fillId="0" borderId="50" xfId="0" applyNumberFormat="1" applyFont="1" applyBorder="1" applyAlignment="1">
      <alignment horizontal="center" vertical="top"/>
    </xf>
    <xf numFmtId="3" fontId="4" fillId="6" borderId="0" xfId="0" applyNumberFormat="1" applyFont="1" applyFill="1" applyBorder="1" applyAlignment="1">
      <alignment horizontal="center" vertical="top" wrapText="1"/>
    </xf>
    <xf numFmtId="3" fontId="4" fillId="0" borderId="31" xfId="0" applyNumberFormat="1" applyFont="1" applyBorder="1" applyAlignment="1">
      <alignment horizontal="center" vertical="top"/>
    </xf>
    <xf numFmtId="3" fontId="24" fillId="0" borderId="31" xfId="0" applyNumberFormat="1" applyFont="1" applyBorder="1" applyAlignment="1">
      <alignment horizontal="center" vertical="top"/>
    </xf>
    <xf numFmtId="3" fontId="24" fillId="0" borderId="51" xfId="0" applyNumberFormat="1" applyFont="1" applyBorder="1" applyAlignment="1">
      <alignment horizontal="center" vertical="top"/>
    </xf>
    <xf numFmtId="3" fontId="4" fillId="0" borderId="0" xfId="0" applyNumberFormat="1" applyFont="1" applyBorder="1" applyAlignment="1">
      <alignment horizontal="center" vertical="top"/>
    </xf>
    <xf numFmtId="3" fontId="6" fillId="6" borderId="54" xfId="0" applyNumberFormat="1" applyFont="1" applyFill="1" applyBorder="1" applyAlignment="1">
      <alignment horizontal="center" vertical="center"/>
    </xf>
    <xf numFmtId="3" fontId="3" fillId="5" borderId="13" xfId="0" applyNumberFormat="1" applyFont="1" applyFill="1" applyBorder="1" applyAlignment="1">
      <alignment horizontal="center" vertical="top"/>
    </xf>
    <xf numFmtId="3" fontId="4" fillId="6" borderId="48" xfId="0" applyNumberFormat="1" applyFont="1" applyFill="1" applyBorder="1" applyAlignment="1">
      <alignment horizontal="left" vertical="top" wrapText="1"/>
    </xf>
    <xf numFmtId="3" fontId="3" fillId="5" borderId="4" xfId="0" applyNumberFormat="1" applyFont="1" applyFill="1" applyBorder="1" applyAlignment="1">
      <alignment horizontal="center" vertical="top"/>
    </xf>
    <xf numFmtId="3" fontId="4" fillId="0" borderId="4"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3" fontId="4" fillId="0" borderId="37" xfId="0" applyNumberFormat="1" applyFont="1" applyFill="1" applyBorder="1" applyAlignment="1">
      <alignment horizontal="center" vertical="top"/>
    </xf>
    <xf numFmtId="3" fontId="3" fillId="0" borderId="61" xfId="0" applyNumberFormat="1" applyFont="1" applyBorder="1" applyAlignment="1">
      <alignment horizontal="center" vertical="top"/>
    </xf>
    <xf numFmtId="3" fontId="4" fillId="0" borderId="44" xfId="0" applyNumberFormat="1" applyFont="1" applyFill="1" applyBorder="1" applyAlignment="1">
      <alignment horizontal="center" vertical="top"/>
    </xf>
    <xf numFmtId="3" fontId="1" fillId="0" borderId="16" xfId="0" applyNumberFormat="1" applyFont="1" applyBorder="1" applyAlignment="1">
      <alignment horizontal="center" vertical="top" wrapText="1"/>
    </xf>
    <xf numFmtId="3" fontId="1" fillId="6" borderId="16" xfId="0" applyNumberFormat="1" applyFont="1" applyFill="1" applyBorder="1" applyAlignment="1">
      <alignment vertical="top" wrapText="1"/>
    </xf>
    <xf numFmtId="3" fontId="4" fillId="0" borderId="7" xfId="0" applyNumberFormat="1" applyFont="1" applyFill="1" applyBorder="1" applyAlignment="1">
      <alignment horizontal="center" vertical="top"/>
    </xf>
    <xf numFmtId="3" fontId="4" fillId="0" borderId="30" xfId="0" applyNumberFormat="1" applyFont="1" applyFill="1" applyBorder="1" applyAlignment="1">
      <alignment horizontal="center" vertical="top"/>
    </xf>
    <xf numFmtId="49" fontId="6" fillId="7" borderId="54" xfId="0" applyNumberFormat="1" applyFont="1" applyFill="1" applyBorder="1" applyAlignment="1">
      <alignment horizontal="center" vertical="top"/>
    </xf>
    <xf numFmtId="49" fontId="3" fillId="7" borderId="54" xfId="0" applyNumberFormat="1" applyFont="1" applyFill="1" applyBorder="1" applyAlignment="1">
      <alignment vertical="top"/>
    </xf>
    <xf numFmtId="3" fontId="3" fillId="5" borderId="13" xfId="0" applyNumberFormat="1" applyFont="1" applyFill="1" applyBorder="1" applyAlignment="1">
      <alignment horizontal="center" vertical="top"/>
    </xf>
    <xf numFmtId="3" fontId="4" fillId="0" borderId="4"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49" fontId="3" fillId="0" borderId="4" xfId="0" applyNumberFormat="1" applyFont="1" applyBorder="1" applyAlignment="1">
      <alignment horizontal="center" vertical="top" wrapText="1"/>
    </xf>
    <xf numFmtId="3" fontId="4" fillId="0" borderId="16"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3" fontId="4" fillId="7" borderId="16" xfId="0" applyNumberFormat="1" applyFont="1" applyFill="1" applyBorder="1" applyAlignment="1">
      <alignment horizontal="center" vertical="top" wrapText="1"/>
    </xf>
    <xf numFmtId="49" fontId="3" fillId="0" borderId="13" xfId="0" applyNumberFormat="1" applyFont="1" applyBorder="1" applyAlignment="1">
      <alignment horizontal="center" vertical="top"/>
    </xf>
    <xf numFmtId="3" fontId="6" fillId="0" borderId="61" xfId="0" applyNumberFormat="1" applyFont="1" applyFill="1" applyBorder="1" applyAlignment="1">
      <alignment horizontal="center" vertical="top" wrapText="1"/>
    </xf>
    <xf numFmtId="3" fontId="1" fillId="0" borderId="7" xfId="0" applyNumberFormat="1" applyFont="1" applyFill="1" applyBorder="1" applyAlignment="1">
      <alignment horizontal="center" vertical="top"/>
    </xf>
    <xf numFmtId="3" fontId="6" fillId="0" borderId="54" xfId="0" applyNumberFormat="1" applyFont="1" applyFill="1" applyBorder="1" applyAlignment="1">
      <alignment horizontal="center" vertical="top" wrapText="1"/>
    </xf>
    <xf numFmtId="3" fontId="1" fillId="0" borderId="40" xfId="0" applyNumberFormat="1" applyFont="1" applyFill="1" applyBorder="1" applyAlignment="1">
      <alignment horizontal="center" vertical="top"/>
    </xf>
    <xf numFmtId="3" fontId="1" fillId="0" borderId="16" xfId="0" applyNumberFormat="1" applyFont="1" applyFill="1" applyBorder="1" applyAlignment="1">
      <alignment horizontal="center" vertical="top"/>
    </xf>
    <xf numFmtId="164" fontId="1" fillId="7" borderId="15" xfId="0" applyNumberFormat="1" applyFont="1" applyFill="1" applyBorder="1" applyAlignment="1">
      <alignment horizontal="center" vertical="top"/>
    </xf>
    <xf numFmtId="0" fontId="4" fillId="0" borderId="18" xfId="0" applyFont="1" applyBorder="1" applyAlignment="1">
      <alignment horizontal="center" vertical="top" wrapText="1"/>
    </xf>
    <xf numFmtId="164" fontId="18" fillId="6" borderId="31" xfId="0" applyNumberFormat="1" applyFont="1" applyFill="1" applyBorder="1" applyAlignment="1">
      <alignment horizontal="center" vertical="top"/>
    </xf>
    <xf numFmtId="0" fontId="4" fillId="0" borderId="16" xfId="0" applyFont="1" applyBorder="1" applyAlignment="1">
      <alignment horizontal="center" vertical="center" wrapText="1"/>
    </xf>
    <xf numFmtId="164" fontId="1" fillId="0" borderId="32" xfId="0" applyNumberFormat="1" applyFont="1" applyFill="1" applyBorder="1" applyAlignment="1">
      <alignment horizontal="center" vertical="top"/>
    </xf>
    <xf numFmtId="164" fontId="6" fillId="6" borderId="0" xfId="0" applyNumberFormat="1" applyFont="1" applyFill="1" applyBorder="1" applyAlignment="1">
      <alignment horizontal="center" vertical="top"/>
    </xf>
    <xf numFmtId="164" fontId="1" fillId="0" borderId="0" xfId="0" applyNumberFormat="1" applyFont="1" applyBorder="1" applyAlignment="1">
      <alignment horizontal="center" vertical="top"/>
    </xf>
    <xf numFmtId="164" fontId="1" fillId="7" borderId="0" xfId="0" applyNumberFormat="1" applyFont="1" applyFill="1" applyBorder="1" applyAlignment="1">
      <alignment horizontal="center" vertical="top" wrapText="1"/>
    </xf>
    <xf numFmtId="164" fontId="1" fillId="0" borderId="6" xfId="0" applyNumberFormat="1" applyFont="1" applyFill="1" applyBorder="1" applyAlignment="1">
      <alignment horizontal="center" vertical="top"/>
    </xf>
    <xf numFmtId="164" fontId="1" fillId="7" borderId="15" xfId="0" applyNumberFormat="1" applyFont="1" applyFill="1" applyBorder="1" applyAlignment="1">
      <alignment horizontal="center" vertical="top" wrapText="1"/>
    </xf>
    <xf numFmtId="164" fontId="1" fillId="0" borderId="15" xfId="0" applyNumberFormat="1" applyFont="1" applyFill="1" applyBorder="1" applyAlignment="1">
      <alignment horizontal="center" vertical="top" wrapText="1"/>
    </xf>
    <xf numFmtId="164" fontId="1" fillId="6" borderId="15"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164" fontId="1" fillId="7" borderId="41" xfId="0" applyNumberFormat="1" applyFont="1" applyFill="1" applyBorder="1" applyAlignment="1">
      <alignment horizontal="center" vertical="top"/>
    </xf>
    <xf numFmtId="3" fontId="1" fillId="6" borderId="37" xfId="0" applyNumberFormat="1" applyFont="1" applyFill="1" applyBorder="1" applyAlignment="1">
      <alignment horizontal="center" vertical="top" wrapText="1"/>
    </xf>
    <xf numFmtId="3" fontId="1" fillId="0" borderId="37" xfId="0" applyNumberFormat="1" applyFont="1" applyFill="1" applyBorder="1" applyAlignment="1">
      <alignment horizontal="center" vertical="top"/>
    </xf>
    <xf numFmtId="3" fontId="6" fillId="0" borderId="54" xfId="0" applyNumberFormat="1" applyFont="1" applyBorder="1" applyAlignment="1">
      <alignment horizontal="center" vertical="top"/>
    </xf>
    <xf numFmtId="3" fontId="6" fillId="8" borderId="25" xfId="0" applyNumberFormat="1" applyFont="1" applyFill="1" applyBorder="1" applyAlignment="1">
      <alignment horizontal="center" vertical="top"/>
    </xf>
    <xf numFmtId="164" fontId="4" fillId="6" borderId="52" xfId="0" applyNumberFormat="1" applyFont="1" applyFill="1" applyBorder="1" applyAlignment="1">
      <alignment horizontal="center" vertical="top"/>
    </xf>
    <xf numFmtId="3" fontId="4" fillId="0" borderId="42" xfId="0" applyNumberFormat="1" applyFont="1" applyBorder="1" applyAlignment="1">
      <alignment horizontal="center" vertical="top"/>
    </xf>
    <xf numFmtId="164" fontId="1" fillId="7" borderId="43" xfId="0" applyNumberFormat="1" applyFont="1" applyFill="1" applyBorder="1" applyAlignment="1">
      <alignment horizontal="center" vertical="top" wrapText="1"/>
    </xf>
    <xf numFmtId="3" fontId="1" fillId="7" borderId="15" xfId="0" applyNumberFormat="1" applyFont="1" applyFill="1" applyBorder="1" applyAlignment="1">
      <alignment horizontal="center" vertical="top" wrapText="1"/>
    </xf>
    <xf numFmtId="164" fontId="1" fillId="7" borderId="39" xfId="0" applyNumberFormat="1" applyFont="1" applyFill="1" applyBorder="1" applyAlignment="1">
      <alignment horizontal="center" vertical="top" wrapText="1"/>
    </xf>
    <xf numFmtId="164" fontId="1" fillId="7" borderId="41" xfId="0" applyNumberFormat="1" applyFont="1" applyFill="1" applyBorder="1" applyAlignment="1">
      <alignment horizontal="center" vertical="top" wrapText="1"/>
    </xf>
    <xf numFmtId="3" fontId="1" fillId="7" borderId="32" xfId="0" applyNumberFormat="1" applyFont="1" applyFill="1" applyBorder="1" applyAlignment="1">
      <alignment horizontal="center" vertical="top" wrapText="1"/>
    </xf>
    <xf numFmtId="3" fontId="1" fillId="0" borderId="42" xfId="0" applyNumberFormat="1" applyFont="1" applyBorder="1" applyAlignment="1">
      <alignment horizontal="center" vertical="top"/>
    </xf>
    <xf numFmtId="3" fontId="1" fillId="0" borderId="44" xfId="0" applyNumberFormat="1" applyFont="1" applyBorder="1" applyAlignment="1">
      <alignment horizontal="center" vertical="top"/>
    </xf>
    <xf numFmtId="3" fontId="1" fillId="0" borderId="41" xfId="0" applyNumberFormat="1" applyFont="1" applyBorder="1" applyAlignment="1">
      <alignment horizontal="center" vertical="top"/>
    </xf>
    <xf numFmtId="3" fontId="1" fillId="0" borderId="13" xfId="0" applyNumberFormat="1" applyFont="1" applyBorder="1" applyAlignment="1">
      <alignment horizontal="center" vertical="top"/>
    </xf>
    <xf numFmtId="3" fontId="6" fillId="0" borderId="53" xfId="0" applyNumberFormat="1" applyFont="1" applyBorder="1" applyAlignment="1">
      <alignment horizontal="center" vertical="center"/>
    </xf>
    <xf numFmtId="0" fontId="19" fillId="0" borderId="42" xfId="0" applyFont="1" applyFill="1" applyBorder="1" applyAlignment="1">
      <alignment horizontal="center" vertical="top" wrapText="1"/>
    </xf>
    <xf numFmtId="0" fontId="23" fillId="0" borderId="44" xfId="0" applyFont="1" applyFill="1" applyBorder="1" applyAlignment="1">
      <alignment horizontal="center" vertical="top" wrapText="1"/>
    </xf>
    <xf numFmtId="0" fontId="19" fillId="0" borderId="44" xfId="0" applyFont="1" applyFill="1" applyBorder="1" applyAlignment="1">
      <alignment horizontal="center" vertical="top" wrapText="1"/>
    </xf>
    <xf numFmtId="0" fontId="23" fillId="0" borderId="72" xfId="0" applyFont="1" applyFill="1" applyBorder="1" applyAlignment="1">
      <alignment horizontal="center" vertical="top" wrapText="1"/>
    </xf>
    <xf numFmtId="0" fontId="23" fillId="0" borderId="54" xfId="0" applyFont="1" applyFill="1" applyBorder="1" applyAlignment="1">
      <alignment horizontal="center" vertical="top" wrapText="1"/>
    </xf>
    <xf numFmtId="3" fontId="4" fillId="0" borderId="52" xfId="0" applyNumberFormat="1" applyFont="1" applyFill="1" applyBorder="1" applyAlignment="1">
      <alignment vertical="center" textRotation="90" wrapText="1"/>
    </xf>
    <xf numFmtId="3" fontId="4" fillId="0" borderId="49" xfId="0" applyNumberFormat="1" applyFont="1" applyFill="1" applyBorder="1" applyAlignment="1">
      <alignment vertical="center" textRotation="90" wrapText="1"/>
    </xf>
    <xf numFmtId="164" fontId="18" fillId="0" borderId="15" xfId="0" applyNumberFormat="1" applyFont="1" applyBorder="1" applyAlignment="1">
      <alignment horizontal="center" vertical="top" wrapText="1"/>
    </xf>
    <xf numFmtId="3" fontId="4" fillId="0" borderId="51" xfId="0" applyNumberFormat="1" applyFont="1" applyBorder="1" applyAlignment="1">
      <alignment horizontal="center" vertical="center" textRotation="90"/>
    </xf>
    <xf numFmtId="164" fontId="4" fillId="6" borderId="39" xfId="0" applyNumberFormat="1" applyFont="1" applyFill="1" applyBorder="1" applyAlignment="1">
      <alignment horizontal="center" vertical="top" wrapText="1"/>
    </xf>
    <xf numFmtId="164" fontId="4" fillId="6" borderId="41" xfId="0" applyNumberFormat="1" applyFont="1" applyFill="1" applyBorder="1" applyAlignment="1">
      <alignment horizontal="center" vertical="top" wrapText="1"/>
    </xf>
    <xf numFmtId="3" fontId="6" fillId="0" borderId="38" xfId="0" applyNumberFormat="1" applyFont="1" applyBorder="1" applyAlignment="1">
      <alignment vertical="top" wrapText="1"/>
    </xf>
    <xf numFmtId="3" fontId="4" fillId="0" borderId="2" xfId="0" applyNumberFormat="1" applyFont="1" applyBorder="1" applyAlignment="1">
      <alignment vertical="center" textRotation="90"/>
    </xf>
    <xf numFmtId="3" fontId="3" fillId="0" borderId="67" xfId="0" applyNumberFormat="1" applyFont="1" applyBorder="1" applyAlignment="1">
      <alignment horizontal="center" vertical="top" wrapText="1"/>
    </xf>
    <xf numFmtId="49" fontId="3" fillId="7" borderId="14" xfId="0" applyNumberFormat="1" applyFont="1" applyFill="1" applyBorder="1" applyAlignment="1">
      <alignment vertical="top"/>
    </xf>
    <xf numFmtId="49" fontId="3" fillId="7" borderId="23" xfId="0" applyNumberFormat="1" applyFont="1" applyFill="1" applyBorder="1" applyAlignment="1">
      <alignment vertical="top"/>
    </xf>
    <xf numFmtId="3" fontId="6" fillId="0" borderId="67" xfId="0" applyNumberFormat="1" applyFont="1" applyBorder="1" applyAlignment="1">
      <alignment horizontal="center" vertical="top"/>
    </xf>
    <xf numFmtId="164" fontId="1" fillId="6" borderId="42" xfId="0" applyNumberFormat="1" applyFont="1" applyFill="1" applyBorder="1" applyAlignment="1">
      <alignment horizontal="center" vertical="top"/>
    </xf>
    <xf numFmtId="3" fontId="3" fillId="4" borderId="39"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0" fontId="4" fillId="0" borderId="40" xfId="0" applyFont="1" applyFill="1" applyBorder="1" applyAlignment="1">
      <alignment horizontal="left" vertical="top" wrapText="1"/>
    </xf>
    <xf numFmtId="0" fontId="4" fillId="0" borderId="16" xfId="0" applyFont="1" applyFill="1" applyBorder="1" applyAlignment="1">
      <alignment horizontal="left" vertical="top" wrapText="1"/>
    </xf>
    <xf numFmtId="49" fontId="3" fillId="0" borderId="13" xfId="0" applyNumberFormat="1" applyFont="1" applyBorder="1" applyAlignment="1">
      <alignment horizontal="center" vertical="top"/>
    </xf>
    <xf numFmtId="3" fontId="4" fillId="7" borderId="40" xfId="0" applyNumberFormat="1" applyFont="1" applyFill="1" applyBorder="1" applyAlignment="1">
      <alignment horizontal="center" vertical="top" wrapText="1"/>
    </xf>
    <xf numFmtId="3" fontId="6" fillId="0" borderId="45" xfId="0" applyNumberFormat="1" applyFont="1" applyBorder="1" applyAlignment="1">
      <alignment horizontal="center" vertical="top"/>
    </xf>
    <xf numFmtId="3" fontId="4" fillId="0" borderId="40" xfId="0" applyNumberFormat="1" applyFont="1" applyFill="1" applyBorder="1" applyAlignment="1">
      <alignment vertical="top" wrapText="1"/>
    </xf>
    <xf numFmtId="164" fontId="4" fillId="7" borderId="30" xfId="0" applyNumberFormat="1" applyFont="1" applyFill="1" applyBorder="1" applyAlignment="1">
      <alignment horizontal="center" vertical="top" wrapText="1"/>
    </xf>
    <xf numFmtId="3" fontId="4" fillId="6" borderId="16" xfId="0" applyNumberFormat="1" applyFont="1" applyFill="1" applyBorder="1" applyAlignment="1">
      <alignment horizontal="left" vertical="top" wrapText="1"/>
    </xf>
    <xf numFmtId="3" fontId="4" fillId="7" borderId="15" xfId="0" applyNumberFormat="1" applyFont="1" applyFill="1" applyBorder="1" applyAlignment="1">
      <alignment horizontal="left" vertical="top" wrapText="1"/>
    </xf>
    <xf numFmtId="3" fontId="3" fillId="0" borderId="54" xfId="0" applyNumberFormat="1" applyFont="1" applyBorder="1" applyAlignment="1">
      <alignment horizontal="center" vertical="top"/>
    </xf>
    <xf numFmtId="3" fontId="3" fillId="5" borderId="4" xfId="0" applyNumberFormat="1" applyFont="1" applyFill="1" applyBorder="1" applyAlignment="1">
      <alignment horizontal="center" vertical="top"/>
    </xf>
    <xf numFmtId="3" fontId="4" fillId="0" borderId="0" xfId="0" applyNumberFormat="1" applyFont="1" applyFill="1" applyBorder="1" applyAlignment="1">
      <alignment horizontal="left" vertical="top" wrapText="1"/>
    </xf>
    <xf numFmtId="3" fontId="4" fillId="0" borderId="16" xfId="0" applyNumberFormat="1" applyFont="1" applyBorder="1" applyAlignment="1">
      <alignment horizontal="center" vertical="top" wrapText="1"/>
    </xf>
    <xf numFmtId="49" fontId="3" fillId="0" borderId="13" xfId="0" applyNumberFormat="1" applyFont="1" applyBorder="1" applyAlignment="1">
      <alignment horizontal="center" vertical="top"/>
    </xf>
    <xf numFmtId="3" fontId="4" fillId="0" borderId="7" xfId="0" applyNumberFormat="1" applyFont="1" applyFill="1" applyBorder="1" applyAlignment="1">
      <alignment horizontal="center" vertical="top"/>
    </xf>
    <xf numFmtId="3" fontId="18" fillId="6" borderId="40" xfId="0" applyNumberFormat="1" applyFont="1" applyFill="1" applyBorder="1" applyAlignment="1">
      <alignment vertical="top" wrapText="1"/>
    </xf>
    <xf numFmtId="3" fontId="24" fillId="4" borderId="39" xfId="0" applyNumberFormat="1" applyFont="1" applyFill="1" applyBorder="1" applyAlignment="1">
      <alignment horizontal="center" vertical="top"/>
    </xf>
    <xf numFmtId="3" fontId="24" fillId="5" borderId="13" xfId="0" applyNumberFormat="1" applyFont="1" applyFill="1" applyBorder="1" applyAlignment="1">
      <alignment horizontal="center" vertical="top"/>
    </xf>
    <xf numFmtId="49" fontId="24" fillId="0" borderId="14" xfId="0" applyNumberFormat="1" applyFont="1" applyBorder="1" applyAlignment="1">
      <alignment horizontal="center" vertical="top"/>
    </xf>
    <xf numFmtId="164" fontId="19" fillId="6" borderId="31" xfId="0" applyNumberFormat="1" applyFont="1" applyFill="1" applyBorder="1" applyAlignment="1">
      <alignment horizontal="center" vertical="top"/>
    </xf>
    <xf numFmtId="49" fontId="19" fillId="6" borderId="41" xfId="0" applyNumberFormat="1" applyFont="1" applyFill="1" applyBorder="1" applyAlignment="1">
      <alignment horizontal="center" vertical="top"/>
    </xf>
    <xf numFmtId="49" fontId="19" fillId="6" borderId="13" xfId="0" applyNumberFormat="1" applyFont="1" applyFill="1" applyBorder="1" applyAlignment="1">
      <alignment horizontal="center" vertical="top"/>
    </xf>
    <xf numFmtId="49" fontId="19" fillId="6" borderId="15" xfId="0" applyNumberFormat="1" applyFont="1" applyFill="1" applyBorder="1" applyAlignment="1">
      <alignment horizontal="center" vertical="top"/>
    </xf>
    <xf numFmtId="3" fontId="19" fillId="0" borderId="0" xfId="0" applyNumberFormat="1" applyFont="1" applyBorder="1" applyAlignment="1">
      <alignment vertical="top"/>
    </xf>
    <xf numFmtId="164" fontId="4" fillId="6" borderId="32" xfId="0" applyNumberFormat="1" applyFont="1" applyFill="1" applyBorder="1" applyAlignment="1">
      <alignment horizontal="center" vertical="top"/>
    </xf>
    <xf numFmtId="164" fontId="4" fillId="0" borderId="32" xfId="0" applyNumberFormat="1" applyFont="1" applyFill="1" applyBorder="1" applyAlignment="1">
      <alignment horizontal="center" vertical="top"/>
    </xf>
    <xf numFmtId="164" fontId="3" fillId="8" borderId="24"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8" borderId="1" xfId="0" applyNumberFormat="1" applyFont="1" applyFill="1" applyBorder="1" applyAlignment="1">
      <alignment horizontal="center" vertical="top"/>
    </xf>
    <xf numFmtId="164" fontId="1" fillId="0" borderId="35" xfId="0" applyNumberFormat="1" applyFont="1" applyFill="1" applyBorder="1" applyAlignment="1">
      <alignment horizontal="center" vertical="top"/>
    </xf>
    <xf numFmtId="164" fontId="1" fillId="7" borderId="0" xfId="0" applyNumberFormat="1" applyFont="1" applyFill="1" applyBorder="1" applyAlignment="1">
      <alignment horizontal="center" vertical="top"/>
    </xf>
    <xf numFmtId="164" fontId="1" fillId="0" borderId="15" xfId="0" applyNumberFormat="1" applyFont="1" applyBorder="1" applyAlignment="1">
      <alignment horizontal="center" vertical="top"/>
    </xf>
    <xf numFmtId="164" fontId="6" fillId="8" borderId="24" xfId="0" applyNumberFormat="1" applyFont="1" applyFill="1" applyBorder="1" applyAlignment="1">
      <alignment horizontal="center" vertical="top"/>
    </xf>
    <xf numFmtId="164" fontId="1" fillId="7" borderId="6" xfId="0" applyNumberFormat="1" applyFont="1" applyFill="1" applyBorder="1" applyAlignment="1">
      <alignment horizontal="center" vertical="top"/>
    </xf>
    <xf numFmtId="164" fontId="1" fillId="7" borderId="32" xfId="0" applyNumberFormat="1" applyFont="1" applyFill="1" applyBorder="1" applyAlignment="1">
      <alignment horizontal="center" vertical="top" wrapText="1"/>
    </xf>
    <xf numFmtId="164" fontId="3" fillId="8" borderId="15" xfId="0" applyNumberFormat="1" applyFont="1" applyFill="1" applyBorder="1" applyAlignment="1">
      <alignment horizontal="center" vertical="top"/>
    </xf>
    <xf numFmtId="164" fontId="4" fillId="7" borderId="51" xfId="0" applyNumberFormat="1" applyFont="1" applyFill="1" applyBorder="1" applyAlignment="1">
      <alignment horizontal="center" vertical="top" wrapText="1"/>
    </xf>
    <xf numFmtId="164" fontId="6" fillId="8" borderId="0" xfId="0" applyNumberFormat="1" applyFont="1" applyFill="1" applyBorder="1" applyAlignment="1">
      <alignment horizontal="center" vertical="top" wrapText="1"/>
    </xf>
    <xf numFmtId="164" fontId="4" fillId="0" borderId="6" xfId="0" applyNumberFormat="1" applyFont="1" applyFill="1" applyBorder="1" applyAlignment="1">
      <alignment horizontal="center" vertical="top"/>
    </xf>
    <xf numFmtId="164" fontId="3" fillId="5" borderId="10" xfId="0" applyNumberFormat="1" applyFont="1" applyFill="1" applyBorder="1" applyAlignment="1">
      <alignment horizontal="center" vertical="top"/>
    </xf>
    <xf numFmtId="164" fontId="1" fillId="7" borderId="36" xfId="0" applyNumberFormat="1" applyFont="1" applyFill="1" applyBorder="1" applyAlignment="1">
      <alignment horizontal="center" vertical="top"/>
    </xf>
    <xf numFmtId="164" fontId="1" fillId="6" borderId="43" xfId="0" applyNumberFormat="1" applyFont="1" applyFill="1" applyBorder="1" applyAlignment="1">
      <alignment horizontal="center" vertical="top"/>
    </xf>
    <xf numFmtId="164" fontId="1" fillId="7" borderId="39" xfId="0" applyNumberFormat="1" applyFont="1" applyFill="1" applyBorder="1" applyAlignment="1">
      <alignment horizontal="center" vertical="top"/>
    </xf>
    <xf numFmtId="164" fontId="4" fillId="6" borderId="39" xfId="0" applyNumberFormat="1" applyFont="1" applyFill="1" applyBorder="1" applyAlignment="1">
      <alignment horizontal="center" vertical="top"/>
    </xf>
    <xf numFmtId="164" fontId="4" fillId="7" borderId="39" xfId="0" applyNumberFormat="1" applyFont="1" applyFill="1" applyBorder="1" applyAlignment="1">
      <alignment horizontal="center" vertical="top"/>
    </xf>
    <xf numFmtId="164" fontId="4" fillId="7" borderId="11" xfId="0" applyNumberFormat="1" applyFont="1" applyFill="1" applyBorder="1" applyAlignment="1">
      <alignment horizontal="center" vertical="top"/>
    </xf>
    <xf numFmtId="164" fontId="4" fillId="0" borderId="11" xfId="0" applyNumberFormat="1" applyFont="1" applyFill="1" applyBorder="1" applyAlignment="1">
      <alignment horizontal="center" vertical="top"/>
    </xf>
    <xf numFmtId="164" fontId="4" fillId="0" borderId="43" xfId="0" applyNumberFormat="1" applyFont="1" applyFill="1" applyBorder="1" applyAlignment="1">
      <alignment horizontal="center" vertical="top"/>
    </xf>
    <xf numFmtId="164" fontId="4" fillId="6" borderId="43" xfId="0" applyNumberFormat="1" applyFont="1" applyFill="1" applyBorder="1" applyAlignment="1">
      <alignment horizontal="center" vertical="top"/>
    </xf>
    <xf numFmtId="164" fontId="6" fillId="6" borderId="15" xfId="0" applyNumberFormat="1" applyFont="1" applyFill="1" applyBorder="1" applyAlignment="1">
      <alignment horizontal="center" vertical="top"/>
    </xf>
    <xf numFmtId="164" fontId="1" fillId="7" borderId="31" xfId="0" applyNumberFormat="1" applyFont="1" applyFill="1" applyBorder="1" applyAlignment="1">
      <alignment horizontal="center" vertical="top"/>
    </xf>
    <xf numFmtId="164" fontId="6" fillId="8" borderId="56" xfId="0" applyNumberFormat="1" applyFont="1" applyFill="1" applyBorder="1" applyAlignment="1">
      <alignment horizontal="center" vertical="top"/>
    </xf>
    <xf numFmtId="164" fontId="1" fillId="0" borderId="18" xfId="0" applyNumberFormat="1" applyFont="1" applyFill="1" applyBorder="1" applyAlignment="1">
      <alignment horizontal="center" vertical="top"/>
    </xf>
    <xf numFmtId="164" fontId="3" fillId="5" borderId="9" xfId="0" applyNumberFormat="1" applyFont="1" applyFill="1" applyBorder="1" applyAlignment="1">
      <alignment horizontal="center" vertical="top"/>
    </xf>
    <xf numFmtId="164" fontId="1" fillId="0" borderId="11" xfId="0" applyNumberFormat="1" applyFont="1" applyFill="1" applyBorder="1" applyAlignment="1">
      <alignment horizontal="center" vertical="top"/>
    </xf>
    <xf numFmtId="164" fontId="1" fillId="0" borderId="39" xfId="0" applyNumberFormat="1" applyFont="1" applyFill="1" applyBorder="1" applyAlignment="1">
      <alignment horizontal="center" vertical="top"/>
    </xf>
    <xf numFmtId="164" fontId="6" fillId="8" borderId="20" xfId="0" applyNumberFormat="1" applyFont="1" applyFill="1" applyBorder="1" applyAlignment="1">
      <alignment horizontal="center" vertical="top"/>
    </xf>
    <xf numFmtId="164" fontId="1" fillId="7" borderId="36" xfId="0" applyNumberFormat="1" applyFont="1" applyFill="1" applyBorder="1" applyAlignment="1">
      <alignment horizontal="center" vertical="top" wrapText="1"/>
    </xf>
    <xf numFmtId="164" fontId="1" fillId="7" borderId="43" xfId="0" applyNumberFormat="1" applyFont="1" applyFill="1" applyBorder="1" applyAlignment="1">
      <alignment horizontal="center" vertical="top"/>
    </xf>
    <xf numFmtId="164" fontId="1" fillId="0" borderId="36" xfId="0" applyNumberFormat="1" applyFont="1" applyBorder="1" applyAlignment="1">
      <alignment horizontal="center" vertical="top"/>
    </xf>
    <xf numFmtId="164" fontId="1" fillId="0" borderId="36" xfId="0" applyNumberFormat="1" applyFont="1" applyFill="1" applyBorder="1" applyAlignment="1">
      <alignment horizontal="center" vertical="top"/>
    </xf>
    <xf numFmtId="164" fontId="1" fillId="7" borderId="2" xfId="0" applyNumberFormat="1" applyFont="1" applyFill="1" applyBorder="1" applyAlignment="1">
      <alignment horizontal="center" vertical="top" wrapText="1"/>
    </xf>
    <xf numFmtId="164" fontId="1" fillId="7" borderId="11" xfId="0" applyNumberFormat="1" applyFont="1" applyFill="1" applyBorder="1" applyAlignment="1">
      <alignment horizontal="center" vertical="top" wrapText="1"/>
    </xf>
    <xf numFmtId="3" fontId="2" fillId="0" borderId="15" xfId="0" applyNumberFormat="1" applyFont="1" applyBorder="1"/>
    <xf numFmtId="164" fontId="6" fillId="5" borderId="10" xfId="0" applyNumberFormat="1" applyFont="1" applyFill="1" applyBorder="1" applyAlignment="1">
      <alignment horizontal="center" vertical="top"/>
    </xf>
    <xf numFmtId="164" fontId="4" fillId="7" borderId="2" xfId="0" applyNumberFormat="1" applyFont="1" applyFill="1" applyBorder="1" applyAlignment="1">
      <alignment horizontal="center" vertical="top" wrapText="1"/>
    </xf>
    <xf numFmtId="164" fontId="4" fillId="0" borderId="36" xfId="0" applyNumberFormat="1" applyFont="1" applyFill="1" applyBorder="1" applyAlignment="1">
      <alignment horizontal="center" vertical="top" wrapText="1"/>
    </xf>
    <xf numFmtId="164" fontId="4" fillId="0" borderId="39" xfId="0" applyNumberFormat="1" applyFont="1" applyBorder="1" applyAlignment="1">
      <alignment horizontal="center" vertical="top" wrapText="1"/>
    </xf>
    <xf numFmtId="164" fontId="4" fillId="0" borderId="39" xfId="0" applyNumberFormat="1" applyFont="1" applyFill="1" applyBorder="1" applyAlignment="1">
      <alignment horizontal="center" vertical="top" wrapText="1"/>
    </xf>
    <xf numFmtId="3" fontId="2" fillId="0" borderId="39" xfId="0" applyNumberFormat="1" applyFont="1" applyBorder="1"/>
    <xf numFmtId="164" fontId="4" fillId="0" borderId="43"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4" fontId="6" fillId="5" borderId="33" xfId="0" applyNumberFormat="1" applyFont="1" applyFill="1" applyBorder="1" applyAlignment="1">
      <alignment horizontal="center" vertical="top"/>
    </xf>
    <xf numFmtId="164" fontId="3" fillId="4" borderId="33" xfId="0" applyNumberFormat="1" applyFont="1" applyFill="1" applyBorder="1" applyAlignment="1">
      <alignment horizontal="center" vertical="top"/>
    </xf>
    <xf numFmtId="164" fontId="3" fillId="3" borderId="59" xfId="0" applyNumberFormat="1" applyFont="1" applyFill="1" applyBorder="1" applyAlignment="1">
      <alignment horizontal="center" vertical="top" wrapText="1"/>
    </xf>
    <xf numFmtId="164" fontId="1" fillId="7" borderId="4" xfId="0" applyNumberFormat="1" applyFont="1" applyFill="1" applyBorder="1" applyAlignment="1">
      <alignment horizontal="center" vertical="top"/>
    </xf>
    <xf numFmtId="164" fontId="18" fillId="6" borderId="44" xfId="0" applyNumberFormat="1" applyFont="1" applyFill="1" applyBorder="1" applyAlignment="1">
      <alignment horizontal="center" vertical="top"/>
    </xf>
    <xf numFmtId="164" fontId="1" fillId="7" borderId="13" xfId="0" applyNumberFormat="1" applyFont="1" applyFill="1" applyBorder="1" applyAlignment="1">
      <alignment horizontal="center" vertical="top"/>
    </xf>
    <xf numFmtId="164" fontId="4" fillId="6" borderId="13" xfId="0" applyNumberFormat="1" applyFont="1" applyFill="1" applyBorder="1" applyAlignment="1">
      <alignment horizontal="center" vertical="top"/>
    </xf>
    <xf numFmtId="164" fontId="4" fillId="7" borderId="13" xfId="0" applyNumberFormat="1" applyFont="1" applyFill="1" applyBorder="1" applyAlignment="1">
      <alignment horizontal="center" vertical="top"/>
    </xf>
    <xf numFmtId="164" fontId="3" fillId="8" borderId="12" xfId="0" applyNumberFormat="1" applyFont="1" applyFill="1" applyBorder="1" applyAlignment="1">
      <alignment horizontal="center" vertical="top"/>
    </xf>
    <xf numFmtId="164" fontId="4" fillId="6" borderId="50" xfId="0" applyNumberFormat="1" applyFont="1" applyFill="1" applyBorder="1" applyAlignment="1">
      <alignment horizontal="center" vertical="top"/>
    </xf>
    <xf numFmtId="164" fontId="3" fillId="8" borderId="44" xfId="0" applyNumberFormat="1" applyFont="1" applyFill="1" applyBorder="1" applyAlignment="1">
      <alignment horizontal="center" vertical="top"/>
    </xf>
    <xf numFmtId="164" fontId="4" fillId="7" borderId="12"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2" xfId="0" applyNumberFormat="1" applyFont="1" applyFill="1" applyBorder="1" applyAlignment="1">
      <alignment horizontal="center" vertical="top"/>
    </xf>
    <xf numFmtId="164" fontId="4" fillId="0" borderId="44" xfId="0" applyNumberFormat="1" applyFont="1" applyFill="1" applyBorder="1" applyAlignment="1">
      <alignment horizontal="center" vertical="top"/>
    </xf>
    <xf numFmtId="164" fontId="4" fillId="6" borderId="44" xfId="0" applyNumberFormat="1" applyFont="1" applyFill="1" applyBorder="1" applyAlignment="1">
      <alignment horizontal="center" vertical="top"/>
    </xf>
    <xf numFmtId="164" fontId="3" fillId="8" borderId="21" xfId="0" applyNumberFormat="1" applyFont="1" applyFill="1" applyBorder="1" applyAlignment="1">
      <alignment horizontal="center" vertical="top"/>
    </xf>
    <xf numFmtId="164" fontId="4" fillId="0" borderId="4" xfId="0" applyNumberFormat="1" applyFont="1" applyFill="1" applyBorder="1" applyAlignment="1">
      <alignment horizontal="center" vertical="top"/>
    </xf>
    <xf numFmtId="164" fontId="1" fillId="0" borderId="3" xfId="0" applyNumberFormat="1" applyFont="1" applyFill="1" applyBorder="1" applyAlignment="1">
      <alignment horizontal="center" vertical="top"/>
    </xf>
    <xf numFmtId="164" fontId="3" fillId="5" borderId="34" xfId="0" applyNumberFormat="1" applyFont="1" applyFill="1" applyBorder="1" applyAlignment="1">
      <alignment horizontal="center" vertical="top"/>
    </xf>
    <xf numFmtId="164" fontId="1" fillId="0" borderId="12" xfId="0" applyNumberFormat="1" applyFont="1" applyFill="1" applyBorder="1" applyAlignment="1">
      <alignment horizontal="center" vertical="top"/>
    </xf>
    <xf numFmtId="164" fontId="1" fillId="0" borderId="44" xfId="0" applyNumberFormat="1" applyFont="1" applyFill="1" applyBorder="1" applyAlignment="1">
      <alignment horizontal="center" vertical="top"/>
    </xf>
    <xf numFmtId="164" fontId="1" fillId="0" borderId="44" xfId="0" applyNumberFormat="1" applyFont="1" applyBorder="1" applyAlignment="1">
      <alignment horizontal="center" vertical="top"/>
    </xf>
    <xf numFmtId="164" fontId="1" fillId="0" borderId="13" xfId="0" applyNumberFormat="1" applyFont="1" applyBorder="1" applyAlignment="1">
      <alignment horizontal="center" vertical="top"/>
    </xf>
    <xf numFmtId="164" fontId="1" fillId="6" borderId="13" xfId="0" applyNumberFormat="1" applyFont="1" applyFill="1" applyBorder="1" applyAlignment="1">
      <alignment horizontal="center" vertical="top"/>
    </xf>
    <xf numFmtId="164" fontId="6" fillId="6" borderId="13" xfId="0" applyNumberFormat="1" applyFont="1" applyFill="1" applyBorder="1" applyAlignment="1">
      <alignment horizontal="center" vertical="top"/>
    </xf>
    <xf numFmtId="164" fontId="1" fillId="0" borderId="13" xfId="0" applyNumberFormat="1" applyFont="1" applyFill="1" applyBorder="1" applyAlignment="1">
      <alignment horizontal="center" vertical="top"/>
    </xf>
    <xf numFmtId="164" fontId="6" fillId="8" borderId="21" xfId="0" applyNumberFormat="1" applyFont="1" applyFill="1" applyBorder="1" applyAlignment="1">
      <alignment horizontal="center" vertical="top"/>
    </xf>
    <xf numFmtId="164" fontId="1" fillId="7" borderId="13" xfId="0" applyNumberFormat="1" applyFont="1" applyFill="1" applyBorder="1" applyAlignment="1">
      <alignment horizontal="center" vertical="top" wrapText="1"/>
    </xf>
    <xf numFmtId="164" fontId="1" fillId="6" borderId="50" xfId="0" applyNumberFormat="1" applyFont="1" applyFill="1" applyBorder="1" applyAlignment="1">
      <alignment horizontal="center" vertical="top"/>
    </xf>
    <xf numFmtId="164" fontId="1" fillId="7" borderId="44" xfId="0" applyNumberFormat="1" applyFont="1" applyFill="1" applyBorder="1" applyAlignment="1">
      <alignment horizontal="center" vertical="top"/>
    </xf>
    <xf numFmtId="164" fontId="18" fillId="0" borderId="4" xfId="0" applyNumberFormat="1" applyFont="1" applyBorder="1" applyAlignment="1">
      <alignment horizontal="center" vertical="top"/>
    </xf>
    <xf numFmtId="164" fontId="1" fillId="0" borderId="4" xfId="0" applyNumberFormat="1" applyFont="1" applyFill="1" applyBorder="1" applyAlignment="1">
      <alignment horizontal="center" vertical="top"/>
    </xf>
    <xf numFmtId="164" fontId="1" fillId="7" borderId="3" xfId="0" applyNumberFormat="1" applyFont="1" applyFill="1" applyBorder="1" applyAlignment="1">
      <alignment horizontal="center" vertical="top" wrapText="1"/>
    </xf>
    <xf numFmtId="164" fontId="4" fillId="6" borderId="35" xfId="0" applyNumberFormat="1" applyFont="1" applyFill="1" applyBorder="1" applyAlignment="1">
      <alignment horizontal="center" vertical="top" wrapText="1"/>
    </xf>
    <xf numFmtId="164" fontId="4" fillId="6" borderId="0" xfId="0" applyNumberFormat="1" applyFont="1" applyFill="1" applyBorder="1" applyAlignment="1">
      <alignment horizontal="center" vertical="top" wrapText="1"/>
    </xf>
    <xf numFmtId="164" fontId="4" fillId="6" borderId="51" xfId="0" applyNumberFormat="1" applyFont="1" applyFill="1" applyBorder="1" applyAlignment="1">
      <alignment horizontal="center" vertical="top" wrapText="1"/>
    </xf>
    <xf numFmtId="164" fontId="19" fillId="7" borderId="31" xfId="0" applyNumberFormat="1" applyFont="1" applyFill="1" applyBorder="1" applyAlignment="1">
      <alignment horizontal="center" vertical="top" wrapText="1"/>
    </xf>
    <xf numFmtId="164" fontId="1" fillId="7" borderId="31" xfId="0" applyNumberFormat="1" applyFont="1" applyFill="1" applyBorder="1" applyAlignment="1">
      <alignment horizontal="center" vertical="top" wrapText="1"/>
    </xf>
    <xf numFmtId="164" fontId="4" fillId="6" borderId="4" xfId="0" applyNumberFormat="1" applyFont="1" applyFill="1" applyBorder="1" applyAlignment="1">
      <alignment horizontal="center" vertical="top" wrapText="1"/>
    </xf>
    <xf numFmtId="164" fontId="4" fillId="7" borderId="44" xfId="0" applyNumberFormat="1" applyFont="1" applyFill="1" applyBorder="1" applyAlignment="1">
      <alignment horizontal="center" vertical="top" wrapText="1"/>
    </xf>
    <xf numFmtId="164" fontId="4" fillId="7" borderId="50" xfId="0" applyNumberFormat="1" applyFont="1" applyFill="1" applyBorder="1" applyAlignment="1">
      <alignment horizontal="center" vertical="top" wrapText="1"/>
    </xf>
    <xf numFmtId="164" fontId="4" fillId="6" borderId="13"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xf>
    <xf numFmtId="164" fontId="19" fillId="7" borderId="44" xfId="0" applyNumberFormat="1" applyFont="1" applyFill="1" applyBorder="1" applyAlignment="1">
      <alignment horizontal="center" vertical="top" wrapText="1"/>
    </xf>
    <xf numFmtId="164" fontId="19" fillId="0" borderId="44" xfId="0" applyNumberFormat="1" applyFont="1" applyFill="1" applyBorder="1" applyAlignment="1">
      <alignment horizontal="center" vertical="top" wrapText="1"/>
    </xf>
    <xf numFmtId="164" fontId="1" fillId="7" borderId="12" xfId="0" applyNumberFormat="1" applyFont="1" applyFill="1" applyBorder="1" applyAlignment="1">
      <alignment horizontal="center" vertical="top" wrapText="1"/>
    </xf>
    <xf numFmtId="164" fontId="4" fillId="7" borderId="3" xfId="0" applyNumberFormat="1" applyFont="1" applyFill="1" applyBorder="1" applyAlignment="1">
      <alignment horizontal="center" vertical="top" wrapText="1"/>
    </xf>
    <xf numFmtId="164" fontId="4" fillId="6" borderId="12" xfId="0" applyNumberFormat="1" applyFont="1" applyFill="1" applyBorder="1" applyAlignment="1">
      <alignment horizontal="center" vertical="top"/>
    </xf>
    <xf numFmtId="164" fontId="4" fillId="0" borderId="4" xfId="0" applyNumberFormat="1" applyFont="1" applyFill="1" applyBorder="1" applyAlignment="1">
      <alignment horizontal="center" vertical="top" wrapText="1"/>
    </xf>
    <xf numFmtId="164" fontId="4" fillId="0" borderId="13" xfId="0" applyNumberFormat="1" applyFont="1" applyBorder="1" applyAlignment="1">
      <alignment horizontal="center" vertical="top" wrapText="1"/>
    </xf>
    <xf numFmtId="164" fontId="1" fillId="0" borderId="13"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3" fontId="2" fillId="0" borderId="13" xfId="0" applyNumberFormat="1" applyFont="1" applyBorder="1"/>
    <xf numFmtId="164" fontId="4" fillId="0" borderId="44" xfId="0" applyNumberFormat="1"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6" fillId="5" borderId="34" xfId="0" applyNumberFormat="1" applyFont="1" applyFill="1" applyBorder="1" applyAlignment="1">
      <alignment horizontal="center" vertical="top"/>
    </xf>
    <xf numFmtId="164" fontId="3" fillId="4" borderId="34" xfId="0" applyNumberFormat="1" applyFont="1" applyFill="1" applyBorder="1" applyAlignment="1">
      <alignment horizontal="center" vertical="top"/>
    </xf>
    <xf numFmtId="164" fontId="3" fillId="3" borderId="22" xfId="0" applyNumberFormat="1" applyFont="1" applyFill="1" applyBorder="1" applyAlignment="1">
      <alignment horizontal="center" vertical="top" wrapText="1"/>
    </xf>
    <xf numFmtId="164" fontId="6" fillId="8" borderId="30" xfId="0" applyNumberFormat="1" applyFont="1" applyFill="1" applyBorder="1" applyAlignment="1">
      <alignment horizontal="center" vertical="top" wrapText="1"/>
    </xf>
    <xf numFmtId="164" fontId="1" fillId="7" borderId="18" xfId="0" applyNumberFormat="1" applyFont="1" applyFill="1" applyBorder="1" applyAlignment="1">
      <alignment horizontal="center" vertical="top" wrapText="1"/>
    </xf>
    <xf numFmtId="164" fontId="6" fillId="8" borderId="62" xfId="0" applyNumberFormat="1" applyFont="1" applyFill="1" applyBorder="1" applyAlignment="1">
      <alignment horizontal="center" vertical="top"/>
    </xf>
    <xf numFmtId="164" fontId="4" fillId="7" borderId="35" xfId="0" applyNumberFormat="1" applyFont="1" applyFill="1" applyBorder="1" applyAlignment="1">
      <alignment horizontal="center" vertical="top"/>
    </xf>
    <xf numFmtId="3" fontId="2" fillId="0" borderId="41" xfId="0" applyNumberFormat="1" applyFont="1" applyBorder="1"/>
    <xf numFmtId="164" fontId="3" fillId="8" borderId="30"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47" xfId="0" applyNumberFormat="1" applyFont="1" applyFill="1" applyBorder="1" applyAlignment="1">
      <alignment horizontal="center" vertical="top"/>
    </xf>
    <xf numFmtId="164" fontId="3" fillId="8" borderId="45" xfId="0" applyNumberFormat="1" applyFont="1" applyFill="1" applyBorder="1" applyAlignment="1">
      <alignment horizontal="center" vertical="top"/>
    </xf>
    <xf numFmtId="164" fontId="4" fillId="6" borderId="47" xfId="0" applyNumberFormat="1" applyFont="1" applyFill="1" applyBorder="1" applyAlignment="1">
      <alignment horizontal="center" vertical="top"/>
    </xf>
    <xf numFmtId="164" fontId="3" fillId="8" borderId="47" xfId="0" applyNumberFormat="1" applyFont="1" applyFill="1" applyBorder="1" applyAlignment="1">
      <alignment horizontal="center" vertical="top"/>
    </xf>
    <xf numFmtId="164" fontId="4" fillId="0" borderId="53" xfId="0" applyNumberFormat="1" applyFont="1" applyFill="1" applyBorder="1" applyAlignment="1">
      <alignment horizontal="center" vertical="top"/>
    </xf>
    <xf numFmtId="164" fontId="3" fillId="8" borderId="72" xfId="0" applyNumberFormat="1" applyFont="1" applyFill="1" applyBorder="1" applyAlignment="1">
      <alignment horizontal="center" vertical="top"/>
    </xf>
    <xf numFmtId="164" fontId="3" fillId="8" borderId="26" xfId="0" applyNumberFormat="1" applyFont="1" applyFill="1" applyBorder="1" applyAlignment="1">
      <alignment horizontal="center" vertical="top"/>
    </xf>
    <xf numFmtId="164" fontId="4" fillId="0" borderId="54" xfId="0" applyNumberFormat="1" applyFont="1" applyFill="1" applyBorder="1" applyAlignment="1">
      <alignment horizontal="center" vertical="top"/>
    </xf>
    <xf numFmtId="164" fontId="4" fillId="0" borderId="67" xfId="0" applyNumberFormat="1" applyFont="1" applyFill="1" applyBorder="1" applyAlignment="1">
      <alignment horizontal="center" vertical="top"/>
    </xf>
    <xf numFmtId="164" fontId="4" fillId="7" borderId="6" xfId="0" applyNumberFormat="1" applyFont="1" applyFill="1" applyBorder="1" applyAlignment="1">
      <alignment horizontal="center" vertical="top"/>
    </xf>
    <xf numFmtId="164" fontId="4" fillId="6" borderId="31" xfId="0" applyNumberFormat="1" applyFont="1" applyFill="1" applyBorder="1" applyAlignment="1">
      <alignment horizontal="center" vertical="top"/>
    </xf>
    <xf numFmtId="164" fontId="4" fillId="7" borderId="4" xfId="0" applyNumberFormat="1" applyFont="1" applyFill="1" applyBorder="1" applyAlignment="1">
      <alignment horizontal="center" vertical="top"/>
    </xf>
    <xf numFmtId="164" fontId="4" fillId="0" borderId="3" xfId="0" applyNumberFormat="1" applyFont="1" applyFill="1" applyBorder="1" applyAlignment="1">
      <alignment horizontal="center" vertical="top"/>
    </xf>
    <xf numFmtId="164" fontId="1" fillId="0" borderId="31" xfId="0" applyNumberFormat="1" applyFont="1" applyFill="1" applyBorder="1" applyAlignment="1">
      <alignment horizontal="center" vertical="top"/>
    </xf>
    <xf numFmtId="164" fontId="4" fillId="7" borderId="27" xfId="0" applyNumberFormat="1" applyFont="1" applyFill="1" applyBorder="1" applyAlignment="1">
      <alignment horizontal="center" vertical="top" wrapText="1"/>
    </xf>
    <xf numFmtId="164" fontId="6" fillId="8" borderId="22" xfId="0" applyNumberFormat="1" applyFont="1" applyFill="1" applyBorder="1" applyAlignment="1">
      <alignment horizontal="center" vertical="top"/>
    </xf>
    <xf numFmtId="164" fontId="4" fillId="7" borderId="4" xfId="0" applyNumberFormat="1" applyFont="1" applyFill="1" applyBorder="1" applyAlignment="1">
      <alignment horizontal="center" vertical="top" wrapText="1"/>
    </xf>
    <xf numFmtId="164" fontId="4" fillId="7" borderId="13" xfId="0" applyNumberFormat="1" applyFont="1" applyFill="1" applyBorder="1" applyAlignment="1">
      <alignment horizontal="center" vertical="top" wrapText="1"/>
    </xf>
    <xf numFmtId="164" fontId="4" fillId="7" borderId="44" xfId="0" applyNumberFormat="1" applyFont="1" applyFill="1" applyBorder="1" applyAlignment="1">
      <alignment horizontal="center" vertical="top"/>
    </xf>
    <xf numFmtId="164" fontId="1" fillId="6" borderId="30" xfId="0" applyNumberFormat="1" applyFont="1" applyFill="1" applyBorder="1" applyAlignment="1">
      <alignment horizontal="center" vertical="top" wrapText="1"/>
    </xf>
    <xf numFmtId="164" fontId="4" fillId="7" borderId="54" xfId="0" applyNumberFormat="1" applyFont="1" applyFill="1" applyBorder="1" applyAlignment="1">
      <alignment horizontal="center" vertical="top" wrapText="1"/>
    </xf>
    <xf numFmtId="164" fontId="4" fillId="6" borderId="6" xfId="0" applyNumberFormat="1" applyFont="1" applyFill="1" applyBorder="1" applyAlignment="1">
      <alignment horizontal="center" vertical="top" wrapText="1"/>
    </xf>
    <xf numFmtId="164" fontId="4" fillId="6" borderId="15" xfId="0" applyNumberFormat="1" applyFont="1" applyFill="1" applyBorder="1" applyAlignment="1">
      <alignment horizontal="center" vertical="top" wrapText="1"/>
    </xf>
    <xf numFmtId="164" fontId="19" fillId="7" borderId="32" xfId="0" applyNumberFormat="1" applyFont="1" applyFill="1" applyBorder="1" applyAlignment="1">
      <alignment horizontal="center" vertical="top" wrapText="1"/>
    </xf>
    <xf numFmtId="164" fontId="3" fillId="5" borderId="1" xfId="0" applyNumberFormat="1" applyFont="1" applyFill="1" applyBorder="1" applyAlignment="1">
      <alignment horizontal="center" vertical="top"/>
    </xf>
    <xf numFmtId="164" fontId="6" fillId="8" borderId="12" xfId="0" applyNumberFormat="1" applyFont="1" applyFill="1" applyBorder="1" applyAlignment="1">
      <alignment horizontal="center" vertical="top" wrapText="1"/>
    </xf>
    <xf numFmtId="164" fontId="19" fillId="6" borderId="44" xfId="0" applyNumberFormat="1" applyFont="1" applyFill="1" applyBorder="1" applyAlignment="1">
      <alignment horizontal="center" vertical="top"/>
    </xf>
    <xf numFmtId="164" fontId="3" fillId="5" borderId="22" xfId="0" applyNumberFormat="1" applyFont="1" applyFill="1" applyBorder="1" applyAlignment="1">
      <alignment horizontal="center" vertical="top"/>
    </xf>
    <xf numFmtId="3" fontId="2" fillId="0" borderId="42" xfId="0" applyNumberFormat="1" applyFont="1" applyBorder="1"/>
    <xf numFmtId="164" fontId="1" fillId="6" borderId="12" xfId="0" applyNumberFormat="1" applyFont="1" applyFill="1" applyBorder="1" applyAlignment="1">
      <alignment horizontal="center" vertical="top"/>
    </xf>
    <xf numFmtId="3" fontId="2" fillId="0" borderId="44" xfId="0" applyNumberFormat="1" applyFont="1" applyBorder="1"/>
    <xf numFmtId="3" fontId="4" fillId="7" borderId="29" xfId="0" applyNumberFormat="1" applyFont="1" applyFill="1" applyBorder="1" applyAlignment="1">
      <alignment vertical="top" wrapText="1"/>
    </xf>
    <xf numFmtId="3" fontId="4" fillId="7" borderId="66" xfId="0" applyNumberFormat="1" applyFont="1" applyFill="1" applyBorder="1" applyAlignment="1">
      <alignment horizontal="left" vertical="top" wrapText="1"/>
    </xf>
    <xf numFmtId="3" fontId="4" fillId="0" borderId="15" xfId="0" applyNumberFormat="1" applyFont="1" applyFill="1" applyBorder="1" applyAlignment="1">
      <alignment vertical="top" wrapText="1"/>
    </xf>
    <xf numFmtId="164" fontId="1" fillId="6" borderId="51" xfId="0" applyNumberFormat="1" applyFont="1" applyFill="1" applyBorder="1" applyAlignment="1">
      <alignment horizontal="center" vertical="top"/>
    </xf>
    <xf numFmtId="164" fontId="18" fillId="0" borderId="35" xfId="0" applyNumberFormat="1" applyFont="1" applyFill="1" applyBorder="1" applyAlignment="1">
      <alignment horizontal="center" vertical="top"/>
    </xf>
    <xf numFmtId="164" fontId="1" fillId="7" borderId="28" xfId="0" applyNumberFormat="1" applyFont="1" applyFill="1" applyBorder="1" applyAlignment="1">
      <alignment horizontal="center" vertical="top" wrapText="1"/>
    </xf>
    <xf numFmtId="3" fontId="4" fillId="0" borderId="6" xfId="0" applyNumberFormat="1" applyFont="1" applyBorder="1" applyAlignment="1">
      <alignment vertical="top" wrapText="1"/>
    </xf>
    <xf numFmtId="3" fontId="4" fillId="0" borderId="19" xfId="0" applyNumberFormat="1" applyFont="1" applyFill="1" applyBorder="1" applyAlignment="1">
      <alignment vertical="top" wrapText="1"/>
    </xf>
    <xf numFmtId="0" fontId="19" fillId="0" borderId="15" xfId="0" applyFont="1" applyFill="1" applyBorder="1" applyAlignment="1">
      <alignment horizontal="left" vertical="top" wrapText="1"/>
    </xf>
    <xf numFmtId="3" fontId="1" fillId="0" borderId="35" xfId="0" applyNumberFormat="1" applyFont="1" applyFill="1" applyBorder="1" applyAlignment="1">
      <alignment horizontal="left" vertical="top" wrapText="1"/>
    </xf>
    <xf numFmtId="3" fontId="1" fillId="0" borderId="6" xfId="0" applyNumberFormat="1" applyFont="1" applyFill="1" applyBorder="1" applyAlignment="1">
      <alignment vertical="top" wrapText="1"/>
    </xf>
    <xf numFmtId="164" fontId="1" fillId="0" borderId="41" xfId="0" applyNumberFormat="1" applyFont="1" applyBorder="1" applyAlignment="1">
      <alignment horizontal="center" vertical="top"/>
    </xf>
    <xf numFmtId="164" fontId="1" fillId="0" borderId="41" xfId="0" applyNumberFormat="1" applyFont="1" applyFill="1" applyBorder="1" applyAlignment="1">
      <alignment horizontal="center" vertical="top" wrapText="1"/>
    </xf>
    <xf numFmtId="164" fontId="6" fillId="6" borderId="41" xfId="0" applyNumberFormat="1" applyFont="1" applyFill="1" applyBorder="1" applyAlignment="1">
      <alignment horizontal="center" vertical="top"/>
    </xf>
    <xf numFmtId="164" fontId="3" fillId="8" borderId="18"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8" xfId="0" applyNumberFormat="1" applyFont="1" applyFill="1" applyBorder="1" applyAlignment="1">
      <alignment horizontal="center" vertical="top"/>
    </xf>
    <xf numFmtId="164" fontId="4" fillId="7" borderId="47" xfId="0" applyNumberFormat="1" applyFont="1" applyFill="1" applyBorder="1" applyAlignment="1">
      <alignment horizontal="center" vertical="top" wrapText="1"/>
    </xf>
    <xf numFmtId="164" fontId="1" fillId="0" borderId="67" xfId="0" applyNumberFormat="1" applyFont="1" applyFill="1" applyBorder="1" applyAlignment="1">
      <alignment horizontal="center" vertical="top"/>
    </xf>
    <xf numFmtId="164" fontId="4" fillId="7" borderId="47" xfId="0" applyNumberFormat="1" applyFont="1" applyFill="1" applyBorder="1" applyAlignment="1">
      <alignment horizontal="center" vertical="top"/>
    </xf>
    <xf numFmtId="164" fontId="1" fillId="7" borderId="66" xfId="0" applyNumberFormat="1" applyFont="1" applyFill="1" applyBorder="1" applyAlignment="1">
      <alignment horizontal="center" vertical="top" wrapText="1"/>
    </xf>
    <xf numFmtId="164" fontId="4" fillId="7" borderId="61" xfId="0" applyNumberFormat="1" applyFont="1" applyFill="1" applyBorder="1" applyAlignment="1">
      <alignment horizontal="center" vertical="top" wrapText="1"/>
    </xf>
    <xf numFmtId="164" fontId="4" fillId="0" borderId="54" xfId="0" applyNumberFormat="1" applyFont="1" applyFill="1" applyBorder="1" applyAlignment="1">
      <alignment horizontal="center" vertical="top" wrapText="1"/>
    </xf>
    <xf numFmtId="164" fontId="4" fillId="6" borderId="53" xfId="0" applyNumberFormat="1" applyFont="1" applyFill="1" applyBorder="1" applyAlignment="1">
      <alignment horizontal="center" vertical="top"/>
    </xf>
    <xf numFmtId="164" fontId="6" fillId="8" borderId="26" xfId="0" applyNumberFormat="1" applyFont="1" applyFill="1" applyBorder="1" applyAlignment="1">
      <alignment horizontal="center" vertical="top"/>
    </xf>
    <xf numFmtId="164" fontId="4" fillId="7" borderId="32" xfId="0" applyNumberFormat="1" applyFont="1" applyFill="1" applyBorder="1" applyAlignment="1">
      <alignment horizontal="center" vertical="top"/>
    </xf>
    <xf numFmtId="164" fontId="4" fillId="0" borderId="61" xfId="0" applyNumberFormat="1" applyFont="1" applyFill="1" applyBorder="1" applyAlignment="1">
      <alignment horizontal="center" vertical="top"/>
    </xf>
    <xf numFmtId="164" fontId="1" fillId="7" borderId="30" xfId="0" applyNumberFormat="1" applyFont="1" applyFill="1" applyBorder="1" applyAlignment="1">
      <alignment horizontal="center" vertical="top" wrapText="1"/>
    </xf>
    <xf numFmtId="164" fontId="4" fillId="7" borderId="67" xfId="0" applyNumberFormat="1" applyFont="1" applyFill="1" applyBorder="1" applyAlignment="1">
      <alignment horizontal="center" vertical="top" wrapText="1"/>
    </xf>
    <xf numFmtId="164" fontId="3" fillId="8" borderId="22" xfId="0" applyNumberFormat="1" applyFont="1" applyFill="1" applyBorder="1" applyAlignment="1">
      <alignment horizontal="center" vertical="top"/>
    </xf>
    <xf numFmtId="164" fontId="4" fillId="7" borderId="12" xfId="0" applyNumberFormat="1" applyFont="1" applyFill="1" applyBorder="1" applyAlignment="1">
      <alignment horizontal="center" vertical="top" wrapText="1"/>
    </xf>
    <xf numFmtId="0" fontId="4" fillId="0" borderId="31" xfId="0" applyFont="1" applyFill="1" applyBorder="1" applyAlignment="1">
      <alignment vertical="top" wrapText="1"/>
    </xf>
    <xf numFmtId="164" fontId="6" fillId="8" borderId="79" xfId="0" applyNumberFormat="1" applyFont="1" applyFill="1" applyBorder="1" applyAlignment="1">
      <alignment horizontal="center" vertical="top"/>
    </xf>
    <xf numFmtId="164" fontId="4" fillId="7" borderId="5" xfId="0" applyNumberFormat="1" applyFont="1" applyFill="1" applyBorder="1" applyAlignment="1">
      <alignment horizontal="center" vertical="top" wrapText="1"/>
    </xf>
    <xf numFmtId="164" fontId="4" fillId="7" borderId="14"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xf>
    <xf numFmtId="164" fontId="4" fillId="6" borderId="75" xfId="0" applyNumberFormat="1" applyFont="1" applyFill="1" applyBorder="1" applyAlignment="1">
      <alignment horizontal="center" vertical="top"/>
    </xf>
    <xf numFmtId="164" fontId="4" fillId="7" borderId="31"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164" fontId="4" fillId="7" borderId="17" xfId="0" applyNumberFormat="1" applyFont="1" applyFill="1" applyBorder="1" applyAlignment="1">
      <alignment horizontal="center" vertical="top" wrapText="1"/>
    </xf>
    <xf numFmtId="164" fontId="3" fillId="5" borderId="77" xfId="0" applyNumberFormat="1" applyFont="1" applyFill="1" applyBorder="1" applyAlignment="1">
      <alignment horizontal="center" vertical="top"/>
    </xf>
    <xf numFmtId="164" fontId="3" fillId="5" borderId="64" xfId="0" applyNumberFormat="1" applyFont="1" applyFill="1" applyBorder="1" applyAlignment="1">
      <alignment horizontal="center" vertical="top"/>
    </xf>
    <xf numFmtId="164" fontId="6" fillId="8" borderId="42" xfId="0" applyNumberFormat="1" applyFont="1" applyFill="1" applyBorder="1" applyAlignment="1">
      <alignment horizontal="center" vertical="top" wrapText="1"/>
    </xf>
    <xf numFmtId="164" fontId="6" fillId="8" borderId="44" xfId="0" applyNumberFormat="1" applyFont="1" applyFill="1" applyBorder="1" applyAlignment="1">
      <alignment horizontal="center" vertical="top" wrapText="1"/>
    </xf>
    <xf numFmtId="164" fontId="6" fillId="8" borderId="31" xfId="0" applyNumberFormat="1" applyFont="1" applyFill="1" applyBorder="1" applyAlignment="1">
      <alignment horizontal="center" vertical="top" wrapText="1"/>
    </xf>
    <xf numFmtId="164" fontId="6" fillId="8" borderId="41" xfId="0" applyNumberFormat="1" applyFont="1" applyFill="1" applyBorder="1" applyAlignment="1">
      <alignment horizontal="center" vertical="top" wrapText="1"/>
    </xf>
    <xf numFmtId="164" fontId="6" fillId="8" borderId="13" xfId="0" applyNumberFormat="1" applyFont="1" applyFill="1" applyBorder="1" applyAlignment="1">
      <alignment horizontal="center" vertical="top" wrapText="1"/>
    </xf>
    <xf numFmtId="164" fontId="6" fillId="10" borderId="55" xfId="0" applyNumberFormat="1" applyFont="1" applyFill="1" applyBorder="1" applyAlignment="1">
      <alignment horizontal="center" vertical="top" wrapText="1"/>
    </xf>
    <xf numFmtId="164" fontId="6" fillId="10" borderId="21" xfId="0" applyNumberFormat="1" applyFont="1" applyFill="1" applyBorder="1" applyAlignment="1">
      <alignment horizontal="center" vertical="top" wrapText="1"/>
    </xf>
    <xf numFmtId="164" fontId="6" fillId="10" borderId="56" xfId="0" applyNumberFormat="1" applyFont="1" applyFill="1" applyBorder="1" applyAlignment="1">
      <alignment horizontal="center" vertical="top" wrapText="1"/>
    </xf>
    <xf numFmtId="3" fontId="4" fillId="10" borderId="55" xfId="0" applyNumberFormat="1" applyFont="1" applyFill="1" applyBorder="1" applyAlignment="1">
      <alignment horizontal="left" vertical="top" wrapText="1"/>
    </xf>
    <xf numFmtId="3" fontId="4" fillId="10" borderId="56" xfId="0" applyNumberFormat="1" applyFont="1" applyFill="1" applyBorder="1" applyAlignment="1">
      <alignment horizontal="center" vertical="top"/>
    </xf>
    <xf numFmtId="3" fontId="1" fillId="10" borderId="57" xfId="0" applyNumberFormat="1" applyFont="1" applyFill="1" applyBorder="1" applyAlignment="1">
      <alignment horizontal="left" vertical="top" wrapText="1"/>
    </xf>
    <xf numFmtId="164" fontId="1" fillId="0" borderId="37" xfId="0" applyNumberFormat="1" applyFont="1" applyBorder="1" applyAlignment="1">
      <alignment horizontal="center" vertical="center" wrapText="1"/>
    </xf>
    <xf numFmtId="164" fontId="6" fillId="3" borderId="10" xfId="0" applyNumberFormat="1" applyFont="1" applyFill="1" applyBorder="1" applyAlignment="1">
      <alignment horizontal="center" vertical="top" wrapText="1"/>
    </xf>
    <xf numFmtId="164" fontId="1" fillId="0" borderId="6" xfId="0" applyNumberFormat="1" applyFont="1" applyBorder="1" applyAlignment="1">
      <alignment horizontal="center" vertical="top" wrapText="1"/>
    </xf>
    <xf numFmtId="164" fontId="6" fillId="8" borderId="10" xfId="0" applyNumberFormat="1" applyFont="1" applyFill="1" applyBorder="1" applyAlignment="1">
      <alignment horizontal="center" vertical="top" wrapText="1"/>
    </xf>
    <xf numFmtId="164" fontId="1" fillId="0" borderId="4" xfId="0" applyNumberFormat="1" applyFont="1" applyBorder="1" applyAlignment="1">
      <alignment horizontal="center" vertical="center" wrapText="1"/>
    </xf>
    <xf numFmtId="164" fontId="6" fillId="3" borderId="34" xfId="0" applyNumberFormat="1" applyFont="1" applyFill="1" applyBorder="1" applyAlignment="1">
      <alignment horizontal="center" vertical="top" wrapText="1"/>
    </xf>
    <xf numFmtId="164" fontId="1" fillId="0" borderId="4" xfId="0" applyNumberFormat="1" applyFont="1" applyBorder="1" applyAlignment="1">
      <alignment horizontal="center" vertical="top" wrapText="1"/>
    </xf>
    <xf numFmtId="164" fontId="1" fillId="0" borderId="12" xfId="0" applyNumberFormat="1" applyFont="1" applyBorder="1" applyAlignment="1">
      <alignment horizontal="center" vertical="top" wrapText="1"/>
    </xf>
    <xf numFmtId="164" fontId="1" fillId="0" borderId="13" xfId="0" applyNumberFormat="1" applyFont="1" applyBorder="1" applyAlignment="1">
      <alignment horizontal="center" vertical="top" wrapText="1"/>
    </xf>
    <xf numFmtId="164" fontId="6" fillId="8" borderId="34" xfId="0" applyNumberFormat="1" applyFont="1" applyFill="1" applyBorder="1" applyAlignment="1">
      <alignment horizontal="center" vertical="top" wrapText="1"/>
    </xf>
    <xf numFmtId="3" fontId="2" fillId="0" borderId="41" xfId="0" applyNumberFormat="1" applyFont="1" applyBorder="1" applyAlignment="1">
      <alignment horizontal="center" wrapText="1"/>
    </xf>
    <xf numFmtId="49" fontId="3" fillId="0" borderId="61" xfId="0" applyNumberFormat="1" applyFont="1" applyBorder="1" applyAlignment="1">
      <alignment vertical="top"/>
    </xf>
    <xf numFmtId="3" fontId="3" fillId="5" borderId="13" xfId="0" applyNumberFormat="1" applyFont="1" applyFill="1" applyBorder="1" applyAlignment="1">
      <alignment horizontal="center" vertical="top"/>
    </xf>
    <xf numFmtId="3" fontId="4" fillId="7" borderId="16" xfId="0" applyNumberFormat="1" applyFont="1" applyFill="1" applyBorder="1" applyAlignment="1">
      <alignment horizontal="center" vertical="top" wrapText="1"/>
    </xf>
    <xf numFmtId="3" fontId="3" fillId="5" borderId="14" xfId="0" applyNumberFormat="1" applyFont="1" applyFill="1" applyBorder="1" applyAlignment="1">
      <alignment horizontal="center" vertical="top"/>
    </xf>
    <xf numFmtId="164" fontId="1" fillId="7" borderId="44" xfId="0" applyNumberFormat="1" applyFont="1" applyFill="1" applyBorder="1" applyAlignment="1">
      <alignment horizontal="center" vertical="top" wrapText="1"/>
    </xf>
    <xf numFmtId="164" fontId="1" fillId="7" borderId="42" xfId="0" applyNumberFormat="1" applyFont="1" applyFill="1" applyBorder="1" applyAlignment="1">
      <alignment horizontal="center" vertical="top" wrapText="1"/>
    </xf>
    <xf numFmtId="3" fontId="6" fillId="0" borderId="54" xfId="0" applyNumberFormat="1" applyFont="1" applyBorder="1" applyAlignment="1">
      <alignment horizontal="center" vertical="top"/>
    </xf>
    <xf numFmtId="3" fontId="1" fillId="0" borderId="41" xfId="0" applyNumberFormat="1" applyFont="1" applyFill="1" applyBorder="1" applyAlignment="1">
      <alignment horizontal="center" vertical="center" wrapText="1"/>
    </xf>
    <xf numFmtId="164" fontId="6" fillId="8" borderId="17" xfId="0" applyNumberFormat="1" applyFont="1" applyFill="1" applyBorder="1" applyAlignment="1">
      <alignment horizontal="center" vertical="top" wrapText="1"/>
    </xf>
    <xf numFmtId="164" fontId="6" fillId="8" borderId="18" xfId="0" applyNumberFormat="1" applyFont="1" applyFill="1" applyBorder="1" applyAlignment="1">
      <alignment horizontal="center" vertical="top" wrapText="1"/>
    </xf>
    <xf numFmtId="164" fontId="6" fillId="8" borderId="47" xfId="0" applyNumberFormat="1" applyFont="1" applyFill="1" applyBorder="1" applyAlignment="1">
      <alignment horizontal="center" vertical="top" wrapText="1"/>
    </xf>
    <xf numFmtId="0" fontId="19" fillId="0" borderId="41" xfId="0" applyFont="1" applyFill="1" applyBorder="1" applyAlignment="1">
      <alignment horizontal="center" vertical="top" wrapText="1"/>
    </xf>
    <xf numFmtId="0" fontId="23" fillId="0" borderId="13" xfId="0" applyFont="1" applyFill="1" applyBorder="1" applyAlignment="1">
      <alignment horizontal="center" vertical="top" wrapText="1"/>
    </xf>
    <xf numFmtId="0" fontId="19" fillId="0" borderId="16" xfId="0" applyFont="1" applyFill="1" applyBorder="1" applyAlignment="1">
      <alignment horizontal="left" vertical="top" wrapText="1"/>
    </xf>
    <xf numFmtId="164" fontId="1" fillId="6" borderId="49" xfId="0" applyNumberFormat="1" applyFont="1" applyFill="1" applyBorder="1" applyAlignment="1">
      <alignment horizontal="center" vertical="top"/>
    </xf>
    <xf numFmtId="164" fontId="18" fillId="6" borderId="12" xfId="0" applyNumberFormat="1" applyFont="1" applyFill="1" applyBorder="1" applyAlignment="1">
      <alignment horizontal="center" vertical="top" wrapText="1"/>
    </xf>
    <xf numFmtId="164" fontId="19" fillId="7" borderId="13" xfId="0" applyNumberFormat="1" applyFont="1" applyFill="1" applyBorder="1" applyAlignment="1">
      <alignment horizontal="center" vertical="top" wrapText="1"/>
    </xf>
    <xf numFmtId="164" fontId="19" fillId="7" borderId="0" xfId="0" applyNumberFormat="1" applyFont="1" applyFill="1" applyBorder="1" applyAlignment="1">
      <alignment horizontal="center" vertical="top" wrapText="1"/>
    </xf>
    <xf numFmtId="164" fontId="1" fillId="6" borderId="49" xfId="0" applyNumberFormat="1" applyFont="1" applyFill="1" applyBorder="1" applyAlignment="1">
      <alignment horizontal="center" vertical="top" wrapText="1"/>
    </xf>
    <xf numFmtId="164" fontId="1" fillId="6" borderId="50" xfId="0" applyNumberFormat="1" applyFont="1" applyFill="1" applyBorder="1" applyAlignment="1">
      <alignment horizontal="center" vertical="top" wrapText="1"/>
    </xf>
    <xf numFmtId="164" fontId="1" fillId="6" borderId="53" xfId="0" applyNumberFormat="1" applyFont="1" applyFill="1" applyBorder="1" applyAlignment="1">
      <alignment horizontal="center" vertical="top"/>
    </xf>
    <xf numFmtId="164" fontId="1" fillId="6" borderId="42" xfId="0" applyNumberFormat="1" applyFont="1" applyFill="1" applyBorder="1" applyAlignment="1">
      <alignment horizontal="center" vertical="top" wrapText="1"/>
    </xf>
    <xf numFmtId="164" fontId="1" fillId="6" borderId="44" xfId="0" applyNumberFormat="1" applyFont="1" applyFill="1" applyBorder="1" applyAlignment="1">
      <alignment horizontal="center" vertical="top" wrapText="1"/>
    </xf>
    <xf numFmtId="164" fontId="18" fillId="6" borderId="32" xfId="0" applyNumberFormat="1" applyFont="1" applyFill="1" applyBorder="1" applyAlignment="1">
      <alignment horizontal="center" vertical="top"/>
    </xf>
    <xf numFmtId="164" fontId="18" fillId="6" borderId="31" xfId="0" applyNumberFormat="1" applyFont="1" applyFill="1" applyBorder="1" applyAlignment="1">
      <alignment horizontal="center" vertical="top" wrapText="1"/>
    </xf>
    <xf numFmtId="164" fontId="1" fillId="6" borderId="72" xfId="0" applyNumberFormat="1" applyFont="1" applyFill="1" applyBorder="1" applyAlignment="1">
      <alignment horizontal="center" vertical="top" wrapText="1"/>
    </xf>
    <xf numFmtId="164" fontId="1" fillId="6" borderId="75" xfId="0" applyNumberFormat="1" applyFont="1" applyFill="1" applyBorder="1" applyAlignment="1">
      <alignment horizontal="center" vertical="top" wrapText="1"/>
    </xf>
    <xf numFmtId="164" fontId="19" fillId="0" borderId="12" xfId="0" applyNumberFormat="1" applyFont="1" applyFill="1" applyBorder="1" applyAlignment="1">
      <alignment horizontal="center" vertical="top" wrapText="1"/>
    </xf>
    <xf numFmtId="164" fontId="19" fillId="6" borderId="18" xfId="0" applyNumberFormat="1" applyFont="1" applyFill="1" applyBorder="1" applyAlignment="1">
      <alignment horizontal="center" vertical="top"/>
    </xf>
    <xf numFmtId="164" fontId="19" fillId="6" borderId="30" xfId="0" applyNumberFormat="1" applyFont="1" applyFill="1" applyBorder="1" applyAlignment="1">
      <alignment horizontal="center" vertical="top"/>
    </xf>
    <xf numFmtId="164" fontId="19" fillId="6" borderId="12" xfId="0" applyNumberFormat="1" applyFont="1" applyFill="1" applyBorder="1" applyAlignment="1">
      <alignment horizontal="center" vertical="top"/>
    </xf>
    <xf numFmtId="164" fontId="19" fillId="6" borderId="19"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3" fontId="4" fillId="0" borderId="16" xfId="0" applyNumberFormat="1" applyFont="1" applyFill="1" applyBorder="1" applyAlignment="1">
      <alignment horizontal="center" vertical="top" wrapText="1"/>
    </xf>
    <xf numFmtId="164" fontId="1" fillId="7" borderId="50" xfId="0" applyNumberFormat="1" applyFont="1" applyFill="1" applyBorder="1" applyAlignment="1">
      <alignment horizontal="center" vertical="top" wrapText="1"/>
    </xf>
    <xf numFmtId="164" fontId="1" fillId="7" borderId="49" xfId="0" applyNumberFormat="1" applyFont="1" applyFill="1" applyBorder="1" applyAlignment="1">
      <alignment horizontal="center" vertical="top" wrapText="1"/>
    </xf>
    <xf numFmtId="164" fontId="18" fillId="7" borderId="4" xfId="0" applyNumberFormat="1" applyFont="1" applyFill="1" applyBorder="1" applyAlignment="1">
      <alignment horizontal="center" vertical="top"/>
    </xf>
    <xf numFmtId="164" fontId="18" fillId="7" borderId="35" xfId="0" applyNumberFormat="1" applyFont="1" applyFill="1" applyBorder="1" applyAlignment="1">
      <alignment horizontal="center" vertical="top"/>
    </xf>
    <xf numFmtId="3" fontId="18" fillId="0" borderId="42" xfId="0" applyNumberFormat="1" applyFont="1" applyFill="1" applyBorder="1" applyAlignment="1">
      <alignment horizontal="center" vertical="top"/>
    </xf>
    <xf numFmtId="3" fontId="18" fillId="6" borderId="42" xfId="0" applyNumberFormat="1" applyFont="1" applyFill="1" applyBorder="1" applyAlignment="1">
      <alignment horizontal="center" vertical="top"/>
    </xf>
    <xf numFmtId="3" fontId="19" fillId="6" borderId="41" xfId="0" applyNumberFormat="1" applyFont="1" applyFill="1" applyBorder="1" applyAlignment="1">
      <alignment horizontal="center" vertical="top" wrapText="1"/>
    </xf>
    <xf numFmtId="164" fontId="19" fillId="0" borderId="12" xfId="0" applyNumberFormat="1" applyFont="1" applyFill="1" applyBorder="1" applyAlignment="1">
      <alignment horizontal="center" vertical="top"/>
    </xf>
    <xf numFmtId="164" fontId="19" fillId="0" borderId="18" xfId="0" applyNumberFormat="1" applyFont="1" applyFill="1" applyBorder="1" applyAlignment="1">
      <alignment horizontal="center" vertical="top"/>
    </xf>
    <xf numFmtId="3" fontId="19" fillId="0" borderId="41" xfId="0" applyNumberFormat="1" applyFont="1" applyFill="1" applyBorder="1" applyAlignment="1">
      <alignment horizontal="center" vertical="top" wrapText="1"/>
    </xf>
    <xf numFmtId="3" fontId="19" fillId="0" borderId="13" xfId="0" applyNumberFormat="1" applyFont="1" applyFill="1" applyBorder="1" applyAlignment="1">
      <alignment horizontal="center" vertical="top" wrapText="1"/>
    </xf>
    <xf numFmtId="3" fontId="19" fillId="0" borderId="0" xfId="0" applyNumberFormat="1" applyFont="1" applyFill="1" applyBorder="1" applyAlignment="1">
      <alignment horizontal="center" vertical="top" wrapText="1"/>
    </xf>
    <xf numFmtId="3" fontId="18" fillId="0" borderId="41" xfId="0" applyNumberFormat="1" applyFont="1" applyFill="1" applyBorder="1" applyAlignment="1">
      <alignment horizontal="center" vertical="top" wrapText="1"/>
    </xf>
    <xf numFmtId="3" fontId="18" fillId="0" borderId="13" xfId="0" applyNumberFormat="1" applyFont="1" applyFill="1" applyBorder="1" applyAlignment="1">
      <alignment horizontal="center" vertical="top" wrapText="1"/>
    </xf>
    <xf numFmtId="3" fontId="4" fillId="0" borderId="40" xfId="0" applyNumberFormat="1" applyFont="1" applyBorder="1" applyAlignment="1">
      <alignment horizontal="center" vertical="top"/>
    </xf>
    <xf numFmtId="164" fontId="19" fillId="0" borderId="44" xfId="0" applyNumberFormat="1" applyFont="1" applyFill="1" applyBorder="1" applyAlignment="1">
      <alignment horizontal="center" vertical="top"/>
    </xf>
    <xf numFmtId="164" fontId="19" fillId="0" borderId="31"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164" fontId="3" fillId="8" borderId="50" xfId="0" applyNumberFormat="1" applyFont="1" applyFill="1" applyBorder="1" applyAlignment="1">
      <alignment horizontal="center" vertical="top"/>
    </xf>
    <xf numFmtId="164" fontId="3" fillId="8" borderId="53"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3" fontId="19" fillId="6" borderId="13" xfId="0" applyNumberFormat="1" applyFont="1" applyFill="1" applyBorder="1" applyAlignment="1">
      <alignment horizontal="center" vertical="top" wrapText="1"/>
    </xf>
    <xf numFmtId="3" fontId="19" fillId="6" borderId="15" xfId="0" applyNumberFormat="1" applyFont="1" applyFill="1" applyBorder="1" applyAlignment="1">
      <alignment horizontal="center" vertical="top" wrapText="1"/>
    </xf>
    <xf numFmtId="3" fontId="18" fillId="0" borderId="15" xfId="0" applyNumberFormat="1" applyFont="1" applyFill="1" applyBorder="1" applyAlignment="1">
      <alignment horizontal="center" vertical="top" wrapText="1"/>
    </xf>
    <xf numFmtId="164" fontId="1" fillId="0" borderId="42" xfId="0" applyNumberFormat="1" applyFont="1" applyBorder="1" applyAlignment="1">
      <alignment horizontal="center" vertical="top"/>
    </xf>
    <xf numFmtId="164" fontId="1" fillId="0" borderId="32" xfId="0" applyNumberFormat="1" applyFont="1" applyBorder="1" applyAlignment="1">
      <alignment horizontal="center" vertical="top"/>
    </xf>
    <xf numFmtId="3" fontId="24" fillId="0" borderId="14" xfId="0" applyNumberFormat="1" applyFont="1" applyBorder="1" applyAlignment="1">
      <alignment horizontal="center" vertical="top"/>
    </xf>
    <xf numFmtId="164" fontId="18" fillId="0" borderId="12" xfId="0" applyNumberFormat="1" applyFont="1" applyBorder="1" applyAlignment="1">
      <alignment horizontal="center" vertical="top"/>
    </xf>
    <xf numFmtId="3" fontId="4" fillId="0" borderId="12" xfId="0" applyNumberFormat="1" applyFont="1" applyBorder="1" applyAlignment="1">
      <alignment vertical="top"/>
    </xf>
    <xf numFmtId="164" fontId="18" fillId="7" borderId="12" xfId="0" applyNumberFormat="1" applyFont="1" applyFill="1" applyBorder="1" applyAlignment="1">
      <alignment horizontal="center" vertical="top"/>
    </xf>
    <xf numFmtId="164" fontId="18" fillId="6" borderId="12" xfId="0" applyNumberFormat="1" applyFont="1" applyFill="1" applyBorder="1" applyAlignment="1">
      <alignment horizontal="center" vertical="top"/>
    </xf>
    <xf numFmtId="3" fontId="6" fillId="0" borderId="5" xfId="0" applyNumberFormat="1" applyFont="1" applyBorder="1" applyAlignment="1">
      <alignment horizontal="center" vertical="top"/>
    </xf>
    <xf numFmtId="164" fontId="1" fillId="7" borderId="69" xfId="0" applyNumberFormat="1" applyFont="1" applyFill="1" applyBorder="1" applyAlignment="1">
      <alignment horizontal="center" vertical="top"/>
    </xf>
    <xf numFmtId="164" fontId="1" fillId="0" borderId="74" xfId="0" applyNumberFormat="1" applyFont="1" applyFill="1" applyBorder="1" applyAlignment="1">
      <alignment horizontal="center" vertical="top"/>
    </xf>
    <xf numFmtId="164" fontId="18" fillId="0" borderId="71" xfId="0" applyNumberFormat="1" applyFont="1" applyBorder="1" applyAlignment="1">
      <alignment horizontal="center" vertical="top"/>
    </xf>
    <xf numFmtId="164" fontId="1" fillId="7" borderId="71" xfId="0" applyNumberFormat="1" applyFont="1" applyFill="1" applyBorder="1" applyAlignment="1">
      <alignment horizontal="center" vertical="top"/>
    </xf>
    <xf numFmtId="164" fontId="1" fillId="6" borderId="71" xfId="0" applyNumberFormat="1" applyFont="1" applyFill="1" applyBorder="1" applyAlignment="1">
      <alignment horizontal="center" vertical="top"/>
    </xf>
    <xf numFmtId="164" fontId="1" fillId="0" borderId="71" xfId="0" applyNumberFormat="1" applyFont="1" applyFill="1" applyBorder="1" applyAlignment="1">
      <alignment horizontal="center" vertical="top"/>
    </xf>
    <xf numFmtId="164" fontId="1" fillId="0" borderId="74" xfId="0" applyNumberFormat="1" applyFont="1" applyBorder="1" applyAlignment="1">
      <alignment horizontal="center" vertical="top"/>
    </xf>
    <xf numFmtId="164" fontId="1" fillId="6" borderId="63" xfId="0" applyNumberFormat="1" applyFont="1" applyFill="1" applyBorder="1" applyAlignment="1">
      <alignment horizontal="center" vertical="top"/>
    </xf>
    <xf numFmtId="164" fontId="6" fillId="6" borderId="63" xfId="0" applyNumberFormat="1" applyFont="1" applyFill="1" applyBorder="1" applyAlignment="1">
      <alignment horizontal="center" vertical="top"/>
    </xf>
    <xf numFmtId="164" fontId="1" fillId="0" borderId="63" xfId="0" applyNumberFormat="1" applyFont="1" applyFill="1" applyBorder="1" applyAlignment="1">
      <alignment horizontal="center" vertical="top"/>
    </xf>
    <xf numFmtId="164" fontId="1" fillId="0" borderId="63" xfId="0" applyNumberFormat="1" applyFont="1" applyBorder="1" applyAlignment="1">
      <alignment horizontal="center" vertical="top"/>
    </xf>
    <xf numFmtId="3" fontId="19" fillId="0" borderId="46" xfId="0" applyNumberFormat="1" applyFont="1" applyBorder="1" applyAlignment="1">
      <alignment horizontal="center" vertical="top"/>
    </xf>
    <xf numFmtId="164" fontId="18" fillId="0" borderId="17" xfId="0" applyNumberFormat="1" applyFont="1" applyBorder="1" applyAlignment="1">
      <alignment horizontal="center" vertical="top"/>
    </xf>
    <xf numFmtId="164" fontId="18" fillId="7" borderId="17" xfId="0" applyNumberFormat="1" applyFont="1" applyFill="1" applyBorder="1" applyAlignment="1">
      <alignment horizontal="center" vertical="top"/>
    </xf>
    <xf numFmtId="164" fontId="18" fillId="6" borderId="17" xfId="0" applyNumberFormat="1" applyFont="1" applyFill="1" applyBorder="1" applyAlignment="1">
      <alignment horizontal="center" vertical="top"/>
    </xf>
    <xf numFmtId="164" fontId="19" fillId="6" borderId="17" xfId="0" applyNumberFormat="1" applyFont="1" applyFill="1" applyBorder="1" applyAlignment="1">
      <alignment horizontal="center" vertical="top"/>
    </xf>
    <xf numFmtId="3" fontId="4" fillId="0" borderId="11" xfId="0" applyNumberFormat="1" applyFont="1" applyBorder="1" applyAlignment="1">
      <alignment vertical="top"/>
    </xf>
    <xf numFmtId="3" fontId="4" fillId="0" borderId="47" xfId="0" applyNumberFormat="1" applyFont="1" applyBorder="1" applyAlignment="1">
      <alignment vertical="top"/>
    </xf>
    <xf numFmtId="164" fontId="19" fillId="6" borderId="47" xfId="0" applyNumberFormat="1" applyFont="1" applyFill="1" applyBorder="1" applyAlignment="1">
      <alignment horizontal="center" vertical="top"/>
    </xf>
    <xf numFmtId="164" fontId="6" fillId="8" borderId="60" xfId="0" applyNumberFormat="1" applyFont="1" applyFill="1" applyBorder="1" applyAlignment="1">
      <alignment horizontal="center" vertical="top"/>
    </xf>
    <xf numFmtId="3" fontId="19" fillId="0" borderId="16" xfId="0" applyNumberFormat="1" applyFont="1" applyBorder="1" applyAlignment="1">
      <alignment horizontal="center" vertical="top"/>
    </xf>
    <xf numFmtId="164" fontId="18" fillId="0" borderId="63" xfId="0" applyNumberFormat="1" applyFont="1" applyBorder="1" applyAlignment="1">
      <alignment horizontal="center" vertical="top"/>
    </xf>
    <xf numFmtId="164" fontId="18" fillId="0" borderId="13" xfId="0" applyNumberFormat="1" applyFont="1" applyBorder="1" applyAlignment="1">
      <alignment horizontal="center" vertical="top"/>
    </xf>
    <xf numFmtId="164" fontId="18" fillId="0" borderId="0" xfId="0" applyNumberFormat="1" applyFont="1" applyBorder="1" applyAlignment="1">
      <alignment horizontal="center" vertical="top"/>
    </xf>
    <xf numFmtId="49" fontId="3" fillId="7" borderId="61" xfId="0" applyNumberFormat="1" applyFont="1" applyFill="1" applyBorder="1" applyAlignment="1">
      <alignment vertical="top"/>
    </xf>
    <xf numFmtId="3" fontId="4" fillId="0" borderId="37" xfId="0" applyNumberFormat="1" applyFont="1" applyBorder="1" applyAlignment="1">
      <alignment vertical="center" textRotation="90"/>
    </xf>
    <xf numFmtId="164" fontId="1" fillId="0" borderId="35" xfId="0" applyNumberFormat="1" applyFont="1" applyBorder="1" applyAlignment="1">
      <alignment horizontal="center" vertical="center" wrapText="1"/>
    </xf>
    <xf numFmtId="164" fontId="6" fillId="3" borderId="9" xfId="0" applyNumberFormat="1" applyFont="1" applyFill="1" applyBorder="1" applyAlignment="1">
      <alignment horizontal="center" vertical="top" wrapText="1"/>
    </xf>
    <xf numFmtId="164" fontId="1" fillId="0" borderId="56" xfId="0" applyNumberFormat="1" applyFont="1" applyBorder="1" applyAlignment="1">
      <alignment horizontal="center" vertical="top" wrapText="1"/>
    </xf>
    <xf numFmtId="164" fontId="6" fillId="8" borderId="9" xfId="0" applyNumberFormat="1" applyFont="1" applyFill="1" applyBorder="1" applyAlignment="1">
      <alignment horizontal="center" vertical="top" wrapText="1"/>
    </xf>
    <xf numFmtId="0" fontId="1" fillId="0" borderId="27" xfId="0" applyNumberFormat="1" applyFont="1" applyFill="1" applyBorder="1" applyAlignment="1">
      <alignment horizontal="center" vertical="top"/>
    </xf>
    <xf numFmtId="0" fontId="19" fillId="6" borderId="16" xfId="0" applyFont="1" applyFill="1" applyBorder="1" applyAlignment="1">
      <alignment horizontal="left" vertical="top" wrapText="1"/>
    </xf>
    <xf numFmtId="0" fontId="19" fillId="6" borderId="41"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15" xfId="0" applyFont="1" applyFill="1" applyBorder="1" applyAlignment="1">
      <alignment horizontal="center" vertical="top" wrapText="1"/>
    </xf>
    <xf numFmtId="3" fontId="19" fillId="0" borderId="46" xfId="0" applyNumberFormat="1" applyFont="1" applyFill="1" applyBorder="1" applyAlignment="1">
      <alignment vertical="top" wrapText="1"/>
    </xf>
    <xf numFmtId="164" fontId="18" fillId="7" borderId="4" xfId="0" applyNumberFormat="1" applyFont="1" applyFill="1" applyBorder="1" applyAlignment="1">
      <alignment horizontal="center" vertical="top" wrapText="1"/>
    </xf>
    <xf numFmtId="164" fontId="18" fillId="7" borderId="35" xfId="0" applyNumberFormat="1" applyFont="1" applyFill="1" applyBorder="1" applyAlignment="1">
      <alignment horizontal="center" vertical="top" wrapText="1"/>
    </xf>
    <xf numFmtId="3" fontId="3" fillId="4" borderId="39" xfId="0" applyNumberFormat="1" applyFont="1" applyFill="1" applyBorder="1" applyAlignment="1">
      <alignment horizontal="center" vertical="top"/>
    </xf>
    <xf numFmtId="3" fontId="3" fillId="5" borderId="14" xfId="0" applyNumberFormat="1" applyFont="1" applyFill="1" applyBorder="1" applyAlignment="1">
      <alignment horizontal="center" vertical="top"/>
    </xf>
    <xf numFmtId="3" fontId="1" fillId="0" borderId="39" xfId="0" applyNumberFormat="1" applyFont="1" applyFill="1" applyBorder="1" applyAlignment="1">
      <alignment vertical="center" textRotation="90" wrapText="1"/>
    </xf>
    <xf numFmtId="3" fontId="4" fillId="0" borderId="66" xfId="0" applyNumberFormat="1" applyFont="1" applyFill="1" applyBorder="1" applyAlignment="1">
      <alignment vertical="top" wrapText="1"/>
    </xf>
    <xf numFmtId="3" fontId="3" fillId="0" borderId="75" xfId="0" applyNumberFormat="1" applyFont="1" applyBorder="1" applyAlignment="1">
      <alignment horizontal="center" vertical="top"/>
    </xf>
    <xf numFmtId="164" fontId="1" fillId="0" borderId="51" xfId="0" applyNumberFormat="1" applyFont="1" applyFill="1" applyBorder="1" applyAlignment="1">
      <alignment horizontal="center" vertical="top" wrapText="1"/>
    </xf>
    <xf numFmtId="164" fontId="1" fillId="0" borderId="49" xfId="0" applyNumberFormat="1" applyFont="1" applyFill="1" applyBorder="1" applyAlignment="1">
      <alignment horizontal="center" vertical="top" wrapText="1"/>
    </xf>
    <xf numFmtId="164" fontId="1" fillId="0" borderId="50" xfId="0" applyNumberFormat="1" applyFont="1" applyFill="1" applyBorder="1" applyAlignment="1">
      <alignment horizontal="center" vertical="top" wrapText="1"/>
    </xf>
    <xf numFmtId="164" fontId="1" fillId="0" borderId="66" xfId="0" applyNumberFormat="1" applyFont="1" applyFill="1" applyBorder="1" applyAlignment="1">
      <alignment horizontal="center" vertical="top" wrapText="1"/>
    </xf>
    <xf numFmtId="3" fontId="3" fillId="5" borderId="72" xfId="0" applyNumberFormat="1" applyFont="1" applyFill="1" applyBorder="1" applyAlignment="1">
      <alignment horizontal="center" vertical="top"/>
    </xf>
    <xf numFmtId="49" fontId="19" fillId="0" borderId="30" xfId="0" applyNumberFormat="1" applyFont="1" applyFill="1" applyBorder="1" applyAlignment="1">
      <alignment horizontal="center" vertical="top" wrapText="1"/>
    </xf>
    <xf numFmtId="49" fontId="4" fillId="0" borderId="17" xfId="0" applyNumberFormat="1" applyFont="1" applyFill="1" applyBorder="1" applyAlignment="1">
      <alignment horizontal="center" vertical="top"/>
    </xf>
    <xf numFmtId="164" fontId="4" fillId="6" borderId="17" xfId="0" applyNumberFormat="1" applyFont="1" applyFill="1" applyBorder="1" applyAlignment="1">
      <alignment horizontal="center" vertical="top"/>
    </xf>
    <xf numFmtId="164" fontId="3" fillId="8" borderId="51" xfId="0" applyNumberFormat="1" applyFont="1" applyFill="1" applyBorder="1" applyAlignment="1">
      <alignment horizontal="center" vertical="top"/>
    </xf>
    <xf numFmtId="164" fontId="3" fillId="8" borderId="0" xfId="0" applyNumberFormat="1" applyFont="1" applyFill="1" applyBorder="1" applyAlignment="1">
      <alignment horizontal="center" vertical="top"/>
    </xf>
    <xf numFmtId="164" fontId="19" fillId="6" borderId="0" xfId="0" applyNumberFormat="1" applyFont="1" applyFill="1" applyBorder="1" applyAlignment="1">
      <alignment horizontal="center" vertical="top"/>
    </xf>
    <xf numFmtId="164" fontId="4" fillId="0" borderId="72" xfId="0" applyNumberFormat="1" applyFont="1" applyFill="1" applyBorder="1" applyAlignment="1">
      <alignment horizontal="center" vertical="top"/>
    </xf>
    <xf numFmtId="164" fontId="3" fillId="8" borderId="79" xfId="0" applyNumberFormat="1" applyFont="1" applyFill="1" applyBorder="1" applyAlignment="1">
      <alignment horizontal="center" vertical="top"/>
    </xf>
    <xf numFmtId="164" fontId="3" fillId="8" borderId="62" xfId="0" applyNumberFormat="1" applyFont="1" applyFill="1" applyBorder="1" applyAlignment="1">
      <alignment horizontal="center" vertical="top"/>
    </xf>
    <xf numFmtId="164" fontId="3" fillId="8" borderId="60" xfId="0" applyNumberFormat="1" applyFont="1" applyFill="1" applyBorder="1" applyAlignment="1">
      <alignment horizontal="center" vertical="top"/>
    </xf>
    <xf numFmtId="3" fontId="18" fillId="0" borderId="0" xfId="0" applyNumberFormat="1" applyFont="1" applyFill="1" applyBorder="1" applyAlignment="1">
      <alignment horizontal="center" vertical="top" wrapText="1"/>
    </xf>
    <xf numFmtId="164" fontId="19" fillId="6" borderId="50" xfId="0" applyNumberFormat="1" applyFont="1" applyFill="1" applyBorder="1" applyAlignment="1">
      <alignment horizontal="center" vertical="top"/>
    </xf>
    <xf numFmtId="164" fontId="19" fillId="6" borderId="51" xfId="0" applyNumberFormat="1" applyFont="1" applyFill="1" applyBorder="1" applyAlignment="1">
      <alignment horizontal="center" vertical="top"/>
    </xf>
    <xf numFmtId="3" fontId="3" fillId="4" borderId="39" xfId="0" applyNumberFormat="1" applyFont="1" applyFill="1" applyBorder="1" applyAlignment="1">
      <alignment horizontal="center" vertical="top"/>
    </xf>
    <xf numFmtId="3" fontId="3" fillId="5" borderId="14" xfId="0" applyNumberFormat="1" applyFont="1" applyFill="1" applyBorder="1" applyAlignment="1">
      <alignment horizontal="center" vertical="top"/>
    </xf>
    <xf numFmtId="0" fontId="28" fillId="0" borderId="0" xfId="0" applyFont="1"/>
    <xf numFmtId="3" fontId="4" fillId="0" borderId="43" xfId="0" applyNumberFormat="1" applyFont="1" applyFill="1" applyBorder="1" applyAlignment="1">
      <alignment horizontal="center" vertical="top"/>
    </xf>
    <xf numFmtId="3" fontId="4" fillId="0" borderId="45" xfId="0" applyNumberFormat="1" applyFont="1" applyFill="1" applyBorder="1" applyAlignment="1">
      <alignment horizontal="center" vertical="top"/>
    </xf>
    <xf numFmtId="3" fontId="4" fillId="0" borderId="44" xfId="0" applyNumberFormat="1" applyFont="1" applyFill="1" applyBorder="1" applyAlignment="1">
      <alignment horizontal="center" vertical="top"/>
    </xf>
    <xf numFmtId="3" fontId="4" fillId="0" borderId="40" xfId="0" applyNumberFormat="1" applyFont="1" applyFill="1" applyBorder="1" applyAlignment="1">
      <alignment horizontal="left" vertical="top" wrapText="1"/>
    </xf>
    <xf numFmtId="3" fontId="4" fillId="0" borderId="16" xfId="0" applyNumberFormat="1" applyFont="1" applyFill="1" applyBorder="1" applyAlignment="1">
      <alignment horizontal="left" vertical="top" wrapText="1"/>
    </xf>
    <xf numFmtId="3" fontId="1" fillId="6" borderId="16" xfId="0" applyNumberFormat="1" applyFont="1" applyFill="1" applyBorder="1" applyAlignment="1">
      <alignment horizontal="left" vertical="top" wrapText="1"/>
    </xf>
    <xf numFmtId="3" fontId="3" fillId="0" borderId="45" xfId="0" applyNumberFormat="1" applyFont="1" applyBorder="1" applyAlignment="1">
      <alignment horizontal="center" vertical="top"/>
    </xf>
    <xf numFmtId="3" fontId="3" fillId="0" borderId="54" xfId="0" applyNumberFormat="1" applyFont="1" applyBorder="1" applyAlignment="1">
      <alignment horizontal="center" vertical="top"/>
    </xf>
    <xf numFmtId="3" fontId="4" fillId="0" borderId="44" xfId="0" applyNumberFormat="1" applyFont="1" applyFill="1" applyBorder="1" applyAlignment="1">
      <alignment horizontal="center" vertical="top"/>
    </xf>
    <xf numFmtId="49" fontId="3" fillId="0" borderId="54" xfId="0" applyNumberFormat="1" applyFont="1" applyBorder="1" applyAlignment="1">
      <alignment horizontal="center" vertical="top"/>
    </xf>
    <xf numFmtId="3" fontId="3" fillId="4" borderId="39"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3" fontId="3" fillId="4" borderId="36"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3" fontId="3" fillId="4" borderId="59"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4" fillId="0" borderId="42" xfId="0" applyNumberFormat="1" applyFont="1" applyFill="1" applyBorder="1" applyAlignment="1">
      <alignment horizontal="center" vertical="top" wrapText="1"/>
    </xf>
    <xf numFmtId="3" fontId="4" fillId="0" borderId="49" xfId="0" applyNumberFormat="1" applyFont="1" applyFill="1" applyBorder="1" applyAlignment="1">
      <alignment horizontal="center" vertical="top" wrapText="1"/>
    </xf>
    <xf numFmtId="3" fontId="4" fillId="0" borderId="16" xfId="0" applyNumberFormat="1" applyFont="1" applyBorder="1" applyAlignment="1">
      <alignment horizontal="center" vertical="top" wrapText="1"/>
    </xf>
    <xf numFmtId="3" fontId="4" fillId="7" borderId="13" xfId="0" applyNumberFormat="1" applyFont="1" applyFill="1" applyBorder="1" applyAlignment="1">
      <alignment horizontal="center" vertical="top" wrapText="1"/>
    </xf>
    <xf numFmtId="3" fontId="6" fillId="6" borderId="45" xfId="0" applyNumberFormat="1" applyFont="1" applyFill="1" applyBorder="1" applyAlignment="1">
      <alignment horizontal="center" vertical="top"/>
    </xf>
    <xf numFmtId="0" fontId="4" fillId="0" borderId="42" xfId="0" applyFont="1" applyFill="1" applyBorder="1" applyAlignment="1">
      <alignment horizontal="center" vertical="top" wrapText="1"/>
    </xf>
    <xf numFmtId="3" fontId="4" fillId="0" borderId="32" xfId="0" applyNumberFormat="1" applyFont="1" applyFill="1" applyBorder="1" applyAlignment="1">
      <alignment horizontal="center" vertical="top"/>
    </xf>
    <xf numFmtId="3" fontId="4" fillId="0" borderId="40" xfId="0" applyNumberFormat="1" applyFont="1" applyFill="1" applyBorder="1" applyAlignment="1">
      <alignment horizontal="center" vertical="top" wrapText="1"/>
    </xf>
    <xf numFmtId="3" fontId="4" fillId="0" borderId="48" xfId="0" applyNumberFormat="1" applyFont="1" applyFill="1" applyBorder="1" applyAlignment="1">
      <alignment horizontal="center" vertical="top" wrapText="1"/>
    </xf>
    <xf numFmtId="3" fontId="3" fillId="4" borderId="52" xfId="0" applyNumberFormat="1" applyFont="1" applyFill="1" applyBorder="1" applyAlignment="1">
      <alignment horizontal="center" vertical="top"/>
    </xf>
    <xf numFmtId="3" fontId="3" fillId="5" borderId="50" xfId="0" applyNumberFormat="1" applyFont="1" applyFill="1" applyBorder="1" applyAlignment="1">
      <alignment horizontal="center" vertical="top"/>
    </xf>
    <xf numFmtId="3" fontId="4" fillId="0" borderId="16" xfId="0" applyNumberFormat="1" applyFont="1" applyFill="1" applyBorder="1" applyAlignment="1">
      <alignment horizontal="center" vertical="top" wrapText="1"/>
    </xf>
    <xf numFmtId="3" fontId="3" fillId="5" borderId="14"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23" xfId="0" applyNumberFormat="1" applyFont="1" applyBorder="1" applyAlignment="1">
      <alignment horizontal="center" vertical="top"/>
    </xf>
    <xf numFmtId="3" fontId="4" fillId="0" borderId="7" xfId="0" applyNumberFormat="1" applyFont="1" applyFill="1" applyBorder="1" applyAlignment="1">
      <alignment horizontal="center" vertical="top"/>
    </xf>
    <xf numFmtId="164" fontId="1" fillId="7" borderId="44" xfId="0" applyNumberFormat="1" applyFont="1" applyFill="1" applyBorder="1" applyAlignment="1">
      <alignment horizontal="center" vertical="top" wrapText="1"/>
    </xf>
    <xf numFmtId="3" fontId="6" fillId="6" borderId="54" xfId="0" applyNumberFormat="1" applyFont="1" applyFill="1" applyBorder="1" applyAlignment="1">
      <alignment horizontal="center" vertical="top"/>
    </xf>
    <xf numFmtId="3" fontId="19" fillId="6" borderId="16" xfId="0" applyNumberFormat="1" applyFont="1" applyFill="1" applyBorder="1" applyAlignment="1">
      <alignment horizontal="left" vertical="top" wrapText="1"/>
    </xf>
    <xf numFmtId="164" fontId="1" fillId="7" borderId="42" xfId="0" applyNumberFormat="1" applyFont="1" applyFill="1" applyBorder="1" applyAlignment="1">
      <alignment horizontal="center" vertical="top" wrapText="1"/>
    </xf>
    <xf numFmtId="3" fontId="1" fillId="6" borderId="40" xfId="0" applyNumberFormat="1" applyFont="1" applyFill="1" applyBorder="1" applyAlignment="1">
      <alignment vertical="top" wrapText="1"/>
    </xf>
    <xf numFmtId="164" fontId="4" fillId="7" borderId="78" xfId="0" applyNumberFormat="1" applyFont="1" applyFill="1" applyBorder="1" applyAlignment="1">
      <alignment horizontal="center" vertical="top" wrapText="1"/>
    </xf>
    <xf numFmtId="164" fontId="4" fillId="0" borderId="75" xfId="0" applyNumberFormat="1" applyFont="1" applyFill="1" applyBorder="1" applyAlignment="1">
      <alignment horizontal="center" vertical="top"/>
    </xf>
    <xf numFmtId="164" fontId="3" fillId="4" borderId="65" xfId="0" applyNumberFormat="1" applyFont="1" applyFill="1" applyBorder="1" applyAlignment="1">
      <alignment horizontal="center" vertical="top"/>
    </xf>
    <xf numFmtId="164" fontId="3" fillId="3" borderId="23" xfId="0" applyNumberFormat="1" applyFont="1" applyFill="1" applyBorder="1" applyAlignment="1">
      <alignment horizontal="center" vertical="top" wrapText="1"/>
    </xf>
    <xf numFmtId="164" fontId="3" fillId="8" borderId="17" xfId="0" applyNumberFormat="1" applyFont="1" applyFill="1" applyBorder="1" applyAlignment="1">
      <alignment horizontal="center" vertical="top"/>
    </xf>
    <xf numFmtId="164" fontId="3" fillId="8" borderId="66" xfId="0" applyNumberFormat="1" applyFont="1" applyFill="1" applyBorder="1" applyAlignment="1">
      <alignment horizontal="center" vertical="top"/>
    </xf>
    <xf numFmtId="49" fontId="19" fillId="0" borderId="49" xfId="0" applyNumberFormat="1" applyFont="1" applyFill="1" applyBorder="1" applyAlignment="1">
      <alignment horizontal="center" vertical="top" wrapText="1"/>
    </xf>
    <xf numFmtId="49" fontId="4" fillId="0" borderId="75" xfId="0" applyNumberFormat="1" applyFont="1" applyFill="1" applyBorder="1" applyAlignment="1">
      <alignment horizontal="center" vertical="top"/>
    </xf>
    <xf numFmtId="3" fontId="18" fillId="0" borderId="41" xfId="0" applyNumberFormat="1" applyFont="1" applyFill="1" applyBorder="1" applyAlignment="1">
      <alignment horizontal="center" vertical="top"/>
    </xf>
    <xf numFmtId="164" fontId="1" fillId="7" borderId="73" xfId="0" applyNumberFormat="1" applyFont="1" applyFill="1" applyBorder="1" applyAlignment="1">
      <alignment horizontal="center" vertical="top"/>
    </xf>
    <xf numFmtId="164" fontId="1" fillId="7" borderId="50" xfId="0" applyNumberFormat="1" applyFont="1" applyFill="1" applyBorder="1" applyAlignment="1">
      <alignment horizontal="center" vertical="top"/>
    </xf>
    <xf numFmtId="3" fontId="3" fillId="0" borderId="60" xfId="0" applyNumberFormat="1" applyFont="1" applyBorder="1" applyAlignment="1">
      <alignment vertical="top"/>
    </xf>
    <xf numFmtId="3" fontId="4" fillId="0" borderId="49" xfId="0" applyNumberFormat="1" applyFont="1" applyFill="1" applyBorder="1" applyAlignment="1">
      <alignment vertical="top" textRotation="90" wrapText="1"/>
    </xf>
    <xf numFmtId="0" fontId="4" fillId="0" borderId="51" xfId="0" applyFont="1" applyFill="1" applyBorder="1" applyAlignment="1">
      <alignment vertical="top" wrapText="1"/>
    </xf>
    <xf numFmtId="1" fontId="4" fillId="0" borderId="49" xfId="0" applyNumberFormat="1" applyFont="1" applyFill="1" applyBorder="1" applyAlignment="1">
      <alignment horizontal="center" vertical="top"/>
    </xf>
    <xf numFmtId="1" fontId="4" fillId="0" borderId="66" xfId="0" applyNumberFormat="1" applyFont="1" applyFill="1" applyBorder="1" applyAlignment="1">
      <alignment horizontal="center" vertical="top"/>
    </xf>
    <xf numFmtId="1" fontId="4" fillId="0" borderId="48" xfId="0" applyNumberFormat="1" applyFont="1" applyFill="1" applyBorder="1" applyAlignment="1">
      <alignment horizontal="center" vertical="top"/>
    </xf>
    <xf numFmtId="3" fontId="1" fillId="0" borderId="52" xfId="0" applyNumberFormat="1" applyFont="1" applyFill="1" applyBorder="1" applyAlignment="1">
      <alignment vertical="center" wrapText="1"/>
    </xf>
    <xf numFmtId="49" fontId="3" fillId="7" borderId="53" xfId="0" applyNumberFormat="1" applyFont="1" applyFill="1" applyBorder="1" applyAlignment="1">
      <alignment horizontal="center" vertical="top"/>
    </xf>
    <xf numFmtId="3" fontId="4" fillId="0" borderId="49" xfId="0" applyNumberFormat="1" applyFont="1" applyBorder="1" applyAlignment="1">
      <alignment vertical="center" textRotation="90"/>
    </xf>
    <xf numFmtId="164" fontId="1" fillId="0" borderId="52" xfId="0" applyNumberFormat="1" applyFont="1" applyFill="1" applyBorder="1" applyAlignment="1">
      <alignment horizontal="center" vertical="top" wrapText="1"/>
    </xf>
    <xf numFmtId="49" fontId="3" fillId="0" borderId="72" xfId="0" applyNumberFormat="1" applyFont="1" applyBorder="1" applyAlignment="1">
      <alignment horizontal="center" vertical="top"/>
    </xf>
    <xf numFmtId="3" fontId="27" fillId="6" borderId="25" xfId="0" applyNumberFormat="1" applyFont="1" applyFill="1" applyBorder="1" applyAlignment="1">
      <alignment horizontal="left" vertical="top" wrapText="1"/>
    </xf>
    <xf numFmtId="3" fontId="27" fillId="6" borderId="62" xfId="0" applyNumberFormat="1" applyFont="1" applyFill="1" applyBorder="1" applyAlignment="1">
      <alignment horizontal="center" vertical="top" wrapText="1"/>
    </xf>
    <xf numFmtId="3" fontId="27" fillId="6" borderId="22" xfId="0" applyNumberFormat="1" applyFont="1" applyFill="1" applyBorder="1" applyAlignment="1">
      <alignment horizontal="center" vertical="top" wrapText="1"/>
    </xf>
    <xf numFmtId="3" fontId="27" fillId="6" borderId="1" xfId="0" applyNumberFormat="1" applyFont="1" applyFill="1" applyBorder="1" applyAlignment="1">
      <alignment horizontal="center" vertical="top" wrapText="1"/>
    </xf>
    <xf numFmtId="3" fontId="3" fillId="4" borderId="43" xfId="0" applyNumberFormat="1" applyFont="1" applyFill="1" applyBorder="1" applyAlignment="1">
      <alignment vertical="top"/>
    </xf>
    <xf numFmtId="3" fontId="4" fillId="0" borderId="43" xfId="0" applyNumberFormat="1" applyFont="1" applyBorder="1" applyAlignment="1">
      <alignment vertical="center" textRotation="90"/>
    </xf>
    <xf numFmtId="0" fontId="4" fillId="0" borderId="46" xfId="0" applyFont="1" applyFill="1" applyBorder="1" applyAlignment="1">
      <alignment vertical="top" wrapText="1"/>
    </xf>
    <xf numFmtId="0" fontId="4" fillId="0" borderId="12" xfId="0" applyFont="1" applyFill="1" applyBorder="1" applyAlignment="1">
      <alignment horizontal="center" vertical="top"/>
    </xf>
    <xf numFmtId="0" fontId="4" fillId="0" borderId="19" xfId="0" applyFont="1" applyFill="1" applyBorder="1" applyAlignment="1">
      <alignment horizontal="center" vertical="top"/>
    </xf>
    <xf numFmtId="3" fontId="4" fillId="0" borderId="43" xfId="0" applyNumberFormat="1" applyFont="1" applyFill="1" applyBorder="1" applyAlignment="1">
      <alignment horizontal="center" vertical="top"/>
    </xf>
    <xf numFmtId="164" fontId="4" fillId="6" borderId="41" xfId="0" applyNumberFormat="1" applyFont="1" applyFill="1" applyBorder="1" applyAlignment="1">
      <alignment horizontal="center" vertical="top"/>
    </xf>
    <xf numFmtId="164" fontId="17" fillId="0" borderId="0" xfId="0" applyNumberFormat="1" applyFont="1" applyAlignment="1">
      <alignment horizontal="center"/>
    </xf>
    <xf numFmtId="3" fontId="4" fillId="0" borderId="54" xfId="0" applyNumberFormat="1" applyFont="1" applyFill="1" applyBorder="1" applyAlignment="1">
      <alignment horizontal="center" vertical="top" wrapText="1"/>
    </xf>
    <xf numFmtId="0" fontId="16" fillId="7" borderId="0" xfId="0" applyFont="1" applyFill="1" applyAlignment="1">
      <alignment vertical="top" wrapText="1"/>
    </xf>
    <xf numFmtId="0" fontId="2" fillId="0" borderId="0" xfId="0" applyFont="1"/>
    <xf numFmtId="0" fontId="2" fillId="7"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horizontal="left" vertical="top" wrapText="1"/>
    </xf>
    <xf numFmtId="0" fontId="15" fillId="0" borderId="0" xfId="0" applyFont="1" applyBorder="1" applyAlignment="1">
      <alignment vertical="top" wrapText="1"/>
    </xf>
    <xf numFmtId="0" fontId="15" fillId="0" borderId="0" xfId="0" applyFont="1" applyBorder="1" applyAlignment="1">
      <alignment horizontal="center" vertical="top" wrapText="1"/>
    </xf>
    <xf numFmtId="0" fontId="15" fillId="7" borderId="0" xfId="0" applyFont="1" applyFill="1" applyBorder="1" applyAlignment="1">
      <alignment vertical="top" wrapText="1"/>
    </xf>
    <xf numFmtId="0" fontId="14" fillId="7" borderId="0" xfId="0" applyFont="1" applyFill="1" applyBorder="1" applyAlignment="1">
      <alignment horizontal="center" vertical="top" wrapText="1"/>
    </xf>
    <xf numFmtId="0" fontId="1" fillId="0" borderId="0" xfId="0" applyFont="1"/>
    <xf numFmtId="0" fontId="12" fillId="7" borderId="0" xfId="0" applyFont="1" applyFill="1" applyBorder="1" applyAlignment="1">
      <alignment horizontal="center" vertical="top" wrapText="1"/>
    </xf>
    <xf numFmtId="0" fontId="14" fillId="7" borderId="0" xfId="0" applyFont="1" applyFill="1" applyAlignment="1">
      <alignment horizontal="left" vertical="top"/>
    </xf>
    <xf numFmtId="0" fontId="13" fillId="7" borderId="0" xfId="0" applyFont="1" applyFill="1" applyAlignment="1">
      <alignment horizontal="left" vertical="top"/>
    </xf>
    <xf numFmtId="0" fontId="12" fillId="7" borderId="0" xfId="0" applyFont="1" applyFill="1" applyAlignment="1">
      <alignment vertical="top" wrapText="1"/>
    </xf>
    <xf numFmtId="0" fontId="2" fillId="7" borderId="0" xfId="0" applyFont="1" applyFill="1" applyAlignment="1">
      <alignment horizontal="left" vertical="top" wrapText="1"/>
    </xf>
    <xf numFmtId="0" fontId="2" fillId="0" borderId="0" xfId="0" applyFont="1" applyAlignment="1">
      <alignment horizontal="left" vertical="top" wrapText="1"/>
    </xf>
    <xf numFmtId="0" fontId="15" fillId="7" borderId="0" xfId="0" applyFont="1" applyFill="1" applyAlignment="1">
      <alignment horizontal="left" vertical="top"/>
    </xf>
    <xf numFmtId="0" fontId="29" fillId="0" borderId="0" xfId="1" applyFont="1" applyBorder="1" applyAlignment="1">
      <alignment vertical="top" wrapText="1"/>
    </xf>
    <xf numFmtId="0" fontId="29" fillId="0" borderId="0" xfId="1" applyFont="1" applyAlignment="1">
      <alignment vertical="center" wrapText="1"/>
    </xf>
    <xf numFmtId="3" fontId="3" fillId="12" borderId="62" xfId="0" applyNumberFormat="1" applyFont="1" applyFill="1" applyBorder="1" applyAlignment="1">
      <alignment horizontal="center" vertical="top"/>
    </xf>
    <xf numFmtId="0" fontId="12" fillId="0" borderId="0" xfId="0" applyFont="1" applyAlignment="1"/>
    <xf numFmtId="3" fontId="3" fillId="12" borderId="33" xfId="0" applyNumberFormat="1" applyFont="1" applyFill="1" applyBorder="1" applyAlignment="1">
      <alignment horizontal="center" vertical="top"/>
    </xf>
    <xf numFmtId="164" fontId="1" fillId="0" borderId="42" xfId="0" applyNumberFormat="1" applyFont="1" applyFill="1" applyBorder="1" applyAlignment="1">
      <alignment horizontal="center" vertical="top"/>
    </xf>
    <xf numFmtId="3" fontId="3" fillId="12" borderId="8" xfId="0" applyNumberFormat="1" applyFont="1" applyFill="1" applyBorder="1" applyAlignment="1">
      <alignment horizontal="center" vertical="top"/>
    </xf>
    <xf numFmtId="3" fontId="4" fillId="6" borderId="41" xfId="0" applyNumberFormat="1" applyFont="1" applyFill="1" applyBorder="1" applyAlignment="1">
      <alignment vertical="top" wrapText="1"/>
    </xf>
    <xf numFmtId="3" fontId="3" fillId="12" borderId="36" xfId="0" applyNumberFormat="1" applyFont="1" applyFill="1" applyBorder="1" applyAlignment="1">
      <alignment horizontal="center" vertical="top" wrapText="1"/>
    </xf>
    <xf numFmtId="164" fontId="1" fillId="7" borderId="37" xfId="0" applyNumberFormat="1" applyFont="1" applyFill="1" applyBorder="1" applyAlignment="1">
      <alignment horizontal="center" vertical="top" wrapText="1"/>
    </xf>
    <xf numFmtId="3" fontId="3" fillId="12" borderId="39" xfId="0" applyNumberFormat="1" applyFont="1" applyFill="1" applyBorder="1" applyAlignment="1">
      <alignment horizontal="center" vertical="top" wrapText="1"/>
    </xf>
    <xf numFmtId="3" fontId="4" fillId="0" borderId="0" xfId="0" applyNumberFormat="1" applyFont="1" applyFill="1" applyBorder="1" applyAlignment="1">
      <alignment horizontal="center" vertical="center" wrapText="1"/>
    </xf>
    <xf numFmtId="164" fontId="1" fillId="6" borderId="37" xfId="0" applyNumberFormat="1" applyFont="1" applyFill="1" applyBorder="1" applyAlignment="1">
      <alignment horizontal="center" vertical="top"/>
    </xf>
    <xf numFmtId="164" fontId="1" fillId="6" borderId="0" xfId="0" applyNumberFormat="1" applyFont="1" applyFill="1" applyBorder="1" applyAlignment="1">
      <alignment horizontal="center" vertical="top"/>
    </xf>
    <xf numFmtId="164" fontId="4" fillId="6" borderId="42" xfId="0" applyNumberFormat="1" applyFont="1" applyFill="1" applyBorder="1" applyAlignment="1">
      <alignment horizontal="center" vertical="top" wrapText="1"/>
    </xf>
    <xf numFmtId="3" fontId="3" fillId="12" borderId="41" xfId="0" applyNumberFormat="1" applyFont="1" applyFill="1" applyBorder="1" applyAlignment="1">
      <alignment horizontal="center" vertical="top"/>
    </xf>
    <xf numFmtId="3" fontId="1" fillId="12" borderId="39" xfId="0" applyNumberFormat="1" applyFont="1" applyFill="1" applyBorder="1" applyAlignment="1">
      <alignment horizontal="center" vertical="top"/>
    </xf>
    <xf numFmtId="3" fontId="1" fillId="5" borderId="14" xfId="0" applyNumberFormat="1" applyFont="1" applyFill="1" applyBorder="1" applyAlignment="1">
      <alignment horizontal="center" vertical="top"/>
    </xf>
    <xf numFmtId="49" fontId="1" fillId="7" borderId="14" xfId="0" applyNumberFormat="1" applyFont="1" applyFill="1" applyBorder="1" applyAlignment="1">
      <alignment horizontal="center" vertical="top"/>
    </xf>
    <xf numFmtId="164" fontId="6" fillId="7" borderId="0" xfId="0" applyNumberFormat="1" applyFont="1" applyFill="1" applyBorder="1" applyAlignment="1">
      <alignment horizontal="center" vertical="top" wrapText="1"/>
    </xf>
    <xf numFmtId="164" fontId="1" fillId="0" borderId="41" xfId="0" applyNumberFormat="1" applyFont="1" applyBorder="1" applyAlignment="1">
      <alignment horizontal="center" vertical="top" wrapText="1"/>
    </xf>
    <xf numFmtId="164" fontId="6" fillId="7" borderId="0" xfId="0" applyNumberFormat="1" applyFont="1" applyFill="1" applyBorder="1" applyAlignment="1">
      <alignment horizontal="center" vertical="top"/>
    </xf>
    <xf numFmtId="3" fontId="4" fillId="0" borderId="45" xfId="0" applyNumberFormat="1" applyFont="1" applyFill="1" applyBorder="1" applyAlignment="1">
      <alignment horizontal="center" vertical="top"/>
    </xf>
    <xf numFmtId="3" fontId="1" fillId="12" borderId="12" xfId="0" applyNumberFormat="1" applyFont="1" applyFill="1" applyBorder="1" applyAlignment="1">
      <alignment horizontal="center" vertical="top"/>
    </xf>
    <xf numFmtId="164" fontId="6" fillId="8" borderId="30" xfId="0" applyNumberFormat="1" applyFont="1" applyFill="1" applyBorder="1" applyAlignment="1">
      <alignment horizontal="center" vertical="top"/>
    </xf>
    <xf numFmtId="164" fontId="6" fillId="8" borderId="42" xfId="0" applyNumberFormat="1" applyFont="1" applyFill="1" applyBorder="1" applyAlignment="1">
      <alignment horizontal="center" vertical="top"/>
    </xf>
    <xf numFmtId="164" fontId="6" fillId="6" borderId="42" xfId="0" applyNumberFormat="1" applyFont="1" applyFill="1" applyBorder="1" applyAlignment="1">
      <alignment horizontal="center" vertical="top"/>
    </xf>
    <xf numFmtId="3" fontId="1" fillId="6" borderId="42" xfId="0" applyNumberFormat="1" applyFont="1" applyFill="1" applyBorder="1" applyAlignment="1">
      <alignment vertical="top" wrapText="1"/>
    </xf>
    <xf numFmtId="3" fontId="1" fillId="0" borderId="43" xfId="0" applyNumberFormat="1" applyFont="1" applyFill="1" applyBorder="1" applyAlignment="1">
      <alignment horizontal="center" vertical="top" wrapText="1"/>
    </xf>
    <xf numFmtId="3" fontId="4" fillId="0" borderId="59"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xf>
    <xf numFmtId="165" fontId="6" fillId="5" borderId="8" xfId="0" applyNumberFormat="1" applyFont="1" applyFill="1" applyBorder="1" applyAlignment="1">
      <alignment horizontal="center" vertical="top"/>
    </xf>
    <xf numFmtId="3" fontId="6" fillId="0" borderId="14" xfId="0" applyNumberFormat="1" applyFont="1" applyBorder="1" applyAlignment="1">
      <alignment horizontal="center" vertical="top"/>
    </xf>
    <xf numFmtId="49" fontId="1" fillId="6" borderId="54" xfId="0" applyNumberFormat="1" applyFont="1" applyFill="1" applyBorder="1" applyAlignment="1">
      <alignment horizontal="center" vertical="top"/>
    </xf>
    <xf numFmtId="165" fontId="6" fillId="8" borderId="55" xfId="0" applyNumberFormat="1" applyFont="1" applyFill="1" applyBorder="1" applyAlignment="1">
      <alignment horizontal="center" vertical="top" wrapText="1"/>
    </xf>
    <xf numFmtId="3" fontId="4" fillId="0" borderId="1" xfId="0" applyNumberFormat="1" applyFont="1" applyFill="1" applyBorder="1" applyAlignment="1">
      <alignment horizontal="center" vertical="top"/>
    </xf>
    <xf numFmtId="3" fontId="11" fillId="0" borderId="52" xfId="0" applyNumberFormat="1" applyFont="1" applyFill="1" applyBorder="1" applyAlignment="1">
      <alignment horizontal="center" vertical="center" textRotation="90" wrapText="1"/>
    </xf>
    <xf numFmtId="165" fontId="4" fillId="0" borderId="37" xfId="0" applyNumberFormat="1" applyFont="1" applyBorder="1" applyAlignment="1">
      <alignment horizontal="center" vertical="top" wrapText="1"/>
    </xf>
    <xf numFmtId="164" fontId="4" fillId="6" borderId="12" xfId="0" applyNumberFormat="1" applyFont="1" applyFill="1" applyBorder="1" applyAlignment="1">
      <alignment horizontal="center" vertical="top" wrapText="1"/>
    </xf>
    <xf numFmtId="164" fontId="4" fillId="6" borderId="49" xfId="0" applyNumberFormat="1" applyFont="1" applyFill="1" applyBorder="1" applyAlignment="1">
      <alignment horizontal="center" vertical="top" wrapText="1"/>
    </xf>
    <xf numFmtId="164" fontId="3" fillId="8" borderId="41" xfId="0" applyNumberFormat="1" applyFont="1" applyFill="1" applyBorder="1" applyAlignment="1">
      <alignment horizontal="center" vertical="top"/>
    </xf>
    <xf numFmtId="3" fontId="3" fillId="6" borderId="54" xfId="0" applyNumberFormat="1" applyFont="1" applyFill="1" applyBorder="1" applyAlignment="1">
      <alignment horizontal="center" vertical="top"/>
    </xf>
    <xf numFmtId="164" fontId="1" fillId="6" borderId="42" xfId="0" applyNumberFormat="1" applyFont="1" applyFill="1" applyBorder="1" applyAlignment="1">
      <alignment horizontal="center" vertical="top" wrapText="1"/>
    </xf>
    <xf numFmtId="164" fontId="1" fillId="6" borderId="49" xfId="0" applyNumberFormat="1" applyFont="1" applyFill="1" applyBorder="1" applyAlignment="1">
      <alignment horizontal="center" vertical="top" wrapText="1"/>
    </xf>
    <xf numFmtId="165" fontId="3" fillId="8" borderId="55" xfId="0" applyNumberFormat="1" applyFont="1" applyFill="1" applyBorder="1" applyAlignment="1">
      <alignment horizontal="center" vertical="top" wrapText="1"/>
    </xf>
    <xf numFmtId="3" fontId="4" fillId="6" borderId="30" xfId="0" applyNumberFormat="1" applyFont="1" applyFill="1" applyBorder="1" applyAlignment="1">
      <alignment vertical="top" wrapText="1"/>
    </xf>
    <xf numFmtId="3" fontId="3" fillId="12" borderId="23" xfId="0" applyNumberFormat="1" applyFont="1" applyFill="1" applyBorder="1" applyAlignment="1">
      <alignment horizontal="center" vertical="top"/>
    </xf>
    <xf numFmtId="3" fontId="3" fillId="10" borderId="33" xfId="0" applyNumberFormat="1" applyFont="1" applyFill="1" applyBorder="1" applyAlignment="1">
      <alignment horizontal="center" vertical="top"/>
    </xf>
    <xf numFmtId="164" fontId="6" fillId="10" borderId="8" xfId="0" applyNumberFormat="1" applyFont="1" applyFill="1" applyBorder="1" applyAlignment="1">
      <alignment horizontal="center" vertical="top" wrapText="1"/>
    </xf>
    <xf numFmtId="0" fontId="31" fillId="0" borderId="0" xfId="0" applyFont="1" applyAlignment="1">
      <alignment horizontal="center"/>
    </xf>
    <xf numFmtId="164" fontId="1" fillId="6" borderId="41" xfId="0" applyNumberFormat="1" applyFont="1" applyFill="1" applyBorder="1" applyAlignment="1">
      <alignment horizontal="center" vertical="top" wrapText="1"/>
    </xf>
    <xf numFmtId="3" fontId="3" fillId="6" borderId="54" xfId="0" applyNumberFormat="1" applyFont="1" applyFill="1" applyBorder="1" applyAlignment="1">
      <alignment vertical="top"/>
    </xf>
    <xf numFmtId="3" fontId="1" fillId="0" borderId="1" xfId="0" applyNumberFormat="1" applyFont="1" applyFill="1" applyBorder="1" applyAlignment="1">
      <alignment horizontal="center" vertical="top"/>
    </xf>
    <xf numFmtId="164" fontId="1" fillId="0" borderId="49" xfId="0" applyNumberFormat="1" applyFont="1" applyFill="1" applyBorder="1" applyAlignment="1">
      <alignment horizontal="center" vertical="top"/>
    </xf>
    <xf numFmtId="3" fontId="4" fillId="0" borderId="59" xfId="0" applyNumberFormat="1" applyFont="1" applyFill="1" applyBorder="1" applyAlignment="1">
      <alignment horizontal="center" vertical="top"/>
    </xf>
    <xf numFmtId="3" fontId="4" fillId="0" borderId="39" xfId="0" applyNumberFormat="1" applyFont="1" applyFill="1" applyBorder="1" applyAlignment="1">
      <alignment horizontal="center" vertical="top" wrapText="1"/>
    </xf>
    <xf numFmtId="3" fontId="4" fillId="6" borderId="52" xfId="0" applyNumberFormat="1" applyFont="1" applyFill="1" applyBorder="1" applyAlignment="1">
      <alignment horizontal="center" vertical="top"/>
    </xf>
    <xf numFmtId="3" fontId="1" fillId="7" borderId="0" xfId="0" applyNumberFormat="1" applyFont="1" applyFill="1" applyBorder="1" applyAlignment="1">
      <alignment horizontal="center" vertical="center" wrapText="1"/>
    </xf>
    <xf numFmtId="0" fontId="28" fillId="0" borderId="0" xfId="0" applyFont="1" applyAlignment="1">
      <alignment horizontal="center" vertical="top"/>
    </xf>
    <xf numFmtId="3" fontId="6" fillId="7" borderId="0" xfId="0" applyNumberFormat="1" applyFont="1" applyFill="1" applyBorder="1" applyAlignment="1">
      <alignment horizontal="center" vertical="top" wrapText="1"/>
    </xf>
    <xf numFmtId="164" fontId="1" fillId="7" borderId="0" xfId="0" applyNumberFormat="1" applyFont="1" applyFill="1" applyBorder="1" applyAlignment="1">
      <alignment horizontal="center" vertical="top" wrapText="1"/>
    </xf>
    <xf numFmtId="3" fontId="1" fillId="7" borderId="0" xfId="0" applyNumberFormat="1" applyFont="1" applyFill="1" applyBorder="1" applyAlignment="1">
      <alignment horizontal="center" vertical="top" wrapText="1"/>
    </xf>
    <xf numFmtId="3" fontId="1" fillId="12" borderId="11" xfId="0" applyNumberFormat="1" applyFont="1" applyFill="1" applyBorder="1" applyAlignment="1">
      <alignment vertical="top" wrapText="1"/>
    </xf>
    <xf numFmtId="164" fontId="1" fillId="12" borderId="12" xfId="0" applyNumberFormat="1" applyFont="1" applyFill="1" applyBorder="1" applyAlignment="1">
      <alignment horizontal="center" vertical="top"/>
    </xf>
    <xf numFmtId="3" fontId="3" fillId="13" borderId="23" xfId="0" applyNumberFormat="1" applyFont="1" applyFill="1" applyBorder="1" applyAlignment="1">
      <alignment horizontal="center" vertical="top"/>
    </xf>
    <xf numFmtId="164" fontId="4" fillId="0" borderId="0" xfId="0" applyNumberFormat="1" applyFont="1" applyBorder="1" applyAlignment="1">
      <alignment vertical="top"/>
    </xf>
    <xf numFmtId="3" fontId="1" fillId="0" borderId="42" xfId="0" applyNumberFormat="1" applyFont="1" applyFill="1" applyBorder="1" applyAlignment="1">
      <alignment horizontal="center" vertical="top"/>
    </xf>
    <xf numFmtId="3" fontId="4" fillId="6" borderId="66" xfId="0" applyNumberFormat="1" applyFont="1" applyFill="1" applyBorder="1" applyAlignment="1">
      <alignment horizontal="center" vertical="top" wrapText="1"/>
    </xf>
    <xf numFmtId="3" fontId="4" fillId="6" borderId="32" xfId="0" applyNumberFormat="1" applyFont="1" applyFill="1" applyBorder="1" applyAlignment="1">
      <alignment horizontal="center" vertical="top" wrapText="1"/>
    </xf>
    <xf numFmtId="164" fontId="1" fillId="0" borderId="50" xfId="0" applyNumberFormat="1" applyFont="1" applyFill="1" applyBorder="1" applyAlignment="1">
      <alignment horizontal="center" vertical="top"/>
    </xf>
    <xf numFmtId="3" fontId="4" fillId="6" borderId="15" xfId="0" applyNumberFormat="1" applyFont="1" applyFill="1" applyBorder="1" applyAlignment="1">
      <alignment horizontal="center" vertical="top" wrapText="1"/>
    </xf>
    <xf numFmtId="164" fontId="1" fillId="6" borderId="44" xfId="0" applyNumberFormat="1" applyFont="1" applyFill="1" applyBorder="1" applyAlignment="1">
      <alignment horizontal="center" vertical="top"/>
    </xf>
    <xf numFmtId="49" fontId="4" fillId="0" borderId="14" xfId="0" applyNumberFormat="1" applyFont="1" applyFill="1" applyBorder="1" applyAlignment="1">
      <alignment horizontal="center" vertical="top"/>
    </xf>
    <xf numFmtId="164" fontId="1" fillId="6" borderId="13" xfId="0" applyNumberFormat="1" applyFont="1" applyFill="1" applyBorder="1" applyAlignment="1">
      <alignment horizontal="center" vertical="top" wrapText="1"/>
    </xf>
    <xf numFmtId="3" fontId="1" fillId="6" borderId="42" xfId="0" applyNumberFormat="1" applyFont="1" applyFill="1" applyBorder="1" applyAlignment="1">
      <alignment horizontal="center" vertical="top"/>
    </xf>
    <xf numFmtId="3" fontId="4" fillId="0" borderId="14" xfId="0" applyNumberFormat="1" applyFont="1" applyFill="1" applyBorder="1" applyAlignment="1">
      <alignment horizontal="center" vertical="top" wrapText="1"/>
    </xf>
    <xf numFmtId="3" fontId="1" fillId="6" borderId="72" xfId="0" applyNumberFormat="1" applyFont="1" applyFill="1" applyBorder="1" applyAlignment="1">
      <alignment horizontal="center" vertical="top"/>
    </xf>
    <xf numFmtId="3" fontId="1" fillId="6" borderId="43" xfId="0" applyNumberFormat="1" applyFont="1" applyFill="1" applyBorder="1" applyAlignment="1">
      <alignment horizontal="center" vertical="top"/>
    </xf>
    <xf numFmtId="164" fontId="4" fillId="0" borderId="0" xfId="0" applyNumberFormat="1" applyFont="1" applyAlignment="1">
      <alignment vertical="top"/>
    </xf>
    <xf numFmtId="164" fontId="6" fillId="8" borderId="12" xfId="0" applyNumberFormat="1" applyFont="1" applyFill="1" applyBorder="1" applyAlignment="1">
      <alignment horizontal="center" vertical="top"/>
    </xf>
    <xf numFmtId="3" fontId="1" fillId="0" borderId="75" xfId="0" applyNumberFormat="1" applyFont="1" applyFill="1" applyBorder="1" applyAlignment="1">
      <alignment horizontal="center" vertical="top" wrapText="1"/>
    </xf>
    <xf numFmtId="3" fontId="1" fillId="0" borderId="52"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xf>
    <xf numFmtId="164" fontId="6" fillId="8" borderId="44" xfId="0" applyNumberFormat="1" applyFont="1" applyFill="1" applyBorder="1" applyAlignment="1">
      <alignment horizontal="center" vertical="top"/>
    </xf>
    <xf numFmtId="3" fontId="1" fillId="0" borderId="0"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3" fontId="3" fillId="6" borderId="42" xfId="0" applyNumberFormat="1" applyFont="1" applyFill="1" applyBorder="1" applyAlignment="1">
      <alignment horizontal="center" vertical="top"/>
    </xf>
    <xf numFmtId="164" fontId="6" fillId="6" borderId="44" xfId="0" applyNumberFormat="1" applyFont="1" applyFill="1" applyBorder="1" applyAlignment="1">
      <alignment horizontal="center" vertical="top"/>
    </xf>
    <xf numFmtId="3" fontId="1" fillId="6" borderId="11" xfId="0" applyNumberFormat="1" applyFont="1" applyFill="1" applyBorder="1" applyAlignment="1">
      <alignment vertical="top" wrapText="1"/>
    </xf>
    <xf numFmtId="3" fontId="4" fillId="0" borderId="23" xfId="0" applyNumberFormat="1" applyFont="1" applyFill="1" applyBorder="1" applyAlignment="1">
      <alignment horizontal="center" vertical="top" wrapText="1"/>
    </xf>
    <xf numFmtId="3" fontId="4" fillId="6" borderId="5" xfId="0" applyNumberFormat="1" applyFont="1" applyFill="1" applyBorder="1" applyAlignment="1">
      <alignment horizontal="center" vertical="top" wrapText="1"/>
    </xf>
    <xf numFmtId="3" fontId="4" fillId="0" borderId="37" xfId="0" applyNumberFormat="1" applyFont="1" applyBorder="1" applyAlignment="1">
      <alignment horizontal="center" vertical="top"/>
    </xf>
    <xf numFmtId="164" fontId="1" fillId="6" borderId="27" xfId="0" applyNumberFormat="1" applyFont="1" applyFill="1" applyBorder="1" applyAlignment="1">
      <alignment horizontal="center" vertical="top"/>
    </xf>
    <xf numFmtId="164" fontId="1" fillId="6" borderId="3" xfId="0" applyNumberFormat="1" applyFont="1" applyFill="1" applyBorder="1" applyAlignment="1">
      <alignment horizontal="center" vertical="top"/>
    </xf>
    <xf numFmtId="164" fontId="1" fillId="6" borderId="4" xfId="0" applyNumberFormat="1" applyFont="1" applyFill="1" applyBorder="1" applyAlignment="1">
      <alignment horizontal="center" vertical="top"/>
    </xf>
    <xf numFmtId="165" fontId="6" fillId="5" borderId="34" xfId="0" applyNumberFormat="1" applyFont="1" applyFill="1" applyBorder="1" applyAlignment="1">
      <alignment horizontal="center" vertical="top"/>
    </xf>
    <xf numFmtId="3" fontId="1" fillId="6" borderId="5"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3" fontId="4" fillId="6" borderId="60" xfId="0" applyNumberFormat="1" applyFont="1" applyFill="1" applyBorder="1" applyAlignment="1">
      <alignment horizontal="center" vertical="top" wrapText="1"/>
    </xf>
    <xf numFmtId="49" fontId="7" fillId="6" borderId="17" xfId="0" applyNumberFormat="1" applyFont="1" applyFill="1" applyBorder="1" applyAlignment="1">
      <alignment horizontal="center" vertical="top"/>
    </xf>
    <xf numFmtId="49" fontId="7" fillId="6" borderId="47" xfId="0" applyNumberFormat="1" applyFont="1" applyFill="1" applyBorder="1" applyAlignment="1">
      <alignment horizontal="center" vertical="top"/>
    </xf>
    <xf numFmtId="164" fontId="1" fillId="6" borderId="15" xfId="0" applyNumberFormat="1" applyFont="1" applyFill="1" applyBorder="1" applyAlignment="1">
      <alignment horizontal="center" vertical="top" wrapText="1"/>
    </xf>
    <xf numFmtId="49" fontId="1" fillId="6" borderId="14" xfId="0" applyNumberFormat="1" applyFont="1" applyFill="1" applyBorder="1" applyAlignment="1">
      <alignment horizontal="center" vertical="top"/>
    </xf>
    <xf numFmtId="164" fontId="1" fillId="6" borderId="41" xfId="0" applyNumberFormat="1" applyFont="1" applyFill="1" applyBorder="1" applyAlignment="1">
      <alignment horizontal="center" vertical="top"/>
    </xf>
    <xf numFmtId="3" fontId="4" fillId="0" borderId="14" xfId="0" applyNumberFormat="1" applyFont="1" applyBorder="1" applyAlignment="1">
      <alignment vertical="top"/>
    </xf>
    <xf numFmtId="3" fontId="4" fillId="6" borderId="11" xfId="0" applyNumberFormat="1" applyFont="1" applyFill="1" applyBorder="1" applyAlignment="1">
      <alignment vertical="top" wrapText="1"/>
    </xf>
    <xf numFmtId="3" fontId="4" fillId="6" borderId="43" xfId="0" applyNumberFormat="1" applyFont="1" applyFill="1" applyBorder="1" applyAlignment="1">
      <alignment horizontal="left" vertical="top" wrapText="1"/>
    </xf>
    <xf numFmtId="3" fontId="4" fillId="6" borderId="32" xfId="0" applyNumberFormat="1" applyFont="1" applyFill="1" applyBorder="1" applyAlignment="1">
      <alignment horizontal="center" vertical="top"/>
    </xf>
    <xf numFmtId="3" fontId="4" fillId="6" borderId="39" xfId="0" applyNumberFormat="1" applyFont="1" applyFill="1" applyBorder="1" applyAlignment="1">
      <alignment vertical="top" wrapText="1"/>
    </xf>
    <xf numFmtId="165" fontId="6" fillId="8" borderId="21" xfId="0" applyNumberFormat="1" applyFont="1" applyFill="1" applyBorder="1" applyAlignment="1">
      <alignment horizontal="center" vertical="top" wrapText="1"/>
    </xf>
    <xf numFmtId="3" fontId="1" fillId="0" borderId="5" xfId="0" applyNumberFormat="1" applyFont="1" applyFill="1" applyBorder="1" applyAlignment="1">
      <alignment horizontal="center" vertical="top" wrapText="1"/>
    </xf>
    <xf numFmtId="164" fontId="1" fillId="7" borderId="4" xfId="0" applyNumberFormat="1" applyFont="1" applyFill="1" applyBorder="1" applyAlignment="1">
      <alignment horizontal="center" vertical="top" wrapText="1"/>
    </xf>
    <xf numFmtId="3" fontId="1" fillId="0" borderId="41" xfId="0" applyNumberFormat="1" applyFont="1" applyBorder="1" applyAlignment="1">
      <alignment horizontal="center" vertical="top" wrapText="1"/>
    </xf>
    <xf numFmtId="165" fontId="4" fillId="6" borderId="0" xfId="0" applyNumberFormat="1" applyFont="1" applyFill="1" applyAlignment="1">
      <alignment vertical="top"/>
    </xf>
    <xf numFmtId="3" fontId="1" fillId="6" borderId="41" xfId="0" applyNumberFormat="1" applyFont="1" applyFill="1" applyBorder="1" applyAlignment="1">
      <alignment horizontal="center" vertical="top" wrapText="1"/>
    </xf>
    <xf numFmtId="3" fontId="4" fillId="0" borderId="37" xfId="0" applyNumberFormat="1" applyFont="1" applyBorder="1" applyAlignment="1">
      <alignment horizontal="center" vertical="top" wrapText="1"/>
    </xf>
    <xf numFmtId="165" fontId="4" fillId="0" borderId="4" xfId="0" applyNumberFormat="1" applyFont="1" applyBorder="1" applyAlignment="1">
      <alignment horizontal="center" vertical="top" wrapText="1"/>
    </xf>
    <xf numFmtId="3" fontId="4" fillId="6" borderId="0" xfId="0" applyNumberFormat="1" applyFont="1" applyFill="1" applyAlignment="1">
      <alignment vertical="top"/>
    </xf>
    <xf numFmtId="49" fontId="4" fillId="6" borderId="14"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3" fontId="3" fillId="6" borderId="54" xfId="0" applyNumberFormat="1" applyFont="1" applyFill="1" applyBorder="1" applyAlignment="1">
      <alignment horizontal="center" vertical="top" wrapText="1"/>
    </xf>
    <xf numFmtId="164" fontId="4" fillId="0" borderId="37"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3" fontId="4" fillId="0" borderId="5" xfId="0" applyNumberFormat="1" applyFont="1" applyFill="1" applyBorder="1" applyAlignment="1">
      <alignment horizontal="center" vertical="top" wrapText="1"/>
    </xf>
    <xf numFmtId="164" fontId="4" fillId="6" borderId="30" xfId="0" applyNumberFormat="1" applyFont="1" applyFill="1" applyBorder="1" applyAlignment="1">
      <alignment horizontal="center" vertical="top" wrapText="1"/>
    </xf>
    <xf numFmtId="164" fontId="4" fillId="6" borderId="44" xfId="0" applyNumberFormat="1" applyFont="1" applyFill="1" applyBorder="1" applyAlignment="1">
      <alignment horizontal="center" vertical="top" wrapText="1"/>
    </xf>
    <xf numFmtId="164" fontId="4" fillId="6" borderId="50" xfId="0" applyNumberFormat="1" applyFont="1" applyFill="1" applyBorder="1" applyAlignment="1">
      <alignment horizontal="center" vertical="top" wrapText="1"/>
    </xf>
    <xf numFmtId="3" fontId="4" fillId="6" borderId="11" xfId="0" applyNumberFormat="1" applyFont="1" applyFill="1" applyBorder="1" applyAlignment="1">
      <alignment horizontal="left" vertical="top" wrapText="1"/>
    </xf>
    <xf numFmtId="164" fontId="3" fillId="8" borderId="13" xfId="0" applyNumberFormat="1" applyFont="1" applyFill="1" applyBorder="1" applyAlignment="1">
      <alignment horizontal="center" vertical="top"/>
    </xf>
    <xf numFmtId="0" fontId="1" fillId="6" borderId="37" xfId="0" applyFont="1" applyFill="1" applyBorder="1" applyAlignment="1">
      <alignment horizontal="center" vertical="top"/>
    </xf>
    <xf numFmtId="0" fontId="1" fillId="6" borderId="42" xfId="0" applyFont="1" applyFill="1" applyBorder="1" applyAlignment="1">
      <alignment horizontal="center" vertical="top"/>
    </xf>
    <xf numFmtId="0" fontId="6" fillId="8" borderId="55" xfId="0" applyFont="1" applyFill="1" applyBorder="1" applyAlignment="1">
      <alignment horizontal="center" vertical="top"/>
    </xf>
    <xf numFmtId="3" fontId="6" fillId="7" borderId="27" xfId="0" applyNumberFormat="1" applyFont="1" applyFill="1" applyBorder="1" applyAlignment="1">
      <alignment vertical="top" wrapText="1"/>
    </xf>
    <xf numFmtId="164" fontId="4" fillId="6" borderId="27" xfId="0" applyNumberFormat="1" applyFont="1" applyFill="1" applyBorder="1" applyAlignment="1">
      <alignment horizontal="center" vertical="top" wrapText="1"/>
    </xf>
    <xf numFmtId="164" fontId="4" fillId="6" borderId="3" xfId="0" applyNumberFormat="1" applyFont="1" applyFill="1" applyBorder="1" applyAlignment="1">
      <alignment horizontal="center" vertical="top" wrapText="1"/>
    </xf>
    <xf numFmtId="3" fontId="1" fillId="5" borderId="13" xfId="0" applyNumberFormat="1" applyFont="1" applyFill="1" applyBorder="1" applyAlignment="1">
      <alignment horizontal="center" vertical="top"/>
    </xf>
    <xf numFmtId="164" fontId="1" fillId="6" borderId="12" xfId="0" applyNumberFormat="1" applyFont="1" applyFill="1" applyBorder="1" applyAlignment="1">
      <alignment horizontal="center" vertical="top" wrapText="1"/>
    </xf>
    <xf numFmtId="3" fontId="3" fillId="6" borderId="45" xfId="0" applyNumberFormat="1" applyFont="1" applyFill="1" applyBorder="1" applyAlignment="1">
      <alignment horizontal="center" vertical="top"/>
    </xf>
    <xf numFmtId="3" fontId="1" fillId="6" borderId="30" xfId="0" applyNumberFormat="1" applyFont="1" applyFill="1" applyBorder="1" applyAlignment="1">
      <alignment horizontal="center" vertical="top" wrapText="1"/>
    </xf>
    <xf numFmtId="164" fontId="1" fillId="0" borderId="42" xfId="2" applyNumberFormat="1" applyFont="1" applyFill="1" applyBorder="1" applyAlignment="1">
      <alignment horizontal="center" vertical="top"/>
    </xf>
    <xf numFmtId="3" fontId="1" fillId="6" borderId="42"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wrapText="1"/>
    </xf>
    <xf numFmtId="3" fontId="1" fillId="6" borderId="49" xfId="0" applyNumberFormat="1" applyFont="1" applyFill="1" applyBorder="1" applyAlignment="1">
      <alignment vertical="top" wrapText="1"/>
    </xf>
    <xf numFmtId="3" fontId="1" fillId="6" borderId="30" xfId="0" applyNumberFormat="1" applyFont="1" applyFill="1" applyBorder="1" applyAlignment="1">
      <alignment vertical="top" wrapText="1"/>
    </xf>
    <xf numFmtId="3" fontId="1" fillId="0" borderId="42" xfId="0" applyNumberFormat="1" applyFont="1" applyFill="1" applyBorder="1" applyAlignment="1">
      <alignment vertical="top" wrapText="1"/>
    </xf>
    <xf numFmtId="3" fontId="1" fillId="0" borderId="72" xfId="0" applyNumberFormat="1" applyFont="1" applyFill="1" applyBorder="1" applyAlignment="1">
      <alignment horizontal="center" vertical="top" wrapText="1"/>
    </xf>
    <xf numFmtId="165" fontId="3" fillId="8" borderId="21" xfId="0" applyNumberFormat="1" applyFont="1" applyFill="1" applyBorder="1" applyAlignment="1">
      <alignment horizontal="center" vertical="top" wrapText="1"/>
    </xf>
    <xf numFmtId="164" fontId="1" fillId="6" borderId="47" xfId="0" applyNumberFormat="1" applyFont="1" applyFill="1" applyBorder="1" applyAlignment="1">
      <alignment horizontal="center" vertical="top"/>
    </xf>
    <xf numFmtId="164" fontId="1" fillId="6" borderId="54" xfId="0" applyNumberFormat="1" applyFont="1" applyFill="1" applyBorder="1" applyAlignment="1">
      <alignment horizontal="center" vertical="top"/>
    </xf>
    <xf numFmtId="164" fontId="1" fillId="14" borderId="81" xfId="2" applyNumberFormat="1" applyFont="1" applyFill="1" applyBorder="1" applyAlignment="1">
      <alignment horizontal="center" vertical="top"/>
    </xf>
    <xf numFmtId="164" fontId="1" fillId="14" borderId="41" xfId="2" applyNumberFormat="1" applyFont="1" applyFill="1" applyBorder="1" applyAlignment="1">
      <alignment horizontal="center" vertical="top"/>
    </xf>
    <xf numFmtId="3" fontId="1" fillId="0" borderId="23" xfId="0" applyNumberFormat="1" applyFont="1" applyFill="1" applyBorder="1" applyAlignment="1">
      <alignment horizontal="center" vertical="top"/>
    </xf>
    <xf numFmtId="164" fontId="3" fillId="12" borderId="8" xfId="0" applyNumberFormat="1" applyFont="1" applyFill="1" applyBorder="1" applyAlignment="1">
      <alignment horizontal="center" vertical="top"/>
    </xf>
    <xf numFmtId="164" fontId="6" fillId="10" borderId="34" xfId="0" applyNumberFormat="1" applyFont="1" applyFill="1" applyBorder="1" applyAlignment="1">
      <alignment horizontal="center" vertical="top" wrapText="1"/>
    </xf>
    <xf numFmtId="164" fontId="6" fillId="10" borderId="10" xfId="0" applyNumberFormat="1" applyFont="1" applyFill="1" applyBorder="1" applyAlignment="1">
      <alignment horizontal="center" vertical="top" wrapText="1"/>
    </xf>
    <xf numFmtId="164" fontId="1" fillId="0" borderId="49" xfId="0" applyNumberFormat="1" applyFont="1" applyBorder="1" applyAlignment="1">
      <alignment horizontal="center" vertical="top" wrapText="1"/>
    </xf>
    <xf numFmtId="164" fontId="1" fillId="0" borderId="50" xfId="0" applyNumberFormat="1" applyFont="1" applyBorder="1" applyAlignment="1">
      <alignment horizontal="center" vertical="top" wrapText="1"/>
    </xf>
    <xf numFmtId="164" fontId="1" fillId="8" borderId="30" xfId="0" applyNumberFormat="1" applyFont="1" applyFill="1" applyBorder="1" applyAlignment="1">
      <alignment horizontal="center" vertical="top" wrapText="1"/>
    </xf>
    <xf numFmtId="164" fontId="1" fillId="8" borderId="12" xfId="0" applyNumberFormat="1" applyFont="1" applyFill="1" applyBorder="1" applyAlignment="1">
      <alignment horizontal="center" vertical="top" wrapText="1"/>
    </xf>
    <xf numFmtId="164" fontId="1" fillId="8" borderId="19" xfId="0" applyNumberFormat="1" applyFont="1" applyFill="1" applyBorder="1" applyAlignment="1">
      <alignment horizontal="center" vertical="top" wrapText="1"/>
    </xf>
    <xf numFmtId="164" fontId="1" fillId="0" borderId="3" xfId="0" applyNumberFormat="1" applyFont="1" applyBorder="1" applyAlignment="1">
      <alignment horizontal="center" vertical="top" wrapText="1"/>
    </xf>
    <xf numFmtId="164" fontId="1" fillId="0" borderId="29" xfId="0" applyNumberFormat="1" applyFont="1" applyBorder="1" applyAlignment="1">
      <alignment horizontal="center" vertical="top" wrapText="1"/>
    </xf>
    <xf numFmtId="164" fontId="1" fillId="0" borderId="66" xfId="0" applyNumberFormat="1" applyFont="1" applyBorder="1" applyAlignment="1">
      <alignment horizontal="center" vertical="top" wrapText="1"/>
    </xf>
    <xf numFmtId="0" fontId="17" fillId="0" borderId="0" xfId="0" applyFont="1" applyBorder="1"/>
    <xf numFmtId="49" fontId="4" fillId="0" borderId="61" xfId="0" applyNumberFormat="1" applyFont="1" applyBorder="1" applyAlignment="1">
      <alignment horizontal="center" vertical="top" wrapText="1"/>
    </xf>
    <xf numFmtId="49" fontId="4" fillId="0" borderId="54" xfId="0" applyNumberFormat="1" applyFont="1" applyBorder="1" applyAlignment="1">
      <alignment horizontal="center" vertical="top" wrapText="1"/>
    </xf>
    <xf numFmtId="49" fontId="4" fillId="0" borderId="45" xfId="0" applyNumberFormat="1" applyFont="1" applyBorder="1" applyAlignment="1">
      <alignment horizontal="center" vertical="top" wrapText="1"/>
    </xf>
    <xf numFmtId="49" fontId="4" fillId="0" borderId="53" xfId="0" applyNumberFormat="1" applyFont="1" applyBorder="1" applyAlignment="1">
      <alignment horizontal="center" vertical="top" wrapText="1"/>
    </xf>
    <xf numFmtId="49" fontId="4" fillId="0" borderId="45" xfId="0" applyNumberFormat="1" applyFont="1" applyBorder="1" applyAlignment="1">
      <alignment horizontal="center" vertical="top"/>
    </xf>
    <xf numFmtId="49" fontId="4" fillId="0" borderId="53" xfId="0" applyNumberFormat="1" applyFont="1" applyBorder="1" applyAlignment="1">
      <alignment horizontal="center" vertical="top"/>
    </xf>
    <xf numFmtId="49" fontId="4" fillId="0" borderId="54" xfId="0" applyNumberFormat="1" applyFont="1" applyBorder="1" applyAlignment="1">
      <alignment horizontal="center" vertical="top"/>
    </xf>
    <xf numFmtId="3" fontId="1" fillId="6" borderId="30" xfId="0" applyNumberFormat="1" applyFont="1" applyFill="1" applyBorder="1" applyAlignment="1">
      <alignment horizontal="left" vertical="top" wrapText="1"/>
    </xf>
    <xf numFmtId="3" fontId="1" fillId="0" borderId="53" xfId="0" applyNumberFormat="1" applyFont="1" applyFill="1" applyBorder="1" applyAlignment="1">
      <alignment horizontal="center" vertical="top" wrapText="1"/>
    </xf>
    <xf numFmtId="3" fontId="1" fillId="0" borderId="54" xfId="0" applyNumberFormat="1" applyFont="1" applyFill="1" applyBorder="1" applyAlignment="1">
      <alignment horizontal="center" vertical="top" wrapText="1"/>
    </xf>
    <xf numFmtId="49" fontId="4" fillId="0" borderId="47" xfId="0" applyNumberFormat="1" applyFont="1" applyBorder="1" applyAlignment="1">
      <alignment horizontal="center" vertical="top"/>
    </xf>
    <xf numFmtId="3" fontId="3" fillId="0" borderId="0" xfId="0" applyNumberFormat="1" applyFont="1" applyBorder="1" applyAlignment="1">
      <alignment vertical="top"/>
    </xf>
    <xf numFmtId="49" fontId="4" fillId="0" borderId="60" xfId="0" applyNumberFormat="1" applyFont="1" applyBorder="1" applyAlignment="1">
      <alignment horizontal="center" vertical="top"/>
    </xf>
    <xf numFmtId="3" fontId="1" fillId="6" borderId="62" xfId="0" applyNumberFormat="1" applyFont="1" applyFill="1" applyBorder="1" applyAlignment="1">
      <alignment vertical="top" wrapText="1"/>
    </xf>
    <xf numFmtId="3" fontId="4" fillId="0" borderId="60" xfId="0" applyNumberFormat="1" applyFont="1" applyFill="1" applyBorder="1" applyAlignment="1">
      <alignment horizontal="center" vertical="top" wrapText="1"/>
    </xf>
    <xf numFmtId="49" fontId="4" fillId="0" borderId="0" xfId="0" applyNumberFormat="1" applyFont="1" applyBorder="1" applyAlignment="1">
      <alignment horizontal="center" vertical="top" wrapText="1"/>
    </xf>
    <xf numFmtId="49" fontId="1" fillId="6" borderId="60" xfId="0" applyNumberFormat="1" applyFont="1" applyFill="1" applyBorder="1" applyAlignment="1">
      <alignment horizontal="center" vertical="top" textRotation="1" wrapText="1"/>
    </xf>
    <xf numFmtId="3" fontId="1" fillId="0" borderId="35" xfId="0" applyNumberFormat="1" applyFont="1" applyBorder="1" applyAlignment="1">
      <alignment horizontal="center" vertical="top" wrapText="1"/>
    </xf>
    <xf numFmtId="49" fontId="4" fillId="0" borderId="1" xfId="0" applyNumberFormat="1" applyFont="1" applyBorder="1" applyAlignment="1">
      <alignment horizontal="center" vertical="top"/>
    </xf>
    <xf numFmtId="3" fontId="2" fillId="6" borderId="60" xfId="0" applyNumberFormat="1" applyFont="1" applyFill="1" applyBorder="1" applyAlignment="1">
      <alignment horizontal="center" vertical="top"/>
    </xf>
    <xf numFmtId="3" fontId="21" fillId="6" borderId="67" xfId="0" applyNumberFormat="1" applyFont="1" applyFill="1" applyBorder="1" applyAlignment="1">
      <alignment horizontal="center" vertical="top"/>
    </xf>
    <xf numFmtId="3" fontId="2" fillId="0" borderId="60" xfId="0" applyNumberFormat="1" applyFont="1" applyFill="1" applyBorder="1" applyAlignment="1">
      <alignment horizontal="center" vertical="top"/>
    </xf>
    <xf numFmtId="49" fontId="1" fillId="0" borderId="61" xfId="0" applyNumberFormat="1" applyFont="1" applyBorder="1" applyAlignment="1">
      <alignment horizontal="center" vertical="top"/>
    </xf>
    <xf numFmtId="164" fontId="1" fillId="6" borderId="5" xfId="0" applyNumberFormat="1" applyFont="1" applyFill="1" applyBorder="1" applyAlignment="1">
      <alignment horizontal="center" vertical="top"/>
    </xf>
    <xf numFmtId="3" fontId="1" fillId="0" borderId="37" xfId="0" applyNumberFormat="1" applyFont="1" applyBorder="1" applyAlignment="1">
      <alignment vertical="top" wrapText="1"/>
    </xf>
    <xf numFmtId="3" fontId="6" fillId="0" borderId="16" xfId="0" applyNumberFormat="1" applyFont="1" applyBorder="1" applyAlignment="1">
      <alignment horizontal="center" vertical="top"/>
    </xf>
    <xf numFmtId="3" fontId="1" fillId="0" borderId="49" xfId="0" applyNumberFormat="1" applyFont="1" applyFill="1" applyBorder="1" applyAlignment="1">
      <alignment horizontal="left" vertical="top" wrapText="1"/>
    </xf>
    <xf numFmtId="165" fontId="1" fillId="0" borderId="49" xfId="0" applyNumberFormat="1" applyFont="1" applyBorder="1" applyAlignment="1">
      <alignment horizontal="left" vertical="top" wrapText="1"/>
    </xf>
    <xf numFmtId="1" fontId="1" fillId="6" borderId="47" xfId="0" applyNumberFormat="1" applyFont="1" applyFill="1" applyBorder="1" applyAlignment="1">
      <alignment horizontal="center" vertical="top"/>
    </xf>
    <xf numFmtId="165" fontId="1" fillId="0" borderId="30" xfId="0" applyNumberFormat="1" applyFont="1" applyBorder="1" applyAlignment="1">
      <alignment horizontal="left" vertical="top" wrapText="1"/>
    </xf>
    <xf numFmtId="3" fontId="1" fillId="0" borderId="30" xfId="0" applyNumberFormat="1" applyFont="1" applyFill="1" applyBorder="1" applyAlignment="1">
      <alignment horizontal="left" vertical="top" wrapText="1"/>
    </xf>
    <xf numFmtId="3" fontId="1" fillId="7" borderId="42" xfId="0" applyNumberFormat="1" applyFont="1" applyFill="1" applyBorder="1" applyAlignment="1">
      <alignment horizontal="center" vertical="top"/>
    </xf>
    <xf numFmtId="3" fontId="1" fillId="0" borderId="27" xfId="0" applyNumberFormat="1" applyFont="1" applyFill="1" applyBorder="1" applyAlignment="1">
      <alignment horizontal="left" vertical="top" wrapText="1"/>
    </xf>
    <xf numFmtId="0" fontId="1" fillId="0" borderId="62" xfId="0" applyFont="1" applyFill="1" applyBorder="1" applyAlignment="1">
      <alignment horizontal="left" vertical="top" wrapText="1"/>
    </xf>
    <xf numFmtId="49" fontId="1" fillId="6" borderId="60" xfId="0" applyNumberFormat="1" applyFont="1" applyFill="1" applyBorder="1" applyAlignment="1">
      <alignment horizontal="center" vertical="top"/>
    </xf>
    <xf numFmtId="3" fontId="1" fillId="7" borderId="49" xfId="0" applyNumberFormat="1" applyFont="1" applyFill="1" applyBorder="1" applyAlignment="1">
      <alignment horizontal="center" vertical="top"/>
    </xf>
    <xf numFmtId="0" fontId="1" fillId="0" borderId="37" xfId="0" applyFont="1" applyFill="1" applyBorder="1" applyAlignment="1">
      <alignment horizontal="left" vertical="top" wrapText="1"/>
    </xf>
    <xf numFmtId="49" fontId="1" fillId="6" borderId="61" xfId="0" applyNumberFormat="1" applyFont="1" applyFill="1" applyBorder="1" applyAlignment="1">
      <alignment horizontal="center" vertical="top"/>
    </xf>
    <xf numFmtId="164" fontId="1" fillId="6" borderId="17" xfId="0" applyNumberFormat="1" applyFont="1" applyFill="1" applyBorder="1" applyAlignment="1">
      <alignment horizontal="center" vertical="top" wrapText="1"/>
    </xf>
    <xf numFmtId="0" fontId="4" fillId="0" borderId="27" xfId="0" applyFont="1" applyFill="1" applyBorder="1" applyAlignment="1">
      <alignment horizontal="left" vertical="top" wrapText="1"/>
    </xf>
    <xf numFmtId="49" fontId="4" fillId="0" borderId="67" xfId="0" applyNumberFormat="1" applyFont="1" applyFill="1" applyBorder="1" applyAlignment="1">
      <alignment horizontal="center" vertical="top" wrapText="1"/>
    </xf>
    <xf numFmtId="164" fontId="1" fillId="6" borderId="17" xfId="0" applyNumberFormat="1" applyFont="1" applyFill="1" applyBorder="1" applyAlignment="1">
      <alignment horizontal="center" vertical="top"/>
    </xf>
    <xf numFmtId="49" fontId="4" fillId="0" borderId="53" xfId="0" applyNumberFormat="1" applyFont="1" applyFill="1" applyBorder="1" applyAlignment="1">
      <alignment horizontal="center" vertical="top" wrapText="1"/>
    </xf>
    <xf numFmtId="49" fontId="4" fillId="0" borderId="54" xfId="0" applyNumberFormat="1" applyFont="1" applyFill="1" applyBorder="1" applyAlignment="1">
      <alignment horizontal="center" vertical="top" wrapText="1"/>
    </xf>
    <xf numFmtId="3" fontId="3" fillId="0" borderId="16" xfId="0" applyNumberFormat="1" applyFont="1" applyBorder="1" applyAlignment="1">
      <alignment horizontal="center" vertical="top"/>
    </xf>
    <xf numFmtId="49" fontId="11" fillId="0" borderId="67" xfId="0" applyNumberFormat="1" applyFont="1" applyFill="1" applyBorder="1" applyAlignment="1">
      <alignment horizontal="center" vertical="top"/>
    </xf>
    <xf numFmtId="3" fontId="32" fillId="0" borderId="49" xfId="0" applyNumberFormat="1" applyFont="1" applyFill="1" applyBorder="1" applyAlignment="1">
      <alignment horizontal="center" vertical="top"/>
    </xf>
    <xf numFmtId="3" fontId="32" fillId="0" borderId="42" xfId="0" applyNumberFormat="1" applyFont="1" applyFill="1" applyBorder="1" applyAlignment="1">
      <alignment horizontal="center" vertical="top"/>
    </xf>
    <xf numFmtId="164" fontId="1" fillId="6" borderId="14" xfId="0" applyNumberFormat="1" applyFont="1" applyFill="1" applyBorder="1" applyAlignment="1">
      <alignment horizontal="center" vertical="top" wrapText="1"/>
    </xf>
    <xf numFmtId="0" fontId="1" fillId="6" borderId="42" xfId="0" applyFont="1" applyFill="1" applyBorder="1" applyAlignment="1">
      <alignment horizontal="left" vertical="top" wrapText="1"/>
    </xf>
    <xf numFmtId="0" fontId="1" fillId="6" borderId="30" xfId="0" applyFont="1" applyFill="1" applyBorder="1" applyAlignment="1">
      <alignment horizontal="left" vertical="top" wrapText="1"/>
    </xf>
    <xf numFmtId="164" fontId="1" fillId="6" borderId="14" xfId="0" applyNumberFormat="1" applyFont="1" applyFill="1" applyBorder="1" applyAlignment="1">
      <alignment horizontal="center" vertical="top"/>
    </xf>
    <xf numFmtId="3" fontId="1" fillId="0" borderId="55" xfId="0" applyNumberFormat="1" applyFont="1" applyFill="1" applyBorder="1" applyAlignment="1">
      <alignment horizontal="center" vertical="top"/>
    </xf>
    <xf numFmtId="3" fontId="1" fillId="0" borderId="30" xfId="0" applyNumberFormat="1" applyFont="1" applyFill="1" applyBorder="1" applyAlignment="1">
      <alignment vertical="top" wrapText="1"/>
    </xf>
    <xf numFmtId="0" fontId="17" fillId="0" borderId="53" xfId="0" applyFont="1" applyBorder="1" applyAlignment="1">
      <alignment horizontal="center" vertical="top"/>
    </xf>
    <xf numFmtId="3" fontId="3" fillId="0" borderId="48" xfId="0" applyNumberFormat="1" applyFont="1" applyBorder="1" applyAlignment="1">
      <alignment horizontal="center" vertical="top"/>
    </xf>
    <xf numFmtId="3" fontId="4" fillId="6" borderId="62" xfId="0" applyNumberFormat="1" applyFont="1" applyFill="1" applyBorder="1" applyAlignment="1">
      <alignment vertical="top" wrapText="1"/>
    </xf>
    <xf numFmtId="3" fontId="1" fillId="0" borderId="61" xfId="0" applyNumberFormat="1" applyFont="1" applyFill="1" applyBorder="1" applyAlignment="1">
      <alignment horizontal="center" vertical="top" wrapText="1"/>
    </xf>
    <xf numFmtId="49" fontId="1" fillId="0" borderId="60" xfId="0" applyNumberFormat="1" applyFont="1" applyBorder="1" applyAlignment="1">
      <alignment horizontal="center" vertical="top"/>
    </xf>
    <xf numFmtId="3" fontId="1" fillId="0" borderId="60" xfId="0" applyNumberFormat="1" applyFont="1" applyFill="1" applyBorder="1" applyAlignment="1">
      <alignment horizontal="center" vertical="top"/>
    </xf>
    <xf numFmtId="3" fontId="4" fillId="0" borderId="49" xfId="0" applyNumberFormat="1" applyFont="1" applyBorder="1" applyAlignment="1">
      <alignment horizontal="center" vertical="top" wrapText="1"/>
    </xf>
    <xf numFmtId="49" fontId="4" fillId="0" borderId="47" xfId="0" applyNumberFormat="1" applyFont="1" applyBorder="1" applyAlignment="1">
      <alignment horizontal="center" vertical="top" wrapText="1"/>
    </xf>
    <xf numFmtId="3" fontId="3" fillId="0" borderId="0" xfId="0" applyNumberFormat="1" applyFont="1" applyBorder="1" applyAlignment="1">
      <alignment horizontal="center" vertical="top" wrapText="1"/>
    </xf>
    <xf numFmtId="3" fontId="1" fillId="0" borderId="49" xfId="0" applyNumberFormat="1" applyFont="1" applyBorder="1" applyAlignment="1">
      <alignment horizontal="center" vertical="top" wrapText="1"/>
    </xf>
    <xf numFmtId="1" fontId="4" fillId="6" borderId="47" xfId="0" applyNumberFormat="1" applyFont="1" applyFill="1" applyBorder="1" applyAlignment="1">
      <alignment horizontal="center" vertical="top"/>
    </xf>
    <xf numFmtId="1" fontId="4" fillId="6" borderId="54" xfId="0" applyNumberFormat="1" applyFont="1" applyFill="1" applyBorder="1" applyAlignment="1">
      <alignment horizontal="center" vertical="top"/>
    </xf>
    <xf numFmtId="3" fontId="3" fillId="0" borderId="1" xfId="0" applyNumberFormat="1" applyFont="1" applyBorder="1" applyAlignment="1">
      <alignment horizontal="center" vertical="top"/>
    </xf>
    <xf numFmtId="3" fontId="4" fillId="6" borderId="60" xfId="0" applyNumberFormat="1" applyFont="1" applyFill="1" applyBorder="1" applyAlignment="1">
      <alignment horizontal="center" vertical="top"/>
    </xf>
    <xf numFmtId="3" fontId="4" fillId="0" borderId="30" xfId="0" applyNumberFormat="1" applyFont="1" applyBorder="1" applyAlignment="1">
      <alignment horizontal="center" vertical="top" wrapText="1"/>
    </xf>
    <xf numFmtId="3" fontId="6" fillId="0" borderId="0" xfId="0" applyNumberFormat="1" applyFont="1" applyBorder="1" applyAlignment="1">
      <alignment horizontal="center" vertical="top" wrapText="1"/>
    </xf>
    <xf numFmtId="49" fontId="4" fillId="6" borderId="54" xfId="0" applyNumberFormat="1" applyFont="1" applyFill="1" applyBorder="1" applyAlignment="1">
      <alignment horizontal="center" vertical="top"/>
    </xf>
    <xf numFmtId="3" fontId="6" fillId="0" borderId="1" xfId="0" applyNumberFormat="1" applyFont="1" applyBorder="1" applyAlignment="1">
      <alignment horizontal="center" vertical="top" wrapText="1"/>
    </xf>
    <xf numFmtId="0" fontId="4" fillId="0" borderId="62" xfId="0" applyFont="1" applyFill="1" applyBorder="1" applyAlignment="1">
      <alignment vertical="top" wrapText="1"/>
    </xf>
    <xf numFmtId="49" fontId="4" fillId="0" borderId="61" xfId="0" applyNumberFormat="1" applyFont="1" applyBorder="1" applyAlignment="1">
      <alignment horizontal="center" vertical="top"/>
    </xf>
    <xf numFmtId="3" fontId="3" fillId="6" borderId="61" xfId="0" applyNumberFormat="1" applyFont="1" applyFill="1" applyBorder="1" applyAlignment="1">
      <alignment horizontal="center" vertical="top" wrapText="1"/>
    </xf>
    <xf numFmtId="0" fontId="4" fillId="6" borderId="27" xfId="0" applyFont="1" applyFill="1" applyBorder="1" applyAlignment="1">
      <alignment vertical="top" wrapText="1"/>
    </xf>
    <xf numFmtId="0" fontId="4" fillId="6" borderId="67" xfId="0" applyNumberFormat="1" applyFont="1" applyFill="1" applyBorder="1" applyAlignment="1">
      <alignment horizontal="center" vertical="top"/>
    </xf>
    <xf numFmtId="0" fontId="4" fillId="6" borderId="30" xfId="0" applyFont="1" applyFill="1" applyBorder="1" applyAlignment="1">
      <alignment vertical="top" wrapText="1"/>
    </xf>
    <xf numFmtId="0" fontId="4" fillId="6" borderId="47" xfId="0" applyNumberFormat="1" applyFont="1" applyFill="1" applyBorder="1" applyAlignment="1">
      <alignment horizontal="center" vertical="top"/>
    </xf>
    <xf numFmtId="3" fontId="3" fillId="6" borderId="0" xfId="0" applyNumberFormat="1" applyFont="1" applyFill="1" applyBorder="1" applyAlignment="1">
      <alignment horizontal="center" vertical="top" wrapText="1"/>
    </xf>
    <xf numFmtId="3" fontId="3" fillId="8" borderId="55" xfId="0" applyNumberFormat="1" applyFont="1" applyFill="1" applyBorder="1" applyAlignment="1">
      <alignment horizontal="center" vertical="top" wrapText="1"/>
    </xf>
    <xf numFmtId="3" fontId="4" fillId="0" borderId="61" xfId="0" applyNumberFormat="1" applyFont="1" applyFill="1" applyBorder="1" applyAlignment="1">
      <alignment horizontal="center" vertical="top" wrapText="1"/>
    </xf>
    <xf numFmtId="3" fontId="6" fillId="8" borderId="42" xfId="0" applyNumberFormat="1" applyFont="1" applyFill="1" applyBorder="1" applyAlignment="1">
      <alignment horizontal="center" vertical="top"/>
    </xf>
    <xf numFmtId="0" fontId="1" fillId="6" borderId="35" xfId="0" applyFont="1" applyFill="1" applyBorder="1" applyAlignment="1">
      <alignment horizontal="left" vertical="top" wrapText="1"/>
    </xf>
    <xf numFmtId="0" fontId="1" fillId="6" borderId="0" xfId="0" applyFont="1" applyFill="1" applyBorder="1" applyAlignment="1">
      <alignment horizontal="left" vertical="top" wrapText="1"/>
    </xf>
    <xf numFmtId="0" fontId="32" fillId="0" borderId="1" xfId="0" applyFont="1" applyBorder="1" applyAlignment="1">
      <alignment vertical="top" wrapText="1"/>
    </xf>
    <xf numFmtId="49" fontId="6" fillId="7" borderId="5" xfId="0" applyNumberFormat="1" applyFont="1" applyFill="1" applyBorder="1" applyAlignment="1">
      <alignment horizontal="center" vertical="top" wrapText="1"/>
    </xf>
    <xf numFmtId="49" fontId="1" fillId="7" borderId="61" xfId="0" applyNumberFormat="1" applyFont="1" applyFill="1" applyBorder="1" applyAlignment="1">
      <alignment horizontal="center" vertical="top" wrapText="1"/>
    </xf>
    <xf numFmtId="3" fontId="6" fillId="0" borderId="28" xfId="0" applyNumberFormat="1" applyFont="1" applyBorder="1" applyAlignment="1">
      <alignment horizontal="center" vertical="top"/>
    </xf>
    <xf numFmtId="164" fontId="4" fillId="6" borderId="78" xfId="0" applyNumberFormat="1" applyFont="1" applyFill="1" applyBorder="1" applyAlignment="1">
      <alignment horizontal="center" vertical="top" wrapText="1"/>
    </xf>
    <xf numFmtId="3" fontId="4" fillId="7" borderId="36" xfId="0" applyNumberFormat="1" applyFont="1" applyFill="1" applyBorder="1" applyAlignment="1">
      <alignment vertical="top" wrapText="1"/>
    </xf>
    <xf numFmtId="164" fontId="1" fillId="0" borderId="72" xfId="2" applyNumberFormat="1" applyFont="1" applyFill="1" applyBorder="1" applyAlignment="1">
      <alignment horizontal="center" vertical="top"/>
    </xf>
    <xf numFmtId="3" fontId="4" fillId="6" borderId="43" xfId="0" applyNumberFormat="1" applyFont="1" applyFill="1" applyBorder="1" applyAlignment="1">
      <alignment vertical="top" wrapText="1"/>
    </xf>
    <xf numFmtId="164" fontId="1" fillId="0" borderId="17" xfId="2" applyNumberFormat="1" applyFont="1" applyFill="1" applyBorder="1" applyAlignment="1">
      <alignment horizontal="center" vertical="top"/>
    </xf>
    <xf numFmtId="49" fontId="4" fillId="7" borderId="45" xfId="0" applyNumberFormat="1" applyFont="1" applyFill="1" applyBorder="1" applyAlignment="1">
      <alignment horizontal="center" vertical="top"/>
    </xf>
    <xf numFmtId="49" fontId="1" fillId="0" borderId="82" xfId="2" applyNumberFormat="1" applyFont="1" applyFill="1" applyBorder="1" applyAlignment="1">
      <alignment horizontal="center" vertical="top" wrapText="1"/>
    </xf>
    <xf numFmtId="3" fontId="1" fillId="6" borderId="0" xfId="0" applyNumberFormat="1" applyFont="1" applyFill="1" applyBorder="1" applyAlignment="1">
      <alignment horizontal="center" vertical="top" wrapText="1"/>
    </xf>
    <xf numFmtId="49" fontId="1" fillId="0" borderId="83" xfId="2" applyNumberFormat="1" applyFont="1" applyFill="1" applyBorder="1" applyAlignment="1">
      <alignment horizontal="center" vertical="top"/>
    </xf>
    <xf numFmtId="3" fontId="3" fillId="6" borderId="0" xfId="0" applyNumberFormat="1" applyFont="1" applyFill="1" applyBorder="1" applyAlignment="1">
      <alignment vertical="top" wrapText="1"/>
    </xf>
    <xf numFmtId="49" fontId="1" fillId="6" borderId="30" xfId="2" applyNumberFormat="1" applyFont="1" applyFill="1" applyBorder="1" applyAlignment="1">
      <alignment horizontal="center" vertical="top" wrapText="1"/>
    </xf>
    <xf numFmtId="49" fontId="1" fillId="6" borderId="41" xfId="2" applyNumberFormat="1" applyFont="1" applyFill="1" applyBorder="1" applyAlignment="1">
      <alignment horizontal="center" vertical="top" wrapText="1"/>
    </xf>
    <xf numFmtId="3" fontId="1" fillId="0" borderId="31" xfId="0" applyNumberFormat="1" applyFont="1" applyBorder="1" applyAlignment="1">
      <alignment horizontal="center" vertical="top"/>
    </xf>
    <xf numFmtId="3" fontId="1" fillId="0" borderId="39" xfId="0" applyNumberFormat="1" applyFont="1" applyFill="1" applyBorder="1" applyAlignment="1">
      <alignment vertical="top" wrapText="1"/>
    </xf>
    <xf numFmtId="3" fontId="1" fillId="0" borderId="41" xfId="0" applyNumberFormat="1" applyFont="1" applyFill="1" applyBorder="1" applyAlignment="1">
      <alignment vertical="top" wrapText="1"/>
    </xf>
    <xf numFmtId="3" fontId="1" fillId="0" borderId="31" xfId="0" applyNumberFormat="1" applyFont="1" applyBorder="1" applyAlignment="1">
      <alignment horizontal="center" vertical="top" wrapText="1"/>
    </xf>
    <xf numFmtId="3" fontId="1" fillId="0" borderId="0" xfId="0" applyNumberFormat="1" applyFont="1" applyBorder="1" applyAlignment="1">
      <alignment horizontal="center" vertical="top" wrapText="1"/>
    </xf>
    <xf numFmtId="164" fontId="1" fillId="14" borderId="84" xfId="2" applyNumberFormat="1" applyFont="1" applyFill="1" applyBorder="1" applyAlignment="1">
      <alignment horizontal="center" vertical="top"/>
    </xf>
    <xf numFmtId="0" fontId="1" fillId="6" borderId="43" xfId="0" applyFont="1" applyFill="1" applyBorder="1" applyAlignment="1">
      <alignment vertical="top" wrapText="1"/>
    </xf>
    <xf numFmtId="3" fontId="3" fillId="0" borderId="16" xfId="0" applyNumberFormat="1" applyFont="1" applyBorder="1" applyAlignment="1">
      <alignment horizontal="center" vertical="top" wrapText="1"/>
    </xf>
    <xf numFmtId="164" fontId="1" fillId="14" borderId="14" xfId="2" applyNumberFormat="1" applyFont="1" applyFill="1" applyBorder="1" applyAlignment="1">
      <alignment horizontal="center" vertical="top"/>
    </xf>
    <xf numFmtId="3" fontId="4" fillId="7" borderId="59" xfId="0" applyNumberFormat="1" applyFont="1" applyFill="1" applyBorder="1" applyAlignment="1">
      <alignment horizontal="left" vertical="top" wrapText="1"/>
    </xf>
    <xf numFmtId="165" fontId="1" fillId="0" borderId="14" xfId="0" applyNumberFormat="1" applyFont="1" applyBorder="1" applyAlignment="1">
      <alignment horizontal="center" vertical="top"/>
    </xf>
    <xf numFmtId="49" fontId="4" fillId="7" borderId="47" xfId="0" applyNumberFormat="1" applyFont="1" applyFill="1" applyBorder="1" applyAlignment="1">
      <alignment horizontal="center" vertical="top"/>
    </xf>
    <xf numFmtId="0" fontId="4" fillId="0" borderId="43" xfId="0" applyFont="1" applyFill="1" applyBorder="1" applyAlignment="1">
      <alignment horizontal="left" vertical="top" wrapText="1"/>
    </xf>
    <xf numFmtId="164" fontId="6" fillId="5" borderId="65" xfId="0" applyNumberFormat="1" applyFont="1" applyFill="1" applyBorder="1" applyAlignment="1">
      <alignment horizontal="center" vertical="top"/>
    </xf>
    <xf numFmtId="164" fontId="3" fillId="12" borderId="65" xfId="0" applyNumberFormat="1" applyFont="1" applyFill="1" applyBorder="1" applyAlignment="1">
      <alignment horizontal="center" vertical="top"/>
    </xf>
    <xf numFmtId="164" fontId="3" fillId="10" borderId="23" xfId="0" applyNumberFormat="1" applyFont="1" applyFill="1" applyBorder="1" applyAlignment="1">
      <alignment horizontal="center" vertical="top" wrapText="1"/>
    </xf>
    <xf numFmtId="164" fontId="1" fillId="6" borderId="54" xfId="0" applyNumberFormat="1" applyFont="1" applyFill="1" applyBorder="1" applyAlignment="1">
      <alignment horizontal="center" vertical="top" wrapText="1"/>
    </xf>
    <xf numFmtId="164" fontId="1" fillId="6" borderId="19" xfId="0" applyNumberFormat="1" applyFont="1" applyFill="1" applyBorder="1" applyAlignment="1">
      <alignment horizontal="center" vertical="top"/>
    </xf>
    <xf numFmtId="165" fontId="3" fillId="8" borderId="57" xfId="0" applyNumberFormat="1" applyFont="1" applyFill="1" applyBorder="1" applyAlignment="1">
      <alignment horizontal="center" vertical="top" wrapText="1"/>
    </xf>
    <xf numFmtId="164" fontId="1" fillId="14" borderId="19" xfId="2" applyNumberFormat="1" applyFont="1" applyFill="1" applyBorder="1" applyAlignment="1">
      <alignment horizontal="center" vertical="top"/>
    </xf>
    <xf numFmtId="164" fontId="1" fillId="14" borderId="12" xfId="2" applyNumberFormat="1" applyFont="1" applyFill="1" applyBorder="1" applyAlignment="1">
      <alignment horizontal="center" vertical="top"/>
    </xf>
    <xf numFmtId="164" fontId="4" fillId="6" borderId="66" xfId="0" applyNumberFormat="1" applyFont="1" applyFill="1" applyBorder="1" applyAlignment="1">
      <alignment horizontal="center" vertical="top" wrapText="1"/>
    </xf>
    <xf numFmtId="164" fontId="6" fillId="8" borderId="57" xfId="0" applyNumberFormat="1" applyFont="1" applyFill="1" applyBorder="1" applyAlignment="1">
      <alignment horizontal="center" vertical="top"/>
    </xf>
    <xf numFmtId="164" fontId="1" fillId="6" borderId="21" xfId="0" applyNumberFormat="1" applyFont="1" applyFill="1" applyBorder="1" applyAlignment="1">
      <alignment horizontal="center" vertical="top"/>
    </xf>
    <xf numFmtId="164" fontId="3" fillId="8" borderId="19" xfId="0" applyNumberFormat="1" applyFont="1" applyFill="1" applyBorder="1" applyAlignment="1">
      <alignment horizontal="center" vertical="top"/>
    </xf>
    <xf numFmtId="164" fontId="6" fillId="8" borderId="32" xfId="0" applyNumberFormat="1" applyFont="1" applyFill="1" applyBorder="1" applyAlignment="1">
      <alignment horizontal="center" vertical="top"/>
    </xf>
    <xf numFmtId="164" fontId="6" fillId="6" borderId="32" xfId="0" applyNumberFormat="1" applyFont="1" applyFill="1" applyBorder="1" applyAlignment="1">
      <alignment horizontal="center" vertical="top"/>
    </xf>
    <xf numFmtId="164" fontId="3" fillId="8" borderId="57" xfId="0" applyNumberFormat="1" applyFont="1" applyFill="1" applyBorder="1" applyAlignment="1">
      <alignment horizontal="center" vertical="top"/>
    </xf>
    <xf numFmtId="165" fontId="6" fillId="5" borderId="10" xfId="0" applyNumberFormat="1" applyFont="1" applyFill="1" applyBorder="1" applyAlignment="1">
      <alignment horizontal="center" vertical="top"/>
    </xf>
    <xf numFmtId="164" fontId="4" fillId="6" borderId="45" xfId="0" applyNumberFormat="1" applyFont="1" applyFill="1" applyBorder="1" applyAlignment="1">
      <alignment horizontal="center" vertical="top"/>
    </xf>
    <xf numFmtId="164" fontId="1" fillId="6" borderId="45" xfId="0" applyNumberFormat="1" applyFont="1" applyFill="1" applyBorder="1" applyAlignment="1">
      <alignment horizontal="center" vertical="top" wrapText="1"/>
    </xf>
    <xf numFmtId="164" fontId="1" fillId="6" borderId="47" xfId="0" applyNumberFormat="1" applyFont="1" applyFill="1" applyBorder="1" applyAlignment="1">
      <alignment horizontal="center" vertical="top" wrapText="1"/>
    </xf>
    <xf numFmtId="164" fontId="4" fillId="6" borderId="54" xfId="0" applyNumberFormat="1" applyFont="1" applyFill="1" applyBorder="1" applyAlignment="1">
      <alignment horizontal="center" vertical="top"/>
    </xf>
    <xf numFmtId="164" fontId="4" fillId="6" borderId="61" xfId="0" applyNumberFormat="1" applyFont="1" applyFill="1" applyBorder="1" applyAlignment="1">
      <alignment horizontal="center" vertical="top" wrapText="1"/>
    </xf>
    <xf numFmtId="164" fontId="32" fillId="6" borderId="50" xfId="0" applyNumberFormat="1" applyFont="1" applyFill="1" applyBorder="1" applyAlignment="1">
      <alignment horizontal="center" vertical="top"/>
    </xf>
    <xf numFmtId="164" fontId="32" fillId="6" borderId="44" xfId="0" applyNumberFormat="1" applyFont="1" applyFill="1" applyBorder="1" applyAlignment="1">
      <alignment horizontal="center" vertical="top"/>
    </xf>
    <xf numFmtId="164" fontId="1" fillId="6" borderId="22" xfId="0" applyNumberFormat="1" applyFont="1" applyFill="1" applyBorder="1" applyAlignment="1">
      <alignment horizontal="center" vertical="top"/>
    </xf>
    <xf numFmtId="165" fontId="4" fillId="0" borderId="13" xfId="0" applyNumberFormat="1" applyFont="1" applyBorder="1" applyAlignment="1">
      <alignment horizontal="center" vertical="top" wrapText="1"/>
    </xf>
    <xf numFmtId="164" fontId="3" fillId="8" borderId="29" xfId="0" applyNumberFormat="1" applyFont="1" applyFill="1" applyBorder="1" applyAlignment="1">
      <alignment horizontal="center" vertical="top" wrapText="1"/>
    </xf>
    <xf numFmtId="164" fontId="3" fillId="8" borderId="3" xfId="0" applyNumberFormat="1" applyFont="1" applyFill="1" applyBorder="1" applyAlignment="1">
      <alignment horizontal="center" vertical="top" wrapText="1"/>
    </xf>
    <xf numFmtId="164" fontId="3" fillId="8" borderId="27" xfId="0" applyNumberFormat="1" applyFont="1" applyFill="1" applyBorder="1" applyAlignment="1">
      <alignment horizontal="center" vertical="top" wrapText="1"/>
    </xf>
    <xf numFmtId="164" fontId="1" fillId="14" borderId="85" xfId="2" applyNumberFormat="1" applyFont="1" applyFill="1" applyBorder="1" applyAlignment="1">
      <alignment horizontal="center" vertical="top"/>
    </xf>
    <xf numFmtId="164" fontId="1" fillId="14" borderId="54" xfId="2" applyNumberFormat="1" applyFont="1" applyFill="1" applyBorder="1" applyAlignment="1">
      <alignment horizontal="center" vertical="top"/>
    </xf>
    <xf numFmtId="165" fontId="1" fillId="0" borderId="41" xfId="0" applyNumberFormat="1" applyFont="1" applyBorder="1" applyAlignment="1">
      <alignment horizontal="center" vertical="top"/>
    </xf>
    <xf numFmtId="164" fontId="4" fillId="0" borderId="49" xfId="0" applyNumberFormat="1" applyFont="1" applyFill="1" applyBorder="1" applyAlignment="1">
      <alignment horizontal="center" vertical="top"/>
    </xf>
    <xf numFmtId="164" fontId="6" fillId="5" borderId="77" xfId="0" applyNumberFormat="1" applyFont="1" applyFill="1" applyBorder="1" applyAlignment="1">
      <alignment horizontal="center" vertical="top"/>
    </xf>
    <xf numFmtId="164" fontId="3" fillId="12" borderId="77" xfId="0" applyNumberFormat="1" applyFont="1" applyFill="1" applyBorder="1" applyAlignment="1">
      <alignment horizontal="center" vertical="top"/>
    </xf>
    <xf numFmtId="164" fontId="3" fillId="10" borderId="62" xfId="0" applyNumberFormat="1" applyFont="1" applyFill="1" applyBorder="1" applyAlignment="1">
      <alignment horizontal="center" vertical="top" wrapText="1"/>
    </xf>
    <xf numFmtId="164" fontId="3" fillId="10" borderId="60" xfId="0" applyNumberFormat="1" applyFont="1" applyFill="1" applyBorder="1" applyAlignment="1">
      <alignment horizontal="center" vertical="top" wrapText="1"/>
    </xf>
    <xf numFmtId="164" fontId="4" fillId="6" borderId="67" xfId="0" applyNumberFormat="1" applyFont="1" applyFill="1" applyBorder="1" applyAlignment="1">
      <alignment horizontal="center" vertical="top" wrapText="1"/>
    </xf>
    <xf numFmtId="164" fontId="1" fillId="0" borderId="45" xfId="2" applyNumberFormat="1" applyFont="1" applyFill="1" applyBorder="1" applyAlignment="1">
      <alignment horizontal="center" vertical="top"/>
    </xf>
    <xf numFmtId="164" fontId="1" fillId="0" borderId="30" xfId="2" applyNumberFormat="1" applyFont="1" applyFill="1" applyBorder="1" applyAlignment="1">
      <alignment horizontal="center" vertical="top"/>
    </xf>
    <xf numFmtId="164" fontId="1" fillId="0" borderId="47" xfId="2" applyNumberFormat="1" applyFont="1" applyFill="1" applyBorder="1" applyAlignment="1">
      <alignment horizontal="center" vertical="top"/>
    </xf>
    <xf numFmtId="164" fontId="1" fillId="0" borderId="30" xfId="0" applyNumberFormat="1" applyFont="1" applyFill="1" applyBorder="1" applyAlignment="1">
      <alignment horizontal="center" vertical="top"/>
    </xf>
    <xf numFmtId="164" fontId="1" fillId="7" borderId="42" xfId="0" applyNumberFormat="1" applyFont="1" applyFill="1" applyBorder="1" applyAlignment="1">
      <alignment horizontal="center" vertical="top"/>
    </xf>
    <xf numFmtId="164" fontId="1" fillId="0" borderId="55" xfId="0" applyNumberFormat="1" applyFont="1" applyFill="1" applyBorder="1" applyAlignment="1">
      <alignment horizontal="center" vertical="top" wrapText="1"/>
    </xf>
    <xf numFmtId="164" fontId="32" fillId="6" borderId="49" xfId="0" applyNumberFormat="1" applyFont="1" applyFill="1" applyBorder="1" applyAlignment="1">
      <alignment horizontal="center" vertical="top"/>
    </xf>
    <xf numFmtId="164" fontId="32" fillId="6" borderId="42" xfId="0" applyNumberFormat="1" applyFont="1" applyFill="1" applyBorder="1" applyAlignment="1">
      <alignment horizontal="center" vertical="top"/>
    </xf>
    <xf numFmtId="164" fontId="1" fillId="6" borderId="55" xfId="0" applyNumberFormat="1" applyFont="1" applyFill="1" applyBorder="1" applyAlignment="1">
      <alignment horizontal="center" vertical="top"/>
    </xf>
    <xf numFmtId="165" fontId="6" fillId="8" borderId="26" xfId="0" applyNumberFormat="1" applyFont="1" applyFill="1" applyBorder="1" applyAlignment="1">
      <alignment horizontal="center" vertical="top" wrapText="1"/>
    </xf>
    <xf numFmtId="164" fontId="1" fillId="7" borderId="61" xfId="0" applyNumberFormat="1" applyFont="1" applyFill="1" applyBorder="1" applyAlignment="1">
      <alignment horizontal="center" vertical="top" wrapText="1"/>
    </xf>
    <xf numFmtId="164" fontId="4" fillId="7" borderId="53" xfId="0" applyNumberFormat="1" applyFont="1" applyFill="1" applyBorder="1" applyAlignment="1">
      <alignment horizontal="center" vertical="top" wrapText="1"/>
    </xf>
    <xf numFmtId="165" fontId="4" fillId="0" borderId="61" xfId="0" applyNumberFormat="1" applyFont="1" applyBorder="1" applyAlignment="1">
      <alignment horizontal="center" vertical="top" wrapText="1"/>
    </xf>
    <xf numFmtId="165" fontId="4" fillId="0" borderId="41" xfId="0" applyNumberFormat="1" applyFont="1" applyBorder="1" applyAlignment="1">
      <alignment horizontal="center" vertical="top" wrapText="1"/>
    </xf>
    <xf numFmtId="165" fontId="4" fillId="0" borderId="54" xfId="0" applyNumberFormat="1" applyFont="1" applyBorder="1" applyAlignment="1">
      <alignment horizontal="center" vertical="top" wrapText="1"/>
    </xf>
    <xf numFmtId="164" fontId="1" fillId="7" borderId="30" xfId="0" applyNumberFormat="1" applyFont="1" applyFill="1" applyBorder="1" applyAlignment="1">
      <alignment horizontal="center" vertical="top"/>
    </xf>
    <xf numFmtId="164" fontId="6" fillId="8"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wrapText="1"/>
    </xf>
    <xf numFmtId="0" fontId="15" fillId="7" borderId="0" xfId="0" applyFont="1" applyFill="1" applyBorder="1" applyAlignment="1">
      <alignment horizontal="left" vertical="top" wrapText="1"/>
    </xf>
    <xf numFmtId="3" fontId="1" fillId="6" borderId="40" xfId="0" applyNumberFormat="1" applyFont="1" applyFill="1" applyBorder="1" applyAlignment="1">
      <alignment horizontal="left" vertical="top" wrapText="1"/>
    </xf>
    <xf numFmtId="3" fontId="1" fillId="6" borderId="16" xfId="0" applyNumberFormat="1" applyFont="1" applyFill="1" applyBorder="1" applyAlignment="1">
      <alignment horizontal="left" vertical="top" wrapText="1"/>
    </xf>
    <xf numFmtId="3" fontId="4" fillId="6" borderId="16" xfId="0" applyNumberFormat="1" applyFont="1" applyFill="1" applyBorder="1" applyAlignment="1">
      <alignment horizontal="left" vertical="top" wrapText="1"/>
    </xf>
    <xf numFmtId="3" fontId="1" fillId="0" borderId="7" xfId="0" applyNumberFormat="1" applyFont="1" applyBorder="1" applyAlignment="1">
      <alignment horizontal="center" vertical="top" wrapText="1"/>
    </xf>
    <xf numFmtId="3" fontId="4" fillId="6" borderId="42" xfId="0" applyNumberFormat="1" applyFont="1" applyFill="1" applyBorder="1" applyAlignment="1">
      <alignment horizontal="left" vertical="top" wrapText="1"/>
    </xf>
    <xf numFmtId="3" fontId="1" fillId="6" borderId="48" xfId="0" applyNumberFormat="1" applyFont="1" applyFill="1" applyBorder="1" applyAlignment="1">
      <alignment horizontal="left" vertical="top" wrapText="1"/>
    </xf>
    <xf numFmtId="3" fontId="4" fillId="6" borderId="41" xfId="0" applyNumberFormat="1" applyFont="1" applyFill="1" applyBorder="1" applyAlignment="1">
      <alignment horizontal="left" vertical="top" wrapText="1"/>
    </xf>
    <xf numFmtId="3" fontId="1" fillId="6" borderId="15" xfId="0" applyNumberFormat="1" applyFont="1" applyFill="1" applyBorder="1" applyAlignment="1">
      <alignment horizontal="center" vertical="top" wrapText="1"/>
    </xf>
    <xf numFmtId="49" fontId="3" fillId="0" borderId="5" xfId="0" applyNumberFormat="1" applyFont="1" applyBorder="1" applyAlignment="1">
      <alignment horizontal="center" vertical="top"/>
    </xf>
    <xf numFmtId="49" fontId="3" fillId="0" borderId="14" xfId="0" applyNumberFormat="1" applyFont="1" applyBorder="1" applyAlignment="1">
      <alignment horizontal="center" vertical="top"/>
    </xf>
    <xf numFmtId="3" fontId="3" fillId="0" borderId="54" xfId="0" applyNumberFormat="1" applyFont="1" applyBorder="1" applyAlignment="1">
      <alignment horizontal="center" vertical="top"/>
    </xf>
    <xf numFmtId="3" fontId="6" fillId="0" borderId="54" xfId="0" applyNumberFormat="1" applyFont="1" applyBorder="1" applyAlignment="1">
      <alignment horizontal="center" vertical="top" wrapText="1"/>
    </xf>
    <xf numFmtId="3" fontId="4" fillId="0" borderId="37" xfId="0" applyNumberFormat="1" applyFont="1" applyFill="1" applyBorder="1" applyAlignment="1">
      <alignment horizontal="left" vertical="top" wrapText="1"/>
    </xf>
    <xf numFmtId="49" fontId="3" fillId="0" borderId="23" xfId="0" applyNumberFormat="1" applyFont="1" applyBorder="1" applyAlignment="1">
      <alignment horizontal="center" vertical="top"/>
    </xf>
    <xf numFmtId="3" fontId="3" fillId="0" borderId="60" xfId="0" applyNumberFormat="1" applyFont="1" applyBorder="1" applyAlignment="1">
      <alignment horizontal="center" vertical="top"/>
    </xf>
    <xf numFmtId="3" fontId="3" fillId="12" borderId="39"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3" fontId="4" fillId="0" borderId="40" xfId="0" applyNumberFormat="1" applyFont="1" applyFill="1" applyBorder="1" applyAlignment="1">
      <alignment horizontal="left" vertical="top" wrapText="1"/>
    </xf>
    <xf numFmtId="0" fontId="4" fillId="0" borderId="41" xfId="0" applyFont="1" applyFill="1" applyBorder="1" applyAlignment="1">
      <alignment horizontal="left" vertical="top" wrapText="1"/>
    </xf>
    <xf numFmtId="3" fontId="3" fillId="12" borderId="36"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49" fontId="6" fillId="0" borderId="5" xfId="0" applyNumberFormat="1" applyFont="1" applyBorder="1" applyAlignment="1">
      <alignment horizontal="center" vertical="top"/>
    </xf>
    <xf numFmtId="3" fontId="6" fillId="0" borderId="61" xfId="0" applyNumberFormat="1" applyFont="1" applyBorder="1" applyAlignment="1">
      <alignment horizontal="center" vertical="top"/>
    </xf>
    <xf numFmtId="3" fontId="1" fillId="0" borderId="41" xfId="0" applyNumberFormat="1" applyFont="1" applyFill="1" applyBorder="1" applyAlignment="1">
      <alignment horizontal="left" vertical="top" wrapText="1"/>
    </xf>
    <xf numFmtId="3" fontId="4" fillId="0" borderId="30" xfId="0" applyNumberFormat="1" applyFont="1" applyFill="1" applyBorder="1" applyAlignment="1">
      <alignment horizontal="left" vertical="top" wrapText="1"/>
    </xf>
    <xf numFmtId="3" fontId="4" fillId="0" borderId="42" xfId="0" applyNumberFormat="1" applyFont="1" applyFill="1" applyBorder="1" applyAlignment="1">
      <alignment horizontal="left" vertical="top" wrapText="1"/>
    </xf>
    <xf numFmtId="3" fontId="3" fillId="0" borderId="14" xfId="0" applyNumberFormat="1" applyFont="1" applyBorder="1" applyAlignment="1">
      <alignment horizontal="center" vertical="top"/>
    </xf>
    <xf numFmtId="3" fontId="1" fillId="0" borderId="42" xfId="0" applyNumberFormat="1" applyFont="1" applyFill="1" applyBorder="1" applyAlignment="1">
      <alignment horizontal="left" vertical="top" wrapText="1"/>
    </xf>
    <xf numFmtId="3" fontId="3" fillId="12" borderId="59"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4" fillId="0" borderId="37" xfId="0" applyNumberFormat="1" applyFont="1" applyFill="1" applyBorder="1" applyAlignment="1">
      <alignment vertical="top" wrapText="1"/>
    </xf>
    <xf numFmtId="49" fontId="3" fillId="0" borderId="22" xfId="0" applyNumberFormat="1" applyFont="1" applyBorder="1" applyAlignment="1">
      <alignment horizontal="center" vertical="top" wrapText="1"/>
    </xf>
    <xf numFmtId="3" fontId="3" fillId="0" borderId="54" xfId="0" applyNumberFormat="1" applyFont="1" applyFill="1" applyBorder="1" applyAlignment="1">
      <alignment horizontal="center" vertical="top" wrapText="1"/>
    </xf>
    <xf numFmtId="3" fontId="3" fillId="0" borderId="60" xfId="0" applyNumberFormat="1" applyFont="1" applyFill="1" applyBorder="1" applyAlignment="1">
      <alignment horizontal="center" vertical="top" wrapText="1"/>
    </xf>
    <xf numFmtId="3" fontId="4" fillId="0" borderId="41" xfId="0" applyNumberFormat="1" applyFont="1" applyFill="1" applyBorder="1" applyAlignment="1">
      <alignment horizontal="left" vertical="top" wrapText="1"/>
    </xf>
    <xf numFmtId="3" fontId="4" fillId="0" borderId="49" xfId="0" applyNumberFormat="1" applyFont="1" applyFill="1" applyBorder="1" applyAlignment="1">
      <alignment horizontal="left" vertical="top" wrapText="1"/>
    </xf>
    <xf numFmtId="3" fontId="4" fillId="6" borderId="54" xfId="0" applyNumberFormat="1" applyFont="1" applyFill="1" applyBorder="1" applyAlignment="1">
      <alignment horizontal="center" vertical="top" wrapText="1"/>
    </xf>
    <xf numFmtId="3" fontId="4" fillId="6" borderId="53" xfId="0" applyNumberFormat="1" applyFont="1" applyFill="1" applyBorder="1" applyAlignment="1">
      <alignment horizontal="center" vertical="top" wrapText="1"/>
    </xf>
    <xf numFmtId="3" fontId="4" fillId="6" borderId="61" xfId="0" applyNumberFormat="1" applyFont="1" applyFill="1" applyBorder="1" applyAlignment="1">
      <alignment horizontal="center" vertical="top" wrapText="1"/>
    </xf>
    <xf numFmtId="3" fontId="4" fillId="6" borderId="45" xfId="0" applyNumberFormat="1" applyFont="1" applyFill="1" applyBorder="1" applyAlignment="1">
      <alignment horizontal="center" vertical="top" wrapText="1"/>
    </xf>
    <xf numFmtId="3" fontId="6" fillId="7" borderId="7" xfId="0" applyNumberFormat="1" applyFont="1" applyFill="1" applyBorder="1" applyAlignment="1">
      <alignment horizontal="left" vertical="top" wrapText="1"/>
    </xf>
    <xf numFmtId="0" fontId="4" fillId="0" borderId="49" xfId="0" applyFont="1" applyFill="1" applyBorder="1" applyAlignment="1">
      <alignment horizontal="left" vertical="top" wrapText="1"/>
    </xf>
    <xf numFmtId="3" fontId="4" fillId="7" borderId="43" xfId="0" applyNumberFormat="1" applyFont="1" applyFill="1" applyBorder="1" applyAlignment="1">
      <alignment horizontal="left" vertical="top" wrapText="1"/>
    </xf>
    <xf numFmtId="3" fontId="4" fillId="7" borderId="39" xfId="0" applyNumberFormat="1" applyFont="1" applyFill="1" applyBorder="1" applyAlignment="1">
      <alignment horizontal="left" vertical="top" wrapText="1"/>
    </xf>
    <xf numFmtId="3" fontId="6" fillId="0" borderId="60" xfId="0" applyNumberFormat="1" applyFont="1" applyBorder="1" applyAlignment="1">
      <alignment horizontal="center" vertical="top" wrapText="1"/>
    </xf>
    <xf numFmtId="3" fontId="4" fillId="6" borderId="48" xfId="0" applyNumberFormat="1" applyFont="1" applyFill="1" applyBorder="1" applyAlignment="1">
      <alignment horizontal="left" vertical="top" wrapText="1"/>
    </xf>
    <xf numFmtId="164" fontId="1" fillId="7" borderId="0" xfId="0" applyNumberFormat="1" applyFont="1" applyFill="1" applyBorder="1" applyAlignment="1">
      <alignment horizontal="center" vertical="top" wrapText="1"/>
    </xf>
    <xf numFmtId="3" fontId="6" fillId="7" borderId="0" xfId="0" applyNumberFormat="1" applyFont="1" applyFill="1" applyBorder="1" applyAlignment="1">
      <alignment horizontal="center" vertical="top" wrapText="1"/>
    </xf>
    <xf numFmtId="3" fontId="1" fillId="7" borderId="0" xfId="0" applyNumberFormat="1" applyFont="1" applyFill="1" applyBorder="1" applyAlignment="1">
      <alignment horizontal="center" vertical="center" wrapText="1"/>
    </xf>
    <xf numFmtId="3" fontId="1" fillId="7" borderId="0" xfId="0" applyNumberFormat="1" applyFont="1" applyFill="1" applyBorder="1" applyAlignment="1">
      <alignment horizontal="center" vertical="top" wrapText="1"/>
    </xf>
    <xf numFmtId="3" fontId="3" fillId="0" borderId="0" xfId="0" applyNumberFormat="1" applyFont="1" applyFill="1" applyBorder="1" applyAlignment="1">
      <alignment horizontal="center" vertical="center" wrapText="1"/>
    </xf>
    <xf numFmtId="49" fontId="3" fillId="7" borderId="14" xfId="0" applyNumberFormat="1" applyFont="1" applyFill="1" applyBorder="1" applyAlignment="1">
      <alignment horizontal="center" vertical="top"/>
    </xf>
    <xf numFmtId="49" fontId="3" fillId="7" borderId="23" xfId="0" applyNumberFormat="1" applyFont="1" applyFill="1" applyBorder="1" applyAlignment="1">
      <alignment horizontal="center" vertical="top"/>
    </xf>
    <xf numFmtId="3" fontId="4" fillId="6" borderId="45" xfId="0" applyNumberFormat="1" applyFont="1" applyFill="1" applyBorder="1" applyAlignment="1">
      <alignment horizontal="center" vertical="top"/>
    </xf>
    <xf numFmtId="3" fontId="4" fillId="6" borderId="53" xfId="0" applyNumberFormat="1" applyFont="1" applyFill="1" applyBorder="1" applyAlignment="1">
      <alignment horizontal="center" vertical="top"/>
    </xf>
    <xf numFmtId="3" fontId="1" fillId="0" borderId="54" xfId="0" applyNumberFormat="1" applyFont="1" applyFill="1" applyBorder="1" applyAlignment="1">
      <alignment horizontal="center" vertical="top"/>
    </xf>
    <xf numFmtId="3" fontId="4" fillId="0" borderId="47" xfId="0" applyNumberFormat="1" applyFont="1" applyFill="1" applyBorder="1" applyAlignment="1">
      <alignment horizontal="center" vertical="top"/>
    </xf>
    <xf numFmtId="3" fontId="4" fillId="0" borderId="37" xfId="0" applyNumberFormat="1" applyFont="1" applyFill="1" applyBorder="1" applyAlignment="1">
      <alignment horizontal="center" vertical="top"/>
    </xf>
    <xf numFmtId="3" fontId="4" fillId="0" borderId="32" xfId="0" applyNumberFormat="1" applyFont="1" applyFill="1" applyBorder="1" applyAlignment="1">
      <alignment horizontal="center" vertical="top"/>
    </xf>
    <xf numFmtId="3" fontId="4" fillId="0" borderId="24"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49" fontId="3" fillId="0" borderId="4" xfId="0" applyNumberFormat="1" applyFont="1" applyBorder="1" applyAlignment="1">
      <alignment horizontal="center" vertical="top" wrapText="1"/>
    </xf>
    <xf numFmtId="3" fontId="4" fillId="0" borderId="37"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3" fontId="4" fillId="0" borderId="53" xfId="0" applyNumberFormat="1" applyFont="1" applyFill="1" applyBorder="1" applyAlignment="1">
      <alignment horizontal="center" vertical="top" wrapText="1"/>
    </xf>
    <xf numFmtId="3" fontId="4" fillId="6" borderId="54" xfId="0" applyNumberFormat="1" applyFont="1" applyFill="1" applyBorder="1" applyAlignment="1">
      <alignment horizontal="center" vertical="top"/>
    </xf>
    <xf numFmtId="3" fontId="3" fillId="5" borderId="14" xfId="0" applyNumberFormat="1" applyFont="1" applyFill="1" applyBorder="1" applyAlignment="1">
      <alignment horizontal="center" vertical="top"/>
    </xf>
    <xf numFmtId="3" fontId="3" fillId="5" borderId="23" xfId="0" applyNumberFormat="1" applyFont="1" applyFill="1" applyBorder="1" applyAlignment="1">
      <alignment horizontal="center" vertical="top"/>
    </xf>
    <xf numFmtId="3" fontId="4" fillId="7" borderId="52" xfId="0" applyNumberFormat="1" applyFont="1" applyFill="1" applyBorder="1" applyAlignment="1">
      <alignment horizontal="left" vertical="top" wrapText="1"/>
    </xf>
    <xf numFmtId="3" fontId="4" fillId="0" borderId="35" xfId="0" applyNumberFormat="1" applyFont="1" applyFill="1" applyBorder="1" applyAlignment="1">
      <alignment horizontal="center" vertical="top"/>
    </xf>
    <xf numFmtId="3" fontId="4" fillId="0" borderId="19" xfId="0" applyNumberFormat="1" applyFont="1" applyFill="1" applyBorder="1" applyAlignment="1">
      <alignment horizontal="center" vertical="top"/>
    </xf>
    <xf numFmtId="3" fontId="6" fillId="0" borderId="45" xfId="0" applyNumberFormat="1" applyFont="1" applyBorder="1" applyAlignment="1">
      <alignment horizontal="center" vertical="top"/>
    </xf>
    <xf numFmtId="3" fontId="6" fillId="0" borderId="53" xfId="0" applyNumberFormat="1" applyFont="1" applyBorder="1" applyAlignment="1">
      <alignment horizontal="center" vertical="top"/>
    </xf>
    <xf numFmtId="3" fontId="6" fillId="0" borderId="54" xfId="0" applyNumberFormat="1" applyFont="1" applyBorder="1" applyAlignment="1">
      <alignment horizontal="center" vertical="top"/>
    </xf>
    <xf numFmtId="3" fontId="1" fillId="6" borderId="40" xfId="0" applyNumberFormat="1" applyFont="1" applyFill="1" applyBorder="1" applyAlignment="1">
      <alignment vertical="top" wrapText="1"/>
    </xf>
    <xf numFmtId="3" fontId="4" fillId="0" borderId="75" xfId="0" applyNumberFormat="1" applyFont="1" applyFill="1" applyBorder="1" applyAlignment="1">
      <alignment horizontal="center" vertical="top" wrapText="1"/>
    </xf>
    <xf numFmtId="164" fontId="1" fillId="6" borderId="61" xfId="0" applyNumberFormat="1" applyFont="1" applyFill="1" applyBorder="1" applyAlignment="1">
      <alignment horizontal="center" vertical="top"/>
    </xf>
    <xf numFmtId="164" fontId="1" fillId="6" borderId="29" xfId="0" applyNumberFormat="1" applyFont="1" applyFill="1" applyBorder="1" applyAlignment="1">
      <alignment horizontal="center" vertical="top"/>
    </xf>
    <xf numFmtId="164" fontId="1" fillId="6" borderId="6" xfId="0" applyNumberFormat="1" applyFont="1" applyFill="1" applyBorder="1" applyAlignment="1">
      <alignment horizontal="center" vertical="top"/>
    </xf>
    <xf numFmtId="164" fontId="1" fillId="6" borderId="45" xfId="0" applyNumberFormat="1" applyFont="1" applyFill="1" applyBorder="1" applyAlignment="1">
      <alignment horizontal="center" vertical="top"/>
    </xf>
    <xf numFmtId="164" fontId="1" fillId="6" borderId="53" xfId="0" applyNumberFormat="1" applyFont="1" applyFill="1" applyBorder="1" applyAlignment="1">
      <alignment horizontal="center" vertical="top" wrapText="1"/>
    </xf>
    <xf numFmtId="164" fontId="4" fillId="6" borderId="47" xfId="0" applyNumberFormat="1" applyFont="1" applyFill="1" applyBorder="1" applyAlignment="1">
      <alignment horizontal="center" vertical="top" wrapText="1"/>
    </xf>
    <xf numFmtId="164" fontId="4" fillId="6" borderId="53" xfId="0" applyNumberFormat="1" applyFont="1" applyFill="1" applyBorder="1" applyAlignment="1">
      <alignment horizontal="center" vertical="top" wrapText="1"/>
    </xf>
    <xf numFmtId="164" fontId="4" fillId="6" borderId="45" xfId="0" applyNumberFormat="1" applyFont="1" applyFill="1" applyBorder="1" applyAlignment="1">
      <alignment horizontal="center" vertical="top" wrapText="1"/>
    </xf>
    <xf numFmtId="164" fontId="4" fillId="6" borderId="32" xfId="0" applyNumberFormat="1" applyFont="1" applyFill="1" applyBorder="1" applyAlignment="1">
      <alignment horizontal="center" vertical="top" wrapText="1"/>
    </xf>
    <xf numFmtId="3" fontId="1" fillId="0" borderId="60" xfId="0" applyNumberFormat="1" applyFont="1" applyBorder="1" applyAlignment="1">
      <alignment horizontal="center" vertical="center" textRotation="90" wrapText="1"/>
    </xf>
    <xf numFmtId="0" fontId="2" fillId="0" borderId="0" xfId="1" applyFont="1" applyBorder="1" applyAlignment="1">
      <alignment horizontal="left" vertical="top" wrapText="1"/>
    </xf>
    <xf numFmtId="3" fontId="1" fillId="0" borderId="23" xfId="0" applyNumberFormat="1" applyFont="1" applyBorder="1" applyAlignment="1">
      <alignment horizontal="center" vertical="center" textRotation="90" wrapText="1"/>
    </xf>
    <xf numFmtId="3" fontId="3" fillId="12" borderId="47" xfId="0" applyNumberFormat="1" applyFont="1" applyFill="1" applyBorder="1" applyAlignment="1">
      <alignment vertical="top"/>
    </xf>
    <xf numFmtId="49" fontId="1" fillId="6" borderId="23" xfId="0" applyNumberFormat="1" applyFont="1" applyFill="1" applyBorder="1" applyAlignment="1">
      <alignment horizontal="center" vertical="top" textRotation="1" wrapText="1"/>
    </xf>
    <xf numFmtId="3" fontId="2" fillId="6" borderId="23" xfId="0" applyNumberFormat="1" applyFont="1" applyFill="1" applyBorder="1" applyAlignment="1">
      <alignment horizontal="center" vertical="top"/>
    </xf>
    <xf numFmtId="3" fontId="21" fillId="6" borderId="78" xfId="0" applyNumberFormat="1" applyFont="1" applyFill="1" applyBorder="1" applyAlignment="1">
      <alignment horizontal="center" vertical="top"/>
    </xf>
    <xf numFmtId="3" fontId="21" fillId="6" borderId="14" xfId="0" applyNumberFormat="1" applyFont="1" applyFill="1" applyBorder="1" applyAlignment="1">
      <alignment horizontal="center" vertical="top"/>
    </xf>
    <xf numFmtId="3" fontId="2" fillId="0" borderId="23" xfId="0" applyNumberFormat="1" applyFont="1" applyFill="1" applyBorder="1" applyAlignment="1">
      <alignment horizontal="center" vertical="top"/>
    </xf>
    <xf numFmtId="0" fontId="35" fillId="0" borderId="0" xfId="0" applyNumberFormat="1" applyFont="1" applyFill="1" applyAlignment="1" applyProtection="1">
      <alignment wrapText="1"/>
    </xf>
    <xf numFmtId="0" fontId="34" fillId="0" borderId="93" xfId="0" applyNumberFormat="1" applyFont="1" applyFill="1" applyBorder="1" applyAlignment="1" applyProtection="1">
      <alignment horizontal="center" wrapText="1" readingOrder="1"/>
    </xf>
    <xf numFmtId="0" fontId="34" fillId="16" borderId="86" xfId="0" applyNumberFormat="1" applyFont="1" applyFill="1" applyBorder="1" applyAlignment="1" applyProtection="1">
      <alignment vertical="top" wrapText="1" readingOrder="1"/>
      <protection locked="0"/>
    </xf>
    <xf numFmtId="0" fontId="34" fillId="16" borderId="87" xfId="0" applyNumberFormat="1" applyFont="1" applyFill="1" applyBorder="1" applyAlignment="1" applyProtection="1">
      <alignment vertical="top" wrapText="1" readingOrder="1"/>
      <protection locked="0"/>
    </xf>
    <xf numFmtId="0" fontId="34" fillId="16" borderId="87" xfId="0" applyNumberFormat="1" applyFont="1" applyFill="1" applyBorder="1" applyAlignment="1" applyProtection="1">
      <alignment horizontal="left" vertical="top" wrapText="1" readingOrder="1"/>
      <protection locked="0"/>
    </xf>
    <xf numFmtId="167" fontId="34" fillId="16" borderId="87" xfId="0" applyNumberFormat="1" applyFont="1" applyFill="1" applyBorder="1" applyAlignment="1" applyProtection="1">
      <alignment horizontal="right" vertical="top" wrapText="1" readingOrder="1"/>
    </xf>
    <xf numFmtId="0" fontId="34" fillId="16" borderId="87" xfId="0" applyNumberFormat="1" applyFont="1" applyFill="1" applyBorder="1" applyAlignment="1" applyProtection="1">
      <alignment horizontal="center" vertical="top" wrapText="1" readingOrder="1"/>
      <protection locked="0"/>
    </xf>
    <xf numFmtId="0" fontId="34" fillId="16" borderId="87" xfId="0" applyNumberFormat="1" applyFont="1" applyFill="1" applyBorder="1" applyAlignment="1" applyProtection="1">
      <alignment horizontal="right" vertical="top" wrapText="1" readingOrder="1"/>
      <protection locked="0"/>
    </xf>
    <xf numFmtId="0" fontId="34" fillId="16" borderId="88" xfId="0" applyNumberFormat="1" applyFont="1" applyFill="1" applyBorder="1" applyAlignment="1" applyProtection="1">
      <alignment horizontal="left" vertical="top" wrapText="1" readingOrder="1"/>
      <protection locked="0"/>
    </xf>
    <xf numFmtId="0" fontId="34" fillId="17" borderId="86" xfId="0" applyNumberFormat="1" applyFont="1" applyFill="1" applyBorder="1" applyAlignment="1" applyProtection="1">
      <alignment vertical="top" wrapText="1" readingOrder="1"/>
      <protection locked="0"/>
    </xf>
    <xf numFmtId="0" fontId="34" fillId="17" borderId="87" xfId="0" applyNumberFormat="1" applyFont="1" applyFill="1" applyBorder="1" applyAlignment="1" applyProtection="1">
      <alignment vertical="top" wrapText="1" readingOrder="1"/>
      <protection locked="0"/>
    </xf>
    <xf numFmtId="0" fontId="34" fillId="17" borderId="87" xfId="0" applyNumberFormat="1" applyFont="1" applyFill="1" applyBorder="1" applyAlignment="1" applyProtection="1">
      <alignment horizontal="left" vertical="top" wrapText="1" readingOrder="1"/>
      <protection locked="0"/>
    </xf>
    <xf numFmtId="167" fontId="34" fillId="17" borderId="87" xfId="0" applyNumberFormat="1" applyFont="1" applyFill="1" applyBorder="1" applyAlignment="1" applyProtection="1">
      <alignment horizontal="right" vertical="top" wrapText="1" readingOrder="1"/>
    </xf>
    <xf numFmtId="0" fontId="34" fillId="17" borderId="87" xfId="0" applyNumberFormat="1" applyFont="1" applyFill="1" applyBorder="1" applyAlignment="1" applyProtection="1">
      <alignment horizontal="center" vertical="top" wrapText="1" readingOrder="1"/>
      <protection locked="0"/>
    </xf>
    <xf numFmtId="0" fontId="34" fillId="17" borderId="87" xfId="0" applyNumberFormat="1" applyFont="1" applyFill="1" applyBorder="1" applyAlignment="1" applyProtection="1">
      <alignment horizontal="right" vertical="top" wrapText="1" readingOrder="1"/>
      <protection locked="0"/>
    </xf>
    <xf numFmtId="0" fontId="34" fillId="17" borderId="88" xfId="0" applyNumberFormat="1" applyFont="1" applyFill="1" applyBorder="1" applyAlignment="1" applyProtection="1">
      <alignment horizontal="left" vertical="top" wrapText="1" readingOrder="1"/>
      <protection locked="0"/>
    </xf>
    <xf numFmtId="0" fontId="35" fillId="0" borderId="89" xfId="0" applyNumberFormat="1" applyFont="1" applyFill="1" applyBorder="1" applyAlignment="1" applyProtection="1">
      <alignment vertical="top" wrapText="1" readingOrder="1"/>
      <protection locked="0"/>
    </xf>
    <xf numFmtId="0" fontId="35" fillId="0" borderId="90" xfId="0" applyNumberFormat="1" applyFont="1" applyFill="1" applyBorder="1" applyAlignment="1" applyProtection="1">
      <alignment vertical="top" wrapText="1" readingOrder="1"/>
      <protection locked="0"/>
    </xf>
    <xf numFmtId="0" fontId="35" fillId="0" borderId="90" xfId="0" applyNumberFormat="1" applyFont="1" applyFill="1" applyBorder="1" applyAlignment="1" applyProtection="1">
      <alignment horizontal="left" vertical="top" wrapText="1" readingOrder="1"/>
      <protection locked="0"/>
    </xf>
    <xf numFmtId="167" fontId="35" fillId="0" borderId="90" xfId="0" applyNumberFormat="1" applyFont="1" applyFill="1" applyBorder="1" applyAlignment="1" applyProtection="1">
      <alignment horizontal="right" vertical="top" wrapText="1" readingOrder="1"/>
      <protection locked="0"/>
    </xf>
    <xf numFmtId="0" fontId="35" fillId="0" borderId="90" xfId="0" applyNumberFormat="1" applyFont="1" applyFill="1" applyBorder="1" applyAlignment="1" applyProtection="1">
      <alignment horizontal="center" vertical="top" wrapText="1" readingOrder="1"/>
      <protection locked="0"/>
    </xf>
    <xf numFmtId="0" fontId="35" fillId="0" borderId="90" xfId="0" applyNumberFormat="1" applyFont="1" applyFill="1" applyBorder="1" applyAlignment="1" applyProtection="1">
      <alignment horizontal="right" vertical="top" wrapText="1" readingOrder="1"/>
      <protection locked="0"/>
    </xf>
    <xf numFmtId="0" fontId="35" fillId="0" borderId="91" xfId="0" applyNumberFormat="1" applyFont="1" applyFill="1" applyBorder="1" applyAlignment="1" applyProtection="1">
      <alignment horizontal="left" vertical="top" wrapText="1" readingOrder="1"/>
      <protection locked="0"/>
    </xf>
    <xf numFmtId="0" fontId="34" fillId="18" borderId="86" xfId="0" applyNumberFormat="1" applyFont="1" applyFill="1" applyBorder="1" applyAlignment="1" applyProtection="1">
      <alignment vertical="top" wrapText="1" readingOrder="1"/>
      <protection locked="0"/>
    </xf>
    <xf numFmtId="0" fontId="34" fillId="18" borderId="87" xfId="0" applyNumberFormat="1" applyFont="1" applyFill="1" applyBorder="1" applyAlignment="1" applyProtection="1">
      <alignment vertical="top" wrapText="1" readingOrder="1"/>
      <protection locked="0"/>
    </xf>
    <xf numFmtId="0" fontId="34" fillId="18" borderId="87" xfId="0" applyNumberFormat="1" applyFont="1" applyFill="1" applyBorder="1" applyAlignment="1" applyProtection="1">
      <alignment horizontal="left" vertical="top" wrapText="1" readingOrder="1"/>
      <protection locked="0"/>
    </xf>
    <xf numFmtId="167" fontId="34" fillId="18" borderId="87" xfId="0" applyNumberFormat="1" applyFont="1" applyFill="1" applyBorder="1" applyAlignment="1" applyProtection="1">
      <alignment horizontal="right" vertical="top" wrapText="1" readingOrder="1"/>
    </xf>
    <xf numFmtId="0" fontId="34" fillId="18" borderId="87" xfId="0" applyNumberFormat="1" applyFont="1" applyFill="1" applyBorder="1" applyAlignment="1" applyProtection="1">
      <alignment horizontal="center" vertical="top" wrapText="1" readingOrder="1"/>
      <protection locked="0"/>
    </xf>
    <xf numFmtId="0" fontId="34" fillId="18" borderId="87" xfId="0" applyNumberFormat="1" applyFont="1" applyFill="1" applyBorder="1" applyAlignment="1" applyProtection="1">
      <alignment horizontal="right" vertical="top" wrapText="1" readingOrder="1"/>
      <protection locked="0"/>
    </xf>
    <xf numFmtId="0" fontId="34" fillId="18" borderId="88" xfId="0" applyNumberFormat="1" applyFont="1" applyFill="1" applyBorder="1" applyAlignment="1" applyProtection="1">
      <alignment horizontal="left" vertical="top" wrapText="1" readingOrder="1"/>
      <protection locked="0"/>
    </xf>
    <xf numFmtId="0" fontId="35" fillId="0" borderId="86" xfId="0" applyNumberFormat="1" applyFont="1" applyFill="1" applyBorder="1" applyAlignment="1" applyProtection="1">
      <alignment vertical="top" wrapText="1" readingOrder="1"/>
      <protection locked="0"/>
    </xf>
    <xf numFmtId="0" fontId="35" fillId="0" borderId="87" xfId="0" applyNumberFormat="1" applyFont="1" applyFill="1" applyBorder="1" applyAlignment="1" applyProtection="1">
      <alignment vertical="top" wrapText="1" readingOrder="1"/>
      <protection locked="0"/>
    </xf>
    <xf numFmtId="0" fontId="35" fillId="0" borderId="87" xfId="0" applyNumberFormat="1" applyFont="1" applyFill="1" applyBorder="1" applyAlignment="1" applyProtection="1">
      <alignment horizontal="left" vertical="top" wrapText="1" readingOrder="1"/>
      <protection locked="0"/>
    </xf>
    <xf numFmtId="167" fontId="35" fillId="0" borderId="87" xfId="0" applyNumberFormat="1" applyFont="1" applyFill="1" applyBorder="1" applyAlignment="1" applyProtection="1">
      <alignment horizontal="right" vertical="top" wrapText="1" readingOrder="1"/>
    </xf>
    <xf numFmtId="0" fontId="35" fillId="0" borderId="87" xfId="0" applyNumberFormat="1" applyFont="1" applyFill="1" applyBorder="1" applyAlignment="1" applyProtection="1">
      <alignment horizontal="center" vertical="top" wrapText="1" readingOrder="1"/>
      <protection locked="0"/>
    </xf>
    <xf numFmtId="0" fontId="35" fillId="0" borderId="87" xfId="0" applyNumberFormat="1" applyFont="1" applyFill="1" applyBorder="1" applyAlignment="1" applyProtection="1">
      <alignment horizontal="right" vertical="top" wrapText="1" readingOrder="1"/>
      <protection locked="0"/>
    </xf>
    <xf numFmtId="0" fontId="35" fillId="0" borderId="88" xfId="0" applyNumberFormat="1" applyFont="1" applyFill="1" applyBorder="1" applyAlignment="1" applyProtection="1">
      <alignment horizontal="left" vertical="top" wrapText="1" readingOrder="1"/>
      <protection locked="0"/>
    </xf>
    <xf numFmtId="167" fontId="35" fillId="0" borderId="87" xfId="0" applyNumberFormat="1" applyFont="1" applyFill="1" applyBorder="1" applyAlignment="1" applyProtection="1">
      <alignment horizontal="right" vertical="top" wrapText="1" readingOrder="1"/>
      <protection locked="0"/>
    </xf>
    <xf numFmtId="0" fontId="35" fillId="0" borderId="95" xfId="0" applyNumberFormat="1" applyFont="1" applyFill="1" applyBorder="1" applyAlignment="1" applyProtection="1">
      <alignment vertical="top" wrapText="1" readingOrder="1"/>
      <protection locked="0"/>
    </xf>
    <xf numFmtId="0" fontId="35" fillId="0" borderId="96" xfId="0" applyNumberFormat="1" applyFont="1" applyFill="1" applyBorder="1" applyAlignment="1" applyProtection="1">
      <alignment vertical="top" wrapText="1" readingOrder="1"/>
      <protection locked="0"/>
    </xf>
    <xf numFmtId="0" fontId="35" fillId="0" borderId="96" xfId="0" applyNumberFormat="1" applyFont="1" applyFill="1" applyBorder="1" applyAlignment="1" applyProtection="1">
      <alignment horizontal="left" vertical="top" wrapText="1" readingOrder="1"/>
      <protection locked="0"/>
    </xf>
    <xf numFmtId="167" fontId="35" fillId="0" borderId="96" xfId="0" applyNumberFormat="1" applyFont="1" applyFill="1" applyBorder="1" applyAlignment="1" applyProtection="1">
      <alignment horizontal="right" vertical="top" wrapText="1" readingOrder="1"/>
      <protection locked="0"/>
    </xf>
    <xf numFmtId="0" fontId="35" fillId="0" borderId="96" xfId="0" applyNumberFormat="1" applyFont="1" applyFill="1" applyBorder="1" applyAlignment="1" applyProtection="1">
      <alignment horizontal="center" vertical="top" wrapText="1" readingOrder="1"/>
      <protection locked="0"/>
    </xf>
    <xf numFmtId="0" fontId="35" fillId="0" borderId="96" xfId="0" applyNumberFormat="1" applyFont="1" applyFill="1" applyBorder="1" applyAlignment="1" applyProtection="1">
      <alignment horizontal="right" vertical="top" wrapText="1" readingOrder="1"/>
      <protection locked="0"/>
    </xf>
    <xf numFmtId="0" fontId="35" fillId="0" borderId="97" xfId="0" applyNumberFormat="1" applyFont="1" applyFill="1" applyBorder="1" applyAlignment="1" applyProtection="1">
      <alignment horizontal="left" vertical="top" wrapText="1" readingOrder="1"/>
      <protection locked="0"/>
    </xf>
    <xf numFmtId="0" fontId="35" fillId="0" borderId="0" xfId="0" applyNumberFormat="1" applyFont="1" applyFill="1" applyAlignment="1" applyProtection="1">
      <alignment vertical="top" wrapText="1" readingOrder="1"/>
      <protection locked="0"/>
    </xf>
    <xf numFmtId="0" fontId="35" fillId="0" borderId="0" xfId="0" applyNumberFormat="1" applyFont="1" applyFill="1" applyAlignment="1" applyProtection="1">
      <alignment horizontal="left" vertical="top" wrapText="1" readingOrder="1"/>
      <protection locked="0"/>
    </xf>
    <xf numFmtId="167" fontId="35" fillId="0" borderId="0" xfId="0" applyNumberFormat="1" applyFont="1" applyFill="1" applyAlignment="1" applyProtection="1">
      <alignment horizontal="right" vertical="top" wrapText="1" readingOrder="1"/>
      <protection locked="0"/>
    </xf>
    <xf numFmtId="0" fontId="35" fillId="0" borderId="0" xfId="0" applyNumberFormat="1" applyFont="1" applyFill="1" applyAlignment="1" applyProtection="1">
      <alignment horizontal="center" vertical="top" wrapText="1" readingOrder="1"/>
      <protection locked="0"/>
    </xf>
    <xf numFmtId="0" fontId="35" fillId="0" borderId="0" xfId="0" applyNumberFormat="1" applyFont="1" applyFill="1" applyAlignment="1" applyProtection="1">
      <alignment horizontal="right" vertical="top" wrapText="1" readingOrder="1"/>
      <protection locked="0"/>
    </xf>
    <xf numFmtId="0" fontId="34" fillId="0" borderId="90" xfId="0" applyNumberFormat="1" applyFont="1" applyFill="1" applyBorder="1" applyAlignment="1" applyProtection="1">
      <alignment horizontal="center" wrapText="1" readingOrder="1"/>
    </xf>
    <xf numFmtId="0" fontId="34" fillId="19" borderId="90" xfId="0" applyNumberFormat="1" applyFont="1" applyFill="1" applyBorder="1" applyAlignment="1" applyProtection="1">
      <alignment vertical="top" wrapText="1" readingOrder="1"/>
      <protection locked="0"/>
    </xf>
    <xf numFmtId="0" fontId="34" fillId="19" borderId="90" xfId="0" applyNumberFormat="1" applyFont="1" applyFill="1" applyBorder="1" applyAlignment="1" applyProtection="1">
      <alignment horizontal="right" vertical="top" wrapText="1" readingOrder="1"/>
      <protection locked="0"/>
    </xf>
    <xf numFmtId="167" fontId="34" fillId="19" borderId="90" xfId="0" applyNumberFormat="1" applyFont="1" applyFill="1" applyBorder="1" applyAlignment="1" applyProtection="1">
      <alignment horizontal="right" vertical="top" wrapText="1" readingOrder="1"/>
    </xf>
    <xf numFmtId="164" fontId="1" fillId="6" borderId="67" xfId="0" applyNumberFormat="1" applyFont="1" applyFill="1" applyBorder="1" applyAlignment="1">
      <alignment horizontal="center" vertical="top"/>
    </xf>
    <xf numFmtId="164" fontId="1" fillId="6" borderId="21" xfId="0" applyNumberFormat="1" applyFont="1" applyFill="1" applyBorder="1" applyAlignment="1">
      <alignment horizontal="center" vertical="top" wrapText="1"/>
    </xf>
    <xf numFmtId="164" fontId="1" fillId="6" borderId="26" xfId="0" applyNumberFormat="1" applyFont="1" applyFill="1" applyBorder="1" applyAlignment="1">
      <alignment horizontal="center" vertical="top" wrapText="1"/>
    </xf>
    <xf numFmtId="164" fontId="32" fillId="6" borderId="53" xfId="0" applyNumberFormat="1" applyFont="1" applyFill="1" applyBorder="1" applyAlignment="1">
      <alignment horizontal="center" vertical="top"/>
    </xf>
    <xf numFmtId="164" fontId="32" fillId="6" borderId="45" xfId="0" applyNumberFormat="1" applyFont="1" applyFill="1" applyBorder="1" applyAlignment="1">
      <alignment horizontal="center" vertical="top"/>
    </xf>
    <xf numFmtId="164" fontId="1" fillId="6" borderId="26" xfId="0" applyNumberFormat="1" applyFont="1" applyFill="1" applyBorder="1" applyAlignment="1">
      <alignment horizontal="center" vertical="top"/>
    </xf>
    <xf numFmtId="164" fontId="4" fillId="6" borderId="29" xfId="0" applyNumberFormat="1" applyFont="1" applyFill="1" applyBorder="1" applyAlignment="1">
      <alignment horizontal="center" vertical="top" wrapText="1"/>
    </xf>
    <xf numFmtId="164" fontId="1" fillId="6" borderId="32" xfId="0" applyNumberFormat="1" applyFont="1" applyFill="1" applyBorder="1" applyAlignment="1">
      <alignment horizontal="center" vertical="top" wrapText="1"/>
    </xf>
    <xf numFmtId="164" fontId="4" fillId="6" borderId="66" xfId="0" applyNumberFormat="1" applyFont="1" applyFill="1" applyBorder="1" applyAlignment="1">
      <alignment horizontal="center" vertical="top"/>
    </xf>
    <xf numFmtId="164" fontId="1" fillId="6" borderId="32" xfId="0" applyNumberFormat="1" applyFont="1" applyFill="1" applyBorder="1" applyAlignment="1">
      <alignment horizontal="center" vertical="top"/>
    </xf>
    <xf numFmtId="164" fontId="36" fillId="6" borderId="12" xfId="0" applyNumberFormat="1" applyFont="1" applyFill="1" applyBorder="1" applyAlignment="1">
      <alignment horizontal="center" vertical="top"/>
    </xf>
    <xf numFmtId="164" fontId="1" fillId="14" borderId="30" xfId="2" applyNumberFormat="1" applyFont="1" applyFill="1" applyBorder="1" applyAlignment="1">
      <alignment horizontal="center" vertical="top"/>
    </xf>
    <xf numFmtId="165" fontId="1" fillId="6" borderId="54" xfId="0" applyNumberFormat="1" applyFont="1" applyFill="1" applyBorder="1" applyAlignment="1">
      <alignment horizontal="center" vertical="top"/>
    </xf>
    <xf numFmtId="3" fontId="4" fillId="0" borderId="31" xfId="0" applyNumberFormat="1" applyFont="1" applyBorder="1" applyAlignment="1">
      <alignment horizontal="center" vertical="top" wrapText="1"/>
    </xf>
    <xf numFmtId="3" fontId="4" fillId="0" borderId="0" xfId="0" applyNumberFormat="1" applyFont="1" applyBorder="1" applyAlignment="1">
      <alignment horizontal="center" vertical="top" wrapText="1"/>
    </xf>
    <xf numFmtId="0" fontId="1" fillId="6" borderId="31" xfId="0" applyFont="1" applyFill="1" applyBorder="1" applyAlignment="1">
      <alignment horizontal="center" vertical="top" wrapText="1"/>
    </xf>
    <xf numFmtId="0" fontId="1" fillId="6" borderId="0" xfId="0" applyFont="1" applyFill="1" applyBorder="1" applyAlignment="1">
      <alignment horizontal="center" vertical="top" wrapText="1"/>
    </xf>
    <xf numFmtId="0" fontId="4" fillId="0" borderId="31" xfId="0" applyFont="1" applyFill="1" applyBorder="1" applyAlignment="1">
      <alignment horizontal="center" vertical="top"/>
    </xf>
    <xf numFmtId="0" fontId="4" fillId="0" borderId="0" xfId="0" applyFont="1" applyFill="1" applyBorder="1" applyAlignment="1">
      <alignment horizontal="center" vertical="top"/>
    </xf>
    <xf numFmtId="3" fontId="4" fillId="0" borderId="45" xfId="0" applyNumberFormat="1" applyFont="1" applyBorder="1" applyAlignment="1">
      <alignment horizontal="center" vertical="top" wrapText="1"/>
    </xf>
    <xf numFmtId="3" fontId="4" fillId="0" borderId="54" xfId="0" applyNumberFormat="1" applyFont="1" applyBorder="1" applyAlignment="1">
      <alignment horizontal="center" vertical="top" wrapText="1"/>
    </xf>
    <xf numFmtId="0" fontId="1" fillId="6" borderId="45" xfId="0" applyFont="1" applyFill="1" applyBorder="1" applyAlignment="1">
      <alignment horizontal="center" vertical="top" wrapText="1"/>
    </xf>
    <xf numFmtId="0" fontId="1" fillId="6" borderId="54" xfId="0" applyFont="1" applyFill="1" applyBorder="1" applyAlignment="1">
      <alignment horizontal="center" vertical="top" wrapText="1"/>
    </xf>
    <xf numFmtId="0" fontId="4" fillId="0" borderId="45" xfId="0" applyFont="1" applyFill="1" applyBorder="1" applyAlignment="1">
      <alignment horizontal="center" vertical="top"/>
    </xf>
    <xf numFmtId="3" fontId="4" fillId="7" borderId="35" xfId="0" applyNumberFormat="1" applyFont="1" applyFill="1" applyBorder="1" applyAlignment="1">
      <alignment horizontal="center" vertical="top" wrapText="1"/>
    </xf>
    <xf numFmtId="1" fontId="1" fillId="6" borderId="17" xfId="0" applyNumberFormat="1" applyFont="1" applyFill="1" applyBorder="1" applyAlignment="1">
      <alignment horizontal="center" vertical="top"/>
    </xf>
    <xf numFmtId="165" fontId="1" fillId="0" borderId="78" xfId="0" applyNumberFormat="1" applyFont="1" applyFill="1" applyBorder="1" applyAlignment="1">
      <alignment horizontal="center" vertical="top"/>
    </xf>
    <xf numFmtId="49" fontId="1" fillId="6" borderId="23" xfId="0" applyNumberFormat="1" applyFont="1" applyFill="1" applyBorder="1" applyAlignment="1">
      <alignment horizontal="center" vertical="top"/>
    </xf>
    <xf numFmtId="49" fontId="1" fillId="6" borderId="5" xfId="0" applyNumberFormat="1" applyFont="1" applyFill="1" applyBorder="1" applyAlignment="1">
      <alignment horizontal="center" vertical="top"/>
    </xf>
    <xf numFmtId="49" fontId="4" fillId="0" borderId="78" xfId="0" applyNumberFormat="1" applyFont="1" applyFill="1" applyBorder="1" applyAlignment="1">
      <alignment horizontal="center" vertical="top" wrapText="1"/>
    </xf>
    <xf numFmtId="49" fontId="4" fillId="0" borderId="75" xfId="0" applyNumberFormat="1"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11" fillId="0" borderId="78" xfId="0" applyNumberFormat="1" applyFont="1" applyFill="1" applyBorder="1" applyAlignment="1">
      <alignment horizontal="center" vertical="top"/>
    </xf>
    <xf numFmtId="0" fontId="17" fillId="0" borderId="75" xfId="0" applyFont="1" applyBorder="1" applyAlignment="1">
      <alignment horizontal="center" vertical="top"/>
    </xf>
    <xf numFmtId="1" fontId="4" fillId="6" borderId="17" xfId="0" applyNumberFormat="1" applyFont="1" applyFill="1" applyBorder="1" applyAlignment="1">
      <alignment horizontal="center" vertical="top"/>
    </xf>
    <xf numFmtId="1" fontId="4" fillId="6" borderId="14"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0" fontId="4" fillId="6" borderId="78" xfId="0" applyNumberFormat="1" applyFont="1" applyFill="1" applyBorder="1" applyAlignment="1">
      <alignment horizontal="center" vertical="top"/>
    </xf>
    <xf numFmtId="0" fontId="4" fillId="6" borderId="17" xfId="0" applyNumberFormat="1" applyFont="1" applyFill="1" applyBorder="1" applyAlignment="1">
      <alignment horizontal="center" vertical="top"/>
    </xf>
    <xf numFmtId="3" fontId="4" fillId="6" borderId="23" xfId="0" applyNumberFormat="1" applyFont="1" applyFill="1" applyBorder="1" applyAlignment="1">
      <alignment vertical="top" wrapText="1"/>
    </xf>
    <xf numFmtId="164" fontId="4" fillId="12" borderId="17" xfId="0" applyNumberFormat="1" applyFont="1" applyFill="1" applyBorder="1" applyAlignment="1">
      <alignment horizontal="center" vertical="top" wrapText="1"/>
    </xf>
    <xf numFmtId="3" fontId="4" fillId="12" borderId="17" xfId="0" applyNumberFormat="1" applyFont="1" applyFill="1" applyBorder="1" applyAlignment="1">
      <alignment horizontal="center" vertical="top"/>
    </xf>
    <xf numFmtId="3" fontId="3" fillId="12" borderId="11" xfId="0" applyNumberFormat="1" applyFont="1" applyFill="1" applyBorder="1" applyAlignment="1">
      <alignment vertical="top"/>
    </xf>
    <xf numFmtId="3" fontId="4" fillId="6" borderId="19" xfId="0" applyNumberFormat="1" applyFont="1" applyFill="1" applyBorder="1" applyAlignment="1">
      <alignment horizontal="left" vertical="top" wrapText="1"/>
    </xf>
    <xf numFmtId="3" fontId="4" fillId="6" borderId="19" xfId="0" applyNumberFormat="1" applyFont="1" applyFill="1" applyBorder="1" applyAlignment="1">
      <alignment vertical="top" wrapText="1"/>
    </xf>
    <xf numFmtId="49" fontId="4" fillId="0" borderId="66" xfId="0" applyNumberFormat="1" applyFont="1" applyFill="1" applyBorder="1" applyAlignment="1">
      <alignment horizontal="center" vertical="top"/>
    </xf>
    <xf numFmtId="49" fontId="1" fillId="6" borderId="24" xfId="0" applyNumberFormat="1" applyFont="1" applyFill="1" applyBorder="1" applyAlignment="1">
      <alignment horizontal="center" vertical="top" textRotation="1" wrapText="1"/>
    </xf>
    <xf numFmtId="3" fontId="2" fillId="6" borderId="24" xfId="0" applyNumberFormat="1" applyFont="1" applyFill="1" applyBorder="1" applyAlignment="1">
      <alignment horizontal="center" vertical="top"/>
    </xf>
    <xf numFmtId="49" fontId="1" fillId="6" borderId="59" xfId="0" applyNumberFormat="1" applyFont="1" applyFill="1" applyBorder="1" applyAlignment="1">
      <alignment horizontal="center" vertical="top" textRotation="1" wrapText="1"/>
    </xf>
    <xf numFmtId="3" fontId="1" fillId="6" borderId="19" xfId="0" applyNumberFormat="1" applyFont="1" applyFill="1" applyBorder="1" applyAlignment="1">
      <alignment vertical="top" wrapText="1"/>
    </xf>
    <xf numFmtId="3" fontId="1" fillId="0" borderId="66" xfId="0" applyNumberFormat="1" applyFont="1" applyFill="1" applyBorder="1" applyAlignment="1">
      <alignment horizontal="center" vertical="top" wrapText="1"/>
    </xf>
    <xf numFmtId="49" fontId="37" fillId="0" borderId="45" xfId="0" applyNumberFormat="1" applyFont="1" applyFill="1" applyBorder="1" applyAlignment="1">
      <alignment horizontal="center" vertical="top" textRotation="90"/>
    </xf>
    <xf numFmtId="49" fontId="1" fillId="6" borderId="72" xfId="0" applyNumberFormat="1" applyFont="1" applyFill="1" applyBorder="1" applyAlignment="1">
      <alignment horizontal="center" vertical="top"/>
    </xf>
    <xf numFmtId="3" fontId="1" fillId="12" borderId="49" xfId="0" applyNumberFormat="1" applyFont="1" applyFill="1" applyBorder="1" applyAlignment="1">
      <alignment vertical="top" wrapText="1"/>
    </xf>
    <xf numFmtId="3" fontId="1" fillId="12" borderId="75" xfId="0" applyNumberFormat="1" applyFont="1" applyFill="1" applyBorder="1" applyAlignment="1">
      <alignment horizontal="center" vertical="top"/>
    </xf>
    <xf numFmtId="3" fontId="1" fillId="12" borderId="53" xfId="0" applyNumberFormat="1" applyFont="1" applyFill="1" applyBorder="1" applyAlignment="1">
      <alignment horizontal="center" vertical="top"/>
    </xf>
    <xf numFmtId="3" fontId="1" fillId="12" borderId="53" xfId="0" applyNumberFormat="1" applyFont="1" applyFill="1" applyBorder="1" applyAlignment="1">
      <alignment horizontal="left" vertical="top"/>
    </xf>
    <xf numFmtId="3" fontId="4" fillId="0" borderId="42" xfId="0" applyNumberFormat="1" applyFont="1" applyFill="1" applyBorder="1" applyAlignment="1">
      <alignment vertical="top" wrapText="1"/>
    </xf>
    <xf numFmtId="49" fontId="4" fillId="12" borderId="54" xfId="0" applyNumberFormat="1" applyFont="1" applyFill="1" applyBorder="1" applyAlignment="1">
      <alignment horizontal="center" vertical="top"/>
    </xf>
    <xf numFmtId="3" fontId="4" fillId="12" borderId="60" xfId="0" applyNumberFormat="1" applyFont="1" applyFill="1" applyBorder="1" applyAlignment="1">
      <alignment horizontal="center" vertical="top"/>
    </xf>
    <xf numFmtId="3" fontId="4" fillId="12" borderId="42" xfId="0" applyNumberFormat="1" applyFont="1" applyFill="1" applyBorder="1" applyAlignment="1">
      <alignment horizontal="left" vertical="top" wrapText="1"/>
    </xf>
    <xf numFmtId="3" fontId="4" fillId="12" borderId="72" xfId="0" applyNumberFormat="1" applyFont="1" applyFill="1" applyBorder="1" applyAlignment="1">
      <alignment horizontal="center" vertical="top"/>
    </xf>
    <xf numFmtId="3" fontId="4" fillId="12" borderId="45" xfId="0" applyNumberFormat="1" applyFont="1" applyFill="1" applyBorder="1" applyAlignment="1">
      <alignment horizontal="center" vertical="top"/>
    </xf>
    <xf numFmtId="3" fontId="4" fillId="12" borderId="0" xfId="0" applyNumberFormat="1" applyFont="1" applyFill="1" applyBorder="1" applyAlignment="1">
      <alignment vertical="top" wrapText="1"/>
    </xf>
    <xf numFmtId="3" fontId="4" fillId="12" borderId="23" xfId="0" applyNumberFormat="1" applyFont="1" applyFill="1" applyBorder="1" applyAlignment="1">
      <alignment horizontal="center" vertical="top"/>
    </xf>
    <xf numFmtId="0" fontId="4" fillId="6" borderId="19" xfId="0" applyNumberFormat="1" applyFont="1" applyFill="1" applyBorder="1" applyAlignment="1">
      <alignment horizontal="left" vertical="top" wrapText="1"/>
    </xf>
    <xf numFmtId="3" fontId="4" fillId="6" borderId="24" xfId="0" applyNumberFormat="1" applyFont="1" applyFill="1" applyBorder="1" applyAlignment="1">
      <alignment vertical="top" wrapText="1"/>
    </xf>
    <xf numFmtId="0" fontId="4" fillId="6" borderId="11" xfId="0" applyNumberFormat="1" applyFont="1" applyFill="1" applyBorder="1" applyAlignment="1">
      <alignment horizontal="center" vertical="top"/>
    </xf>
    <xf numFmtId="3" fontId="19" fillId="6" borderId="6" xfId="0" applyNumberFormat="1" applyFont="1" applyFill="1" applyBorder="1" applyAlignment="1">
      <alignment vertical="top" wrapText="1"/>
    </xf>
    <xf numFmtId="3" fontId="19" fillId="6" borderId="15" xfId="0" applyNumberFormat="1" applyFont="1" applyFill="1" applyBorder="1" applyAlignment="1">
      <alignment vertical="top" wrapText="1"/>
    </xf>
    <xf numFmtId="3" fontId="19" fillId="6" borderId="24" xfId="0" applyNumberFormat="1" applyFont="1" applyFill="1" applyBorder="1" applyAlignment="1">
      <alignment vertical="top" wrapText="1"/>
    </xf>
    <xf numFmtId="49" fontId="4" fillId="6" borderId="61" xfId="0" applyNumberFormat="1" applyFont="1" applyFill="1" applyBorder="1" applyAlignment="1">
      <alignment horizontal="center" vertical="top"/>
    </xf>
    <xf numFmtId="3" fontId="4" fillId="6" borderId="37" xfId="0" applyNumberFormat="1" applyFont="1" applyFill="1" applyBorder="1" applyAlignment="1">
      <alignment vertical="top" wrapText="1"/>
    </xf>
    <xf numFmtId="49" fontId="4" fillId="6" borderId="60" xfId="0" applyNumberFormat="1" applyFont="1" applyFill="1" applyBorder="1" applyAlignment="1">
      <alignment horizontal="center" vertical="top"/>
    </xf>
    <xf numFmtId="3" fontId="4" fillId="6" borderId="23" xfId="0" applyNumberFormat="1" applyFont="1" applyFill="1" applyBorder="1" applyAlignment="1">
      <alignment vertical="top"/>
    </xf>
    <xf numFmtId="0" fontId="35" fillId="15" borderId="87" xfId="0" applyNumberFormat="1" applyFont="1" applyFill="1" applyBorder="1" applyAlignment="1" applyProtection="1">
      <alignment horizontal="right" vertical="top" wrapText="1" readingOrder="1"/>
      <protection locked="0"/>
    </xf>
    <xf numFmtId="0" fontId="35" fillId="15" borderId="88" xfId="0" applyNumberFormat="1" applyFont="1" applyFill="1" applyBorder="1" applyAlignment="1" applyProtection="1">
      <alignment horizontal="left" vertical="top" wrapText="1" readingOrder="1"/>
      <protection locked="0"/>
    </xf>
    <xf numFmtId="0" fontId="4" fillId="12" borderId="11" xfId="0" applyFont="1" applyFill="1" applyBorder="1" applyAlignment="1">
      <alignment horizontal="left" vertical="top" wrapText="1"/>
    </xf>
    <xf numFmtId="0" fontId="4" fillId="12" borderId="18" xfId="0" applyFont="1" applyFill="1" applyBorder="1" applyAlignment="1">
      <alignment horizontal="center" vertical="top" wrapText="1"/>
    </xf>
    <xf numFmtId="0" fontId="4" fillId="12" borderId="47" xfId="0" applyFont="1" applyFill="1" applyBorder="1" applyAlignment="1">
      <alignment horizontal="center" vertical="top" wrapText="1"/>
    </xf>
    <xf numFmtId="0" fontId="4" fillId="12" borderId="43" xfId="0" applyFont="1" applyFill="1" applyBorder="1" applyAlignment="1">
      <alignment horizontal="left" vertical="top" wrapText="1"/>
    </xf>
    <xf numFmtId="0" fontId="4" fillId="12" borderId="31" xfId="0" applyFont="1" applyFill="1" applyBorder="1" applyAlignment="1">
      <alignment horizontal="center" vertical="top" wrapText="1"/>
    </xf>
    <xf numFmtId="0" fontId="4" fillId="12" borderId="45" xfId="0" applyFont="1" applyFill="1" applyBorder="1" applyAlignment="1">
      <alignment horizontal="center" vertical="top" wrapText="1"/>
    </xf>
    <xf numFmtId="0" fontId="4" fillId="12" borderId="39" xfId="0" applyFont="1" applyFill="1" applyBorder="1" applyAlignment="1">
      <alignment horizontal="left" vertical="top" wrapText="1"/>
    </xf>
    <xf numFmtId="0" fontId="4" fillId="12" borderId="0" xfId="0" applyFont="1" applyFill="1" applyBorder="1" applyAlignment="1">
      <alignment horizontal="center" vertical="top" wrapText="1"/>
    </xf>
    <xf numFmtId="0" fontId="4" fillId="12" borderId="54" xfId="0" applyFont="1" applyFill="1" applyBorder="1" applyAlignment="1">
      <alignment horizontal="center" vertical="top" wrapText="1"/>
    </xf>
    <xf numFmtId="49" fontId="4" fillId="12" borderId="45" xfId="0" applyNumberFormat="1" applyFont="1" applyFill="1" applyBorder="1" applyAlignment="1">
      <alignment horizontal="center" vertical="top"/>
    </xf>
    <xf numFmtId="49" fontId="4" fillId="12" borderId="53" xfId="0" applyNumberFormat="1" applyFont="1" applyFill="1" applyBorder="1" applyAlignment="1">
      <alignment horizontal="center" vertical="top"/>
    </xf>
    <xf numFmtId="3" fontId="1" fillId="11" borderId="43" xfId="0" applyNumberFormat="1" applyFont="1" applyFill="1" applyBorder="1" applyAlignment="1">
      <alignment vertical="top" wrapText="1"/>
    </xf>
    <xf numFmtId="3" fontId="1" fillId="11" borderId="31" xfId="0" applyNumberFormat="1" applyFont="1" applyFill="1" applyBorder="1" applyAlignment="1">
      <alignment horizontal="center" vertical="top"/>
    </xf>
    <xf numFmtId="3" fontId="1" fillId="11" borderId="45" xfId="0" applyNumberFormat="1" applyFont="1" applyFill="1" applyBorder="1" applyAlignment="1">
      <alignment horizontal="center" vertical="top"/>
    </xf>
    <xf numFmtId="3" fontId="1" fillId="11" borderId="52" xfId="0" applyNumberFormat="1" applyFont="1" applyFill="1" applyBorder="1" applyAlignment="1">
      <alignment horizontal="left" vertical="top" wrapText="1"/>
    </xf>
    <xf numFmtId="3" fontId="1" fillId="11" borderId="51" xfId="0" applyNumberFormat="1" applyFont="1" applyFill="1" applyBorder="1" applyAlignment="1">
      <alignment horizontal="center" vertical="top"/>
    </xf>
    <xf numFmtId="3" fontId="1" fillId="11" borderId="53" xfId="0" applyNumberFormat="1" applyFont="1" applyFill="1" applyBorder="1" applyAlignment="1">
      <alignment horizontal="center" vertical="top"/>
    </xf>
    <xf numFmtId="49" fontId="4" fillId="11" borderId="54" xfId="0" applyNumberFormat="1" applyFont="1" applyFill="1" applyBorder="1" applyAlignment="1">
      <alignment horizontal="center" vertical="top"/>
    </xf>
    <xf numFmtId="3" fontId="4" fillId="12" borderId="39" xfId="0" applyNumberFormat="1" applyFont="1" applyFill="1" applyBorder="1" applyAlignment="1">
      <alignment vertical="top" wrapText="1"/>
    </xf>
    <xf numFmtId="3" fontId="1" fillId="12" borderId="0" xfId="0" applyNumberFormat="1" applyFont="1" applyFill="1" applyBorder="1" applyAlignment="1">
      <alignment horizontal="center" vertical="top" wrapText="1"/>
    </xf>
    <xf numFmtId="3" fontId="1" fillId="12" borderId="54" xfId="0" applyNumberFormat="1" applyFont="1" applyFill="1" applyBorder="1" applyAlignment="1">
      <alignment horizontal="center" vertical="top" wrapText="1"/>
    </xf>
    <xf numFmtId="49" fontId="1" fillId="12" borderId="45" xfId="0" applyNumberFormat="1" applyFont="1" applyFill="1" applyBorder="1" applyAlignment="1">
      <alignment horizontal="center" vertical="top"/>
    </xf>
    <xf numFmtId="49" fontId="1" fillId="12" borderId="53" xfId="0" applyNumberFormat="1" applyFont="1" applyFill="1" applyBorder="1" applyAlignment="1">
      <alignment horizontal="center" vertical="top"/>
    </xf>
    <xf numFmtId="3" fontId="1" fillId="12" borderId="43" xfId="0" applyNumberFormat="1" applyFont="1" applyFill="1" applyBorder="1" applyAlignment="1">
      <alignment horizontal="left" vertical="top" wrapText="1"/>
    </xf>
    <xf numFmtId="3" fontId="1" fillId="12" borderId="31" xfId="0" applyNumberFormat="1" applyFont="1" applyFill="1" applyBorder="1" applyAlignment="1">
      <alignment horizontal="center" vertical="top" wrapText="1"/>
    </xf>
    <xf numFmtId="3" fontId="1" fillId="12" borderId="45" xfId="0" applyNumberFormat="1" applyFont="1" applyFill="1" applyBorder="1" applyAlignment="1">
      <alignment horizontal="center" vertical="top" wrapText="1"/>
    </xf>
    <xf numFmtId="3" fontId="1" fillId="12" borderId="52" xfId="0" applyNumberFormat="1" applyFont="1" applyFill="1" applyBorder="1" applyAlignment="1">
      <alignment vertical="top" wrapText="1"/>
    </xf>
    <xf numFmtId="3" fontId="1" fillId="12" borderId="51" xfId="0" applyNumberFormat="1" applyFont="1" applyFill="1" applyBorder="1" applyAlignment="1">
      <alignment horizontal="center" vertical="top" wrapText="1"/>
    </xf>
    <xf numFmtId="3" fontId="1" fillId="12" borderId="53" xfId="0" applyNumberFormat="1" applyFont="1" applyFill="1" applyBorder="1" applyAlignment="1">
      <alignment horizontal="center" vertical="top" wrapText="1"/>
    </xf>
    <xf numFmtId="49" fontId="1" fillId="12" borderId="54" xfId="0" applyNumberFormat="1" applyFont="1" applyFill="1" applyBorder="1" applyAlignment="1">
      <alignment horizontal="center" vertical="top"/>
    </xf>
    <xf numFmtId="3" fontId="24" fillId="0" borderId="0" xfId="0" applyNumberFormat="1" applyFont="1" applyBorder="1" applyAlignment="1">
      <alignment horizontal="center" vertical="top"/>
    </xf>
    <xf numFmtId="0" fontId="4" fillId="12" borderId="43" xfId="0" applyFont="1" applyFill="1" applyBorder="1" applyAlignment="1">
      <alignment vertical="top" wrapText="1"/>
    </xf>
    <xf numFmtId="0" fontId="4" fillId="12" borderId="31" xfId="0" applyFont="1" applyFill="1" applyBorder="1" applyAlignment="1">
      <alignment horizontal="center" vertical="top"/>
    </xf>
    <xf numFmtId="0" fontId="4" fillId="12" borderId="32" xfId="0" applyFont="1" applyFill="1" applyBorder="1" applyAlignment="1">
      <alignment horizontal="center" vertical="top"/>
    </xf>
    <xf numFmtId="49" fontId="4" fillId="12" borderId="47" xfId="0" applyNumberFormat="1" applyFont="1" applyFill="1" applyBorder="1" applyAlignment="1">
      <alignment horizontal="center" vertical="top"/>
    </xf>
    <xf numFmtId="3" fontId="4" fillId="12" borderId="40" xfId="0" applyNumberFormat="1" applyFont="1" applyFill="1" applyBorder="1" applyAlignment="1">
      <alignment horizontal="left" vertical="top" wrapText="1"/>
    </xf>
    <xf numFmtId="3" fontId="3" fillId="12" borderId="20" xfId="0" applyNumberFormat="1" applyFont="1" applyFill="1" applyBorder="1" applyAlignment="1">
      <alignment horizontal="center" vertical="top"/>
    </xf>
    <xf numFmtId="164" fontId="1" fillId="6" borderId="59" xfId="0" applyNumberFormat="1" applyFont="1" applyFill="1" applyBorder="1" applyAlignment="1">
      <alignment horizontal="center" vertical="top"/>
    </xf>
    <xf numFmtId="164" fontId="1" fillId="6" borderId="24" xfId="0" applyNumberFormat="1" applyFont="1" applyFill="1" applyBorder="1" applyAlignment="1">
      <alignment horizontal="center" vertical="top"/>
    </xf>
    <xf numFmtId="3" fontId="11" fillId="6" borderId="5" xfId="0" applyNumberFormat="1" applyFont="1" applyFill="1" applyBorder="1" applyAlignment="1">
      <alignment horizontal="center" vertical="top" wrapText="1"/>
    </xf>
    <xf numFmtId="3" fontId="11" fillId="6" borderId="61" xfId="0" applyNumberFormat="1" applyFont="1" applyFill="1" applyBorder="1" applyAlignment="1">
      <alignment horizontal="center" vertical="top" wrapText="1"/>
    </xf>
    <xf numFmtId="3" fontId="4" fillId="6" borderId="54" xfId="0" applyNumberFormat="1" applyFont="1" applyFill="1" applyBorder="1" applyAlignment="1">
      <alignment horizontal="center" vertical="top"/>
    </xf>
    <xf numFmtId="49" fontId="37" fillId="0" borderId="72" xfId="0" applyNumberFormat="1" applyFont="1" applyFill="1" applyBorder="1" applyAlignment="1">
      <alignment horizontal="center" vertical="top" textRotation="90"/>
    </xf>
    <xf numFmtId="49" fontId="1" fillId="7" borderId="13" xfId="0" applyNumberFormat="1" applyFont="1" applyFill="1" applyBorder="1" applyAlignment="1">
      <alignment horizontal="center" vertical="top"/>
    </xf>
    <xf numFmtId="3" fontId="19" fillId="6" borderId="36" xfId="0" applyNumberFormat="1" applyFont="1" applyFill="1" applyBorder="1" applyAlignment="1">
      <alignment vertical="top" wrapText="1"/>
    </xf>
    <xf numFmtId="3" fontId="19" fillId="6" borderId="39" xfId="0" applyNumberFormat="1" applyFont="1" applyFill="1" applyBorder="1" applyAlignment="1">
      <alignment vertical="top" wrapText="1"/>
    </xf>
    <xf numFmtId="3" fontId="19" fillId="6" borderId="59" xfId="0" applyNumberFormat="1" applyFont="1" applyFill="1" applyBorder="1" applyAlignment="1">
      <alignment vertical="top" wrapText="1"/>
    </xf>
    <xf numFmtId="3" fontId="4" fillId="6" borderId="75" xfId="0" applyNumberFormat="1" applyFont="1" applyFill="1" applyBorder="1" applyAlignment="1">
      <alignment horizontal="center" vertical="top" wrapText="1"/>
    </xf>
    <xf numFmtId="3" fontId="4" fillId="6" borderId="53" xfId="0" applyNumberFormat="1" applyFont="1" applyFill="1" applyBorder="1" applyAlignment="1">
      <alignment horizontal="center" vertical="top" wrapText="1"/>
    </xf>
    <xf numFmtId="3" fontId="4" fillId="6" borderId="45" xfId="0" applyNumberFormat="1" applyFont="1" applyFill="1" applyBorder="1" applyAlignment="1">
      <alignment horizontal="center" vertical="top" wrapText="1"/>
    </xf>
    <xf numFmtId="3" fontId="4" fillId="6" borderId="72" xfId="0" applyNumberFormat="1" applyFont="1" applyFill="1" applyBorder="1" applyAlignment="1">
      <alignment horizontal="center" vertical="top" wrapText="1"/>
    </xf>
    <xf numFmtId="0" fontId="4" fillId="12" borderId="32" xfId="0" applyFont="1" applyFill="1" applyBorder="1" applyAlignment="1">
      <alignment horizontal="left" vertical="top" wrapText="1"/>
    </xf>
    <xf numFmtId="3" fontId="4" fillId="6" borderId="45" xfId="0" applyNumberFormat="1" applyFont="1" applyFill="1" applyBorder="1" applyAlignment="1">
      <alignment horizontal="center" vertical="top"/>
    </xf>
    <xf numFmtId="3" fontId="4" fillId="6" borderId="54" xfId="0" applyNumberFormat="1" applyFont="1" applyFill="1" applyBorder="1" applyAlignment="1">
      <alignment horizontal="center" vertical="top"/>
    </xf>
    <xf numFmtId="3" fontId="4" fillId="6" borderId="66" xfId="0" applyNumberFormat="1" applyFont="1" applyFill="1" applyBorder="1" applyAlignment="1">
      <alignment horizontal="left" vertical="top" wrapText="1"/>
    </xf>
    <xf numFmtId="3" fontId="4" fillId="0" borderId="52" xfId="0" applyNumberFormat="1" applyFont="1" applyBorder="1" applyAlignment="1">
      <alignment horizontal="left" vertical="top" wrapText="1"/>
    </xf>
    <xf numFmtId="3" fontId="4" fillId="6" borderId="52" xfId="0" applyNumberFormat="1" applyFont="1" applyFill="1" applyBorder="1" applyAlignment="1">
      <alignment horizontal="left" vertical="top" wrapText="1"/>
    </xf>
    <xf numFmtId="3" fontId="4" fillId="0" borderId="11"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3" fontId="4" fillId="0" borderId="52" xfId="0" applyNumberFormat="1" applyFont="1" applyFill="1" applyBorder="1" applyAlignment="1">
      <alignment horizontal="center" vertical="top" wrapText="1"/>
    </xf>
    <xf numFmtId="3" fontId="4" fillId="0" borderId="19" xfId="0" applyNumberFormat="1" applyFont="1" applyFill="1" applyBorder="1" applyAlignment="1">
      <alignment horizontal="center" vertical="top"/>
    </xf>
    <xf numFmtId="3" fontId="4" fillId="0" borderId="66" xfId="0" applyNumberFormat="1" applyFont="1" applyFill="1" applyBorder="1" applyAlignment="1">
      <alignment horizontal="center" vertical="top" wrapText="1"/>
    </xf>
    <xf numFmtId="3" fontId="1" fillId="6" borderId="45" xfId="0" applyNumberFormat="1" applyFont="1" applyFill="1" applyBorder="1" applyAlignment="1">
      <alignment horizontal="center" vertical="top" wrapText="1"/>
    </xf>
    <xf numFmtId="165" fontId="1" fillId="6" borderId="67" xfId="0" applyNumberFormat="1" applyFont="1" applyFill="1" applyBorder="1" applyAlignment="1">
      <alignment horizontal="center" vertical="top"/>
    </xf>
    <xf numFmtId="0" fontId="4" fillId="12" borderId="45" xfId="0" applyFont="1" applyFill="1" applyBorder="1" applyAlignment="1">
      <alignment horizontal="center" vertical="top"/>
    </xf>
    <xf numFmtId="3" fontId="1" fillId="6" borderId="6" xfId="0" applyNumberFormat="1" applyFont="1" applyFill="1" applyBorder="1" applyAlignment="1">
      <alignment horizontal="center" vertical="top"/>
    </xf>
    <xf numFmtId="3" fontId="1" fillId="6" borderId="36" xfId="0" applyNumberFormat="1" applyFont="1" applyFill="1" applyBorder="1" applyAlignment="1">
      <alignment horizontal="center" vertical="top"/>
    </xf>
    <xf numFmtId="1" fontId="1" fillId="6" borderId="19" xfId="0" applyNumberFormat="1" applyFont="1" applyFill="1" applyBorder="1" applyAlignment="1">
      <alignment horizontal="center" vertical="top"/>
    </xf>
    <xf numFmtId="1" fontId="1" fillId="6" borderId="11" xfId="0" applyNumberFormat="1" applyFont="1" applyFill="1" applyBorder="1" applyAlignment="1">
      <alignment horizontal="center" vertical="top"/>
    </xf>
    <xf numFmtId="49" fontId="7" fillId="6" borderId="19" xfId="0" applyNumberFormat="1" applyFont="1" applyFill="1" applyBorder="1" applyAlignment="1">
      <alignment horizontal="center" vertical="top"/>
    </xf>
    <xf numFmtId="3" fontId="1" fillId="0" borderId="19" xfId="0" applyNumberFormat="1" applyFont="1" applyFill="1" applyBorder="1" applyAlignment="1">
      <alignment horizontal="center" vertical="top"/>
    </xf>
    <xf numFmtId="49" fontId="32" fillId="0" borderId="32" xfId="0" applyNumberFormat="1" applyFont="1" applyFill="1" applyBorder="1" applyAlignment="1">
      <alignment horizontal="center" vertical="top" textRotation="90"/>
    </xf>
    <xf numFmtId="165" fontId="1" fillId="0" borderId="29" xfId="0" applyNumberFormat="1" applyFont="1" applyFill="1" applyBorder="1" applyAlignment="1">
      <alignment horizontal="center" vertical="top"/>
    </xf>
    <xf numFmtId="49" fontId="7" fillId="6" borderId="11" xfId="0" applyNumberFormat="1" applyFont="1" applyFill="1" applyBorder="1" applyAlignment="1">
      <alignment horizontal="center" vertical="top"/>
    </xf>
    <xf numFmtId="49" fontId="32" fillId="0" borderId="43" xfId="0" applyNumberFormat="1" applyFont="1" applyFill="1" applyBorder="1" applyAlignment="1">
      <alignment horizontal="center" vertical="top" textRotation="90"/>
    </xf>
    <xf numFmtId="165" fontId="1" fillId="0" borderId="2" xfId="0" applyNumberFormat="1" applyFont="1" applyFill="1" applyBorder="1" applyAlignment="1">
      <alignment horizontal="center" vertical="top"/>
    </xf>
    <xf numFmtId="49" fontId="1" fillId="6" borderId="32" xfId="0" applyNumberFormat="1" applyFont="1" applyFill="1" applyBorder="1" applyAlignment="1">
      <alignment horizontal="center" vertical="top"/>
    </xf>
    <xf numFmtId="49" fontId="1" fillId="6" borderId="15" xfId="0" applyNumberFormat="1" applyFont="1" applyFill="1" applyBorder="1" applyAlignment="1">
      <alignment horizontal="center" vertical="top"/>
    </xf>
    <xf numFmtId="3" fontId="4" fillId="0" borderId="59" xfId="0" applyNumberFormat="1" applyFont="1" applyBorder="1" applyAlignment="1">
      <alignment vertical="top"/>
    </xf>
    <xf numFmtId="3" fontId="1" fillId="6" borderId="11" xfId="0" applyNumberFormat="1" applyFont="1" applyFill="1" applyBorder="1" applyAlignment="1">
      <alignment horizontal="left" vertical="top" wrapText="1"/>
    </xf>
    <xf numFmtId="3" fontId="11" fillId="0" borderId="41" xfId="0" applyNumberFormat="1" applyFont="1" applyFill="1" applyBorder="1" applyAlignment="1">
      <alignment horizontal="center" vertical="center" wrapText="1"/>
    </xf>
    <xf numFmtId="3" fontId="11" fillId="0" borderId="39" xfId="0" applyNumberFormat="1" applyFont="1" applyFill="1" applyBorder="1" applyAlignment="1">
      <alignment vertical="center" textRotation="90" wrapText="1"/>
    </xf>
    <xf numFmtId="3" fontId="11" fillId="0" borderId="52" xfId="0" applyNumberFormat="1" applyFont="1" applyFill="1" applyBorder="1" applyAlignment="1">
      <alignment vertical="center" textRotation="90" wrapText="1"/>
    </xf>
    <xf numFmtId="3" fontId="11" fillId="0" borderId="39" xfId="0" applyNumberFormat="1" applyFont="1" applyFill="1" applyBorder="1" applyAlignment="1">
      <alignment horizontal="center" vertical="center" wrapText="1"/>
    </xf>
    <xf numFmtId="3" fontId="11" fillId="0" borderId="49" xfId="0" applyNumberFormat="1" applyFont="1" applyFill="1" applyBorder="1" applyAlignment="1">
      <alignment horizontal="center" vertical="center" wrapText="1"/>
    </xf>
    <xf numFmtId="3" fontId="11" fillId="0" borderId="41" xfId="0" applyNumberFormat="1" applyFont="1" applyFill="1" applyBorder="1" applyAlignment="1">
      <alignment vertical="center" textRotation="90" wrapText="1"/>
    </xf>
    <xf numFmtId="3" fontId="11" fillId="0" borderId="37" xfId="0" applyNumberFormat="1" applyFont="1" applyFill="1" applyBorder="1" applyAlignment="1">
      <alignment horizontal="center" vertical="top" wrapText="1"/>
    </xf>
    <xf numFmtId="3" fontId="11" fillId="0" borderId="1" xfId="0" applyNumberFormat="1" applyFont="1" applyFill="1" applyBorder="1" applyAlignment="1">
      <alignment horizontal="center" vertical="top" wrapText="1"/>
    </xf>
    <xf numFmtId="3" fontId="11" fillId="0" borderId="0" xfId="0" applyNumberFormat="1" applyFont="1" applyFill="1" applyBorder="1" applyAlignment="1">
      <alignment horizontal="center" vertical="top" wrapText="1"/>
    </xf>
    <xf numFmtId="3" fontId="7" fillId="0" borderId="39" xfId="0" applyNumberFormat="1" applyFont="1" applyFill="1" applyBorder="1" applyAlignment="1">
      <alignment vertical="center" textRotation="90" wrapText="1"/>
    </xf>
    <xf numFmtId="3" fontId="7" fillId="0" borderId="0" xfId="0" applyNumberFormat="1" applyFont="1" applyFill="1" applyBorder="1" applyAlignment="1">
      <alignment vertical="center" textRotation="90" wrapText="1"/>
    </xf>
    <xf numFmtId="3" fontId="11" fillId="0" borderId="0" xfId="0" applyNumberFormat="1" applyFont="1" applyFill="1" applyBorder="1" applyAlignment="1">
      <alignment horizontal="center" vertical="top" textRotation="180" wrapText="1"/>
    </xf>
    <xf numFmtId="3" fontId="11" fillId="0" borderId="51" xfId="0" applyNumberFormat="1" applyFont="1" applyFill="1" applyBorder="1" applyAlignment="1">
      <alignment horizontal="center" vertical="top" textRotation="180" wrapText="1"/>
    </xf>
    <xf numFmtId="3" fontId="11" fillId="0" borderId="37" xfId="0" applyNumberFormat="1" applyFont="1" applyFill="1" applyBorder="1" applyAlignment="1">
      <alignment horizontal="center" vertical="center" textRotation="90" wrapText="1"/>
    </xf>
    <xf numFmtId="3" fontId="11" fillId="0" borderId="41" xfId="0" applyNumberFormat="1" applyFont="1" applyFill="1" applyBorder="1" applyAlignment="1">
      <alignment horizontal="center" vertical="center" textRotation="90" wrapText="1"/>
    </xf>
    <xf numFmtId="3" fontId="11" fillId="0" borderId="43" xfId="0" applyNumberFormat="1" applyFont="1" applyFill="1" applyBorder="1" applyAlignment="1">
      <alignment horizontal="center" vertical="center" textRotation="90" wrapText="1"/>
    </xf>
    <xf numFmtId="3" fontId="11" fillId="0" borderId="11" xfId="0" applyNumberFormat="1" applyFont="1" applyFill="1" applyBorder="1" applyAlignment="1">
      <alignment horizontal="center" vertical="center" textRotation="90" wrapText="1"/>
    </xf>
    <xf numFmtId="3" fontId="11" fillId="0" borderId="49" xfId="0" applyNumberFormat="1" applyFont="1" applyFill="1" applyBorder="1" applyAlignment="1">
      <alignment horizontal="center" vertical="center" textRotation="90" wrapText="1"/>
    </xf>
    <xf numFmtId="3" fontId="7" fillId="0" borderId="11" xfId="0" applyNumberFormat="1" applyFont="1" applyFill="1" applyBorder="1" applyAlignment="1">
      <alignment horizontal="center" vertical="center" textRotation="90" wrapText="1"/>
    </xf>
    <xf numFmtId="3" fontId="11" fillId="0" borderId="59" xfId="0" applyNumberFormat="1" applyFont="1" applyFill="1" applyBorder="1" applyAlignment="1">
      <alignment horizontal="center" vertical="center" textRotation="90" wrapText="1"/>
    </xf>
    <xf numFmtId="3" fontId="11" fillId="0" borderId="0" xfId="0" applyNumberFormat="1" applyFont="1" applyFill="1" applyBorder="1" applyAlignment="1">
      <alignment horizontal="center" vertical="center" wrapText="1"/>
    </xf>
    <xf numFmtId="3" fontId="38" fillId="0" borderId="41" xfId="0" applyNumberFormat="1" applyFont="1" applyBorder="1" applyAlignment="1">
      <alignment horizontal="center" vertical="center" wrapText="1"/>
    </xf>
    <xf numFmtId="3" fontId="11" fillId="6" borderId="35" xfId="0" applyNumberFormat="1" applyFont="1" applyFill="1" applyBorder="1" applyAlignment="1">
      <alignment horizontal="center" vertical="top" wrapText="1"/>
    </xf>
    <xf numFmtId="3" fontId="11" fillId="6" borderId="0" xfId="0" applyNumberFormat="1" applyFont="1" applyFill="1" applyBorder="1" applyAlignment="1">
      <alignment horizontal="center" vertical="top" wrapText="1"/>
    </xf>
    <xf numFmtId="3" fontId="11" fillId="0" borderId="35" xfId="0" applyNumberFormat="1" applyFont="1" applyFill="1" applyBorder="1" applyAlignment="1">
      <alignment horizontal="center" vertical="top" wrapText="1"/>
    </xf>
    <xf numFmtId="3" fontId="38" fillId="0" borderId="0" xfId="0" applyNumberFormat="1" applyFont="1" applyBorder="1" applyAlignment="1">
      <alignment horizontal="center" vertical="top" wrapText="1"/>
    </xf>
    <xf numFmtId="3" fontId="7" fillId="0" borderId="37" xfId="0" applyNumberFormat="1" applyFont="1" applyFill="1" applyBorder="1" applyAlignment="1">
      <alignment horizontal="center" vertical="top" textRotation="180" wrapText="1"/>
    </xf>
    <xf numFmtId="3" fontId="39" fillId="6" borderId="43" xfId="0" applyNumberFormat="1" applyFont="1" applyFill="1" applyBorder="1" applyAlignment="1">
      <alignment horizontal="center" vertical="top" wrapText="1"/>
    </xf>
    <xf numFmtId="3" fontId="39" fillId="6" borderId="39" xfId="0" applyNumberFormat="1" applyFont="1" applyFill="1" applyBorder="1" applyAlignment="1">
      <alignment horizontal="center" vertical="top" wrapText="1"/>
    </xf>
    <xf numFmtId="3" fontId="11" fillId="6" borderId="11" xfId="0" applyNumberFormat="1" applyFont="1" applyFill="1" applyBorder="1" applyAlignment="1">
      <alignment vertical="center" textRotation="90" wrapText="1"/>
    </xf>
    <xf numFmtId="3" fontId="40" fillId="0" borderId="43" xfId="0" applyNumberFormat="1" applyFont="1" applyFill="1" applyBorder="1" applyAlignment="1">
      <alignment horizontal="center" vertical="top" wrapText="1"/>
    </xf>
    <xf numFmtId="3" fontId="7" fillId="0" borderId="52" xfId="0" applyNumberFormat="1" applyFont="1" applyFill="1" applyBorder="1" applyAlignment="1">
      <alignment horizontal="center" vertical="top" wrapText="1"/>
    </xf>
    <xf numFmtId="3" fontId="11" fillId="0" borderId="36" xfId="0" applyNumberFormat="1" applyFont="1" applyBorder="1" applyAlignment="1">
      <alignment horizontal="center" vertical="top" textRotation="90"/>
    </xf>
    <xf numFmtId="3" fontId="11" fillId="0" borderId="41" xfId="0" applyNumberFormat="1" applyFont="1" applyBorder="1" applyAlignment="1">
      <alignment horizontal="center" vertical="top" textRotation="90"/>
    </xf>
    <xf numFmtId="3" fontId="11" fillId="0" borderId="39" xfId="0" applyNumberFormat="1" applyFont="1" applyBorder="1" applyAlignment="1">
      <alignment horizontal="center" vertical="top" textRotation="90"/>
    </xf>
    <xf numFmtId="3" fontId="11" fillId="0" borderId="36" xfId="0" applyNumberFormat="1" applyFont="1" applyBorder="1" applyAlignment="1">
      <alignment vertical="center" textRotation="90"/>
    </xf>
    <xf numFmtId="3" fontId="11" fillId="0" borderId="39" xfId="0" applyNumberFormat="1" applyFont="1" applyBorder="1" applyAlignment="1">
      <alignment vertical="center" textRotation="90"/>
    </xf>
    <xf numFmtId="3" fontId="11" fillId="0" borderId="0" xfId="0" applyNumberFormat="1" applyFont="1" applyBorder="1" applyAlignment="1">
      <alignment horizontal="center" vertical="top" textRotation="90"/>
    </xf>
    <xf numFmtId="3" fontId="11" fillId="0" borderId="62" xfId="0" applyNumberFormat="1" applyFont="1" applyBorder="1" applyAlignment="1">
      <alignment horizontal="center" vertical="top" textRotation="90"/>
    </xf>
    <xf numFmtId="0" fontId="41" fillId="0" borderId="0" xfId="0" applyFont="1" applyAlignment="1">
      <alignment horizontal="center" vertical="top"/>
    </xf>
    <xf numFmtId="1" fontId="4" fillId="6" borderId="19" xfId="0" applyNumberFormat="1" applyFont="1" applyFill="1" applyBorder="1" applyAlignment="1">
      <alignment horizontal="center" vertical="top"/>
    </xf>
    <xf numFmtId="1" fontId="4" fillId="6" borderId="15" xfId="0" applyNumberFormat="1" applyFont="1" applyFill="1" applyBorder="1" applyAlignment="1">
      <alignment horizontal="center" vertical="top"/>
    </xf>
    <xf numFmtId="3" fontId="4" fillId="6" borderId="24" xfId="0" applyNumberFormat="1" applyFont="1" applyFill="1" applyBorder="1" applyAlignment="1">
      <alignment horizontal="center" vertical="top"/>
    </xf>
    <xf numFmtId="49" fontId="4" fillId="6" borderId="15" xfId="0" applyNumberFormat="1" applyFont="1" applyFill="1" applyBorder="1" applyAlignment="1">
      <alignment horizontal="center" vertical="top"/>
    </xf>
    <xf numFmtId="1" fontId="4" fillId="6" borderId="11" xfId="0" applyNumberFormat="1" applyFont="1" applyFill="1" applyBorder="1" applyAlignment="1">
      <alignment horizontal="center" vertical="top"/>
    </xf>
    <xf numFmtId="49" fontId="4" fillId="6" borderId="39" xfId="0" applyNumberFormat="1" applyFont="1" applyFill="1" applyBorder="1" applyAlignment="1">
      <alignment horizontal="center" vertical="top"/>
    </xf>
    <xf numFmtId="0" fontId="1" fillId="6" borderId="27" xfId="0" applyFont="1" applyFill="1" applyBorder="1" applyAlignment="1">
      <alignment vertical="top" wrapText="1"/>
    </xf>
    <xf numFmtId="0" fontId="1" fillId="0" borderId="49" xfId="0" applyFont="1" applyFill="1" applyBorder="1" applyAlignment="1">
      <alignment vertical="top" wrapText="1"/>
    </xf>
    <xf numFmtId="0" fontId="1" fillId="6" borderId="30" xfId="0" applyFont="1" applyFill="1" applyBorder="1" applyAlignment="1">
      <alignment vertical="top" wrapText="1"/>
    </xf>
    <xf numFmtId="0" fontId="1" fillId="6" borderId="49" xfId="0" applyFont="1" applyFill="1" applyBorder="1" applyAlignment="1">
      <alignment vertical="top" wrapText="1"/>
    </xf>
    <xf numFmtId="0" fontId="1" fillId="0" borderId="30" xfId="0" applyFont="1" applyFill="1" applyBorder="1" applyAlignment="1">
      <alignment vertical="top" wrapText="1"/>
    </xf>
    <xf numFmtId="0" fontId="15" fillId="0" borderId="0" xfId="0" applyFont="1" applyBorder="1" applyAlignment="1">
      <alignment horizontal="right" vertical="top" wrapText="1"/>
    </xf>
    <xf numFmtId="0" fontId="12" fillId="7" borderId="0" xfId="0" applyFont="1" applyFill="1" applyAlignment="1">
      <alignment horizontal="left" vertical="top" wrapText="1"/>
    </xf>
    <xf numFmtId="0" fontId="15" fillId="7" borderId="0" xfId="0" applyFont="1" applyFill="1" applyAlignment="1">
      <alignment horizontal="left" vertical="top" wrapText="1"/>
    </xf>
    <xf numFmtId="0" fontId="15" fillId="7" borderId="0" xfId="0" applyFont="1" applyFill="1" applyAlignment="1">
      <alignment wrapText="1"/>
    </xf>
    <xf numFmtId="0" fontId="12" fillId="0" borderId="0" xfId="0" applyFont="1" applyAlignment="1">
      <alignment horizontal="left" vertical="top" wrapText="1"/>
    </xf>
    <xf numFmtId="0" fontId="29" fillId="0" borderId="0" xfId="1" applyFont="1" applyBorder="1" applyAlignment="1">
      <alignment horizontal="left" vertical="top" wrapText="1"/>
    </xf>
    <xf numFmtId="0" fontId="29" fillId="0" borderId="0" xfId="1" applyFont="1" applyAlignment="1">
      <alignment horizontal="left" vertical="center" wrapText="1"/>
    </xf>
    <xf numFmtId="0" fontId="16" fillId="7" borderId="0" xfId="0" applyFont="1" applyFill="1" applyAlignment="1">
      <alignment horizontal="center" vertical="top" wrapText="1"/>
    </xf>
    <xf numFmtId="0" fontId="14" fillId="7" borderId="0" xfId="0" applyFont="1" applyFill="1" applyAlignment="1">
      <alignment horizontal="left" vertical="top" wrapText="1"/>
    </xf>
    <xf numFmtId="0" fontId="16" fillId="7" borderId="0" xfId="0" applyFont="1" applyFill="1" applyAlignment="1">
      <alignment horizontal="justify" vertical="top" wrapText="1"/>
    </xf>
    <xf numFmtId="0" fontId="12" fillId="0" borderId="0" xfId="0" applyFont="1" applyFill="1" applyAlignment="1">
      <alignment horizontal="left" vertical="top" wrapText="1"/>
    </xf>
    <xf numFmtId="0" fontId="15" fillId="7" borderId="0" xfId="0" applyFont="1" applyFill="1" applyBorder="1" applyAlignment="1">
      <alignment horizontal="left" vertical="top" wrapText="1"/>
    </xf>
    <xf numFmtId="3" fontId="4" fillId="6" borderId="43" xfId="0" applyNumberFormat="1" applyFont="1" applyFill="1" applyBorder="1" applyAlignment="1">
      <alignment horizontal="left" vertical="top" wrapText="1"/>
    </xf>
    <xf numFmtId="3" fontId="4" fillId="6" borderId="59" xfId="0" applyNumberFormat="1" applyFont="1" applyFill="1" applyBorder="1" applyAlignment="1">
      <alignment horizontal="left" vertical="top" wrapText="1"/>
    </xf>
    <xf numFmtId="3" fontId="4" fillId="6" borderId="37" xfId="0" applyNumberFormat="1" applyFont="1" applyFill="1" applyBorder="1" applyAlignment="1">
      <alignment horizontal="left" vertical="top" wrapText="1"/>
    </xf>
    <xf numFmtId="3" fontId="4" fillId="6" borderId="6" xfId="0" applyNumberFormat="1" applyFont="1" applyFill="1" applyBorder="1" applyAlignment="1">
      <alignment horizontal="left" vertical="top" wrapText="1"/>
    </xf>
    <xf numFmtId="3" fontId="4" fillId="6" borderId="49" xfId="0" applyNumberFormat="1" applyFont="1" applyFill="1" applyBorder="1" applyAlignment="1">
      <alignment horizontal="left" vertical="top" wrapText="1"/>
    </xf>
    <xf numFmtId="3" fontId="4" fillId="6" borderId="66" xfId="0" applyNumberFormat="1" applyFont="1" applyFill="1" applyBorder="1" applyAlignment="1">
      <alignment horizontal="left" vertical="top" wrapText="1"/>
    </xf>
    <xf numFmtId="3" fontId="4" fillId="12" borderId="42" xfId="0" applyNumberFormat="1" applyFont="1" applyFill="1" applyBorder="1" applyAlignment="1">
      <alignment horizontal="left" vertical="top" wrapText="1"/>
    </xf>
    <xf numFmtId="3" fontId="4" fillId="12" borderId="32" xfId="0" applyNumberFormat="1" applyFont="1" applyFill="1" applyBorder="1" applyAlignment="1">
      <alignment horizontal="left" vertical="top" wrapText="1"/>
    </xf>
    <xf numFmtId="3" fontId="4" fillId="12" borderId="62" xfId="0" applyNumberFormat="1" applyFont="1" applyFill="1" applyBorder="1" applyAlignment="1">
      <alignment horizontal="left" vertical="top" wrapText="1"/>
    </xf>
    <xf numFmtId="3" fontId="4" fillId="12" borderId="24" xfId="0" applyNumberFormat="1" applyFont="1" applyFill="1" applyBorder="1" applyAlignment="1">
      <alignment horizontal="left" vertical="top" wrapText="1"/>
    </xf>
    <xf numFmtId="0" fontId="4" fillId="12" borderId="42" xfId="0" applyFont="1" applyFill="1" applyBorder="1" applyAlignment="1">
      <alignment horizontal="left" vertical="top" wrapText="1"/>
    </xf>
    <xf numFmtId="0" fontId="4" fillId="12" borderId="32" xfId="0" applyFont="1" applyFill="1" applyBorder="1" applyAlignment="1">
      <alignment horizontal="left" vertical="top" wrapText="1"/>
    </xf>
    <xf numFmtId="0" fontId="4" fillId="12" borderId="41" xfId="0" applyFont="1" applyFill="1" applyBorder="1" applyAlignment="1">
      <alignment horizontal="left" vertical="top" wrapText="1"/>
    </xf>
    <xf numFmtId="0" fontId="4" fillId="12" borderId="15" xfId="0" applyFont="1" applyFill="1" applyBorder="1" applyAlignment="1">
      <alignment horizontal="left" vertical="top" wrapText="1"/>
    </xf>
    <xf numFmtId="0" fontId="4" fillId="12" borderId="49" xfId="0" applyFont="1" applyFill="1" applyBorder="1" applyAlignment="1">
      <alignment horizontal="left" vertical="top" wrapText="1"/>
    </xf>
    <xf numFmtId="0" fontId="4" fillId="12" borderId="66" xfId="0" applyFont="1" applyFill="1" applyBorder="1" applyAlignment="1">
      <alignment horizontal="left" vertical="top" wrapText="1"/>
    </xf>
    <xf numFmtId="3" fontId="1" fillId="11" borderId="42" xfId="0" applyNumberFormat="1" applyFont="1" applyFill="1" applyBorder="1" applyAlignment="1">
      <alignment horizontal="left" vertical="top" wrapText="1"/>
    </xf>
    <xf numFmtId="3" fontId="1" fillId="11" borderId="32" xfId="0" applyNumberFormat="1" applyFont="1" applyFill="1" applyBorder="1" applyAlignment="1">
      <alignment horizontal="left" vertical="top" wrapText="1"/>
    </xf>
    <xf numFmtId="3" fontId="1" fillId="11" borderId="49" xfId="0" applyNumberFormat="1" applyFont="1" applyFill="1" applyBorder="1" applyAlignment="1">
      <alignment horizontal="left" vertical="top" wrapText="1"/>
    </xf>
    <xf numFmtId="3" fontId="1" fillId="11" borderId="66" xfId="0" applyNumberFormat="1" applyFont="1" applyFill="1" applyBorder="1" applyAlignment="1">
      <alignment horizontal="left" vertical="top" wrapText="1"/>
    </xf>
    <xf numFmtId="3" fontId="1" fillId="12" borderId="42" xfId="0" applyNumberFormat="1" applyFont="1" applyFill="1" applyBorder="1" applyAlignment="1">
      <alignment horizontal="left" vertical="top" wrapText="1"/>
    </xf>
    <xf numFmtId="3" fontId="1" fillId="12" borderId="32" xfId="0" applyNumberFormat="1" applyFont="1" applyFill="1" applyBorder="1" applyAlignment="1">
      <alignment horizontal="left" vertical="top" wrapText="1"/>
    </xf>
    <xf numFmtId="3" fontId="1" fillId="12" borderId="49" xfId="0" applyNumberFormat="1" applyFont="1" applyFill="1" applyBorder="1" applyAlignment="1">
      <alignment horizontal="left" vertical="top" wrapText="1"/>
    </xf>
    <xf numFmtId="3" fontId="1" fillId="12" borderId="66" xfId="0" applyNumberFormat="1" applyFont="1" applyFill="1" applyBorder="1" applyAlignment="1">
      <alignment horizontal="left" vertical="top" wrapText="1"/>
    </xf>
    <xf numFmtId="3" fontId="4" fillId="6" borderId="42" xfId="0" applyNumberFormat="1" applyFont="1" applyFill="1" applyBorder="1" applyAlignment="1">
      <alignment horizontal="left" vertical="top" wrapText="1"/>
    </xf>
    <xf numFmtId="3" fontId="4" fillId="6" borderId="32" xfId="0" applyNumberFormat="1" applyFont="1" applyFill="1" applyBorder="1" applyAlignment="1">
      <alignment horizontal="left" vertical="top" wrapText="1"/>
    </xf>
    <xf numFmtId="3" fontId="4" fillId="6" borderId="41" xfId="0" applyNumberFormat="1" applyFont="1" applyFill="1" applyBorder="1" applyAlignment="1">
      <alignment horizontal="left" vertical="top" wrapText="1"/>
    </xf>
    <xf numFmtId="3" fontId="4" fillId="6" borderId="15" xfId="0" applyNumberFormat="1" applyFont="1" applyFill="1" applyBorder="1" applyAlignment="1">
      <alignment horizontal="left" vertical="top" wrapText="1"/>
    </xf>
    <xf numFmtId="3" fontId="4" fillId="0" borderId="30" xfId="0" applyNumberFormat="1" applyFont="1" applyFill="1" applyBorder="1" applyAlignment="1">
      <alignment horizontal="left" vertical="top" wrapText="1"/>
    </xf>
    <xf numFmtId="3" fontId="4" fillId="0" borderId="19" xfId="0" applyNumberFormat="1" applyFont="1" applyFill="1" applyBorder="1" applyAlignment="1">
      <alignment horizontal="left" vertical="top" wrapText="1"/>
    </xf>
    <xf numFmtId="3" fontId="4" fillId="0" borderId="55" xfId="0" applyNumberFormat="1" applyFont="1" applyFill="1" applyBorder="1" applyAlignment="1">
      <alignment horizontal="left" vertical="top" wrapText="1"/>
    </xf>
    <xf numFmtId="3" fontId="4" fillId="0" borderId="57" xfId="0" applyNumberFormat="1" applyFont="1" applyFill="1" applyBorder="1" applyAlignment="1">
      <alignment horizontal="left" vertical="top" wrapText="1"/>
    </xf>
    <xf numFmtId="3" fontId="4" fillId="0" borderId="37" xfId="0" applyNumberFormat="1" applyFont="1" applyFill="1" applyBorder="1" applyAlignment="1">
      <alignment horizontal="left" vertical="top" wrapText="1"/>
    </xf>
    <xf numFmtId="3" fontId="4" fillId="0" borderId="6" xfId="0" applyNumberFormat="1" applyFont="1" applyFill="1" applyBorder="1" applyAlignment="1">
      <alignment horizontal="left" vertical="top" wrapText="1"/>
    </xf>
    <xf numFmtId="3" fontId="4" fillId="0" borderId="41" xfId="0" applyNumberFormat="1" applyFont="1" applyFill="1" applyBorder="1" applyAlignment="1">
      <alignment horizontal="left" vertical="top" wrapText="1"/>
    </xf>
    <xf numFmtId="3" fontId="4" fillId="0" borderId="15" xfId="0" applyNumberFormat="1" applyFont="1" applyFill="1" applyBorder="1" applyAlignment="1">
      <alignment horizontal="left" vertical="top" wrapText="1"/>
    </xf>
    <xf numFmtId="3" fontId="4" fillId="0" borderId="62" xfId="0" applyNumberFormat="1" applyFont="1" applyFill="1" applyBorder="1" applyAlignment="1">
      <alignment horizontal="left" vertical="top" wrapText="1"/>
    </xf>
    <xf numFmtId="3" fontId="4" fillId="0" borderId="24" xfId="0" applyNumberFormat="1" applyFont="1" applyFill="1" applyBorder="1" applyAlignment="1">
      <alignment horizontal="left" vertical="top" wrapText="1"/>
    </xf>
    <xf numFmtId="3" fontId="1" fillId="12" borderId="30" xfId="0" applyNumberFormat="1" applyFont="1" applyFill="1" applyBorder="1" applyAlignment="1">
      <alignment horizontal="left" vertical="top" wrapText="1"/>
    </xf>
    <xf numFmtId="3" fontId="1" fillId="12" borderId="19" xfId="0" applyNumberFormat="1" applyFont="1" applyFill="1" applyBorder="1" applyAlignment="1">
      <alignment horizontal="left" vertical="top" wrapText="1"/>
    </xf>
    <xf numFmtId="3" fontId="1" fillId="0" borderId="37" xfId="0" applyNumberFormat="1" applyFont="1" applyFill="1" applyBorder="1" applyAlignment="1">
      <alignment horizontal="left" vertical="top" wrapText="1"/>
    </xf>
    <xf numFmtId="3" fontId="1" fillId="0" borderId="6" xfId="0" applyNumberFormat="1" applyFont="1" applyFill="1" applyBorder="1" applyAlignment="1">
      <alignment horizontal="left" vertical="top" wrapText="1"/>
    </xf>
    <xf numFmtId="3" fontId="1" fillId="0" borderId="62" xfId="0" applyNumberFormat="1" applyFont="1" applyFill="1" applyBorder="1" applyAlignment="1">
      <alignment horizontal="left" vertical="top" wrapText="1"/>
    </xf>
    <xf numFmtId="3" fontId="1" fillId="0" borderId="24" xfId="0" applyNumberFormat="1" applyFont="1" applyFill="1" applyBorder="1" applyAlignment="1">
      <alignment horizontal="left" vertical="top" wrapText="1"/>
    </xf>
    <xf numFmtId="1" fontId="4" fillId="6" borderId="43" xfId="0" applyNumberFormat="1" applyFont="1" applyFill="1" applyBorder="1" applyAlignment="1">
      <alignment horizontal="left" vertical="top" wrapText="1"/>
    </xf>
    <xf numFmtId="1" fontId="4" fillId="6" borderId="59" xfId="0" applyNumberFormat="1" applyFont="1" applyFill="1" applyBorder="1" applyAlignment="1">
      <alignment horizontal="left" vertical="top" wrapText="1"/>
    </xf>
    <xf numFmtId="3" fontId="6" fillId="5" borderId="9" xfId="0" applyNumberFormat="1" applyFont="1" applyFill="1" applyBorder="1" applyAlignment="1">
      <alignment horizontal="left" vertical="top" wrapText="1"/>
    </xf>
    <xf numFmtId="3" fontId="6" fillId="5" borderId="10" xfId="0" applyNumberFormat="1" applyFont="1" applyFill="1" applyBorder="1" applyAlignment="1">
      <alignment horizontal="left" vertical="top" wrapText="1"/>
    </xf>
    <xf numFmtId="3" fontId="1" fillId="6" borderId="32"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top" wrapText="1"/>
    </xf>
    <xf numFmtId="3" fontId="3" fillId="12" borderId="42" xfId="0" applyNumberFormat="1" applyFont="1" applyFill="1" applyBorder="1" applyAlignment="1">
      <alignment horizontal="left" vertical="top" wrapText="1"/>
    </xf>
    <xf numFmtId="3" fontId="3" fillId="12" borderId="41" xfId="0" applyNumberFormat="1" applyFont="1" applyFill="1" applyBorder="1" applyAlignment="1">
      <alignment horizontal="left" vertical="top" wrapText="1"/>
    </xf>
    <xf numFmtId="3" fontId="1" fillId="6" borderId="66" xfId="0" applyNumberFormat="1" applyFont="1" applyFill="1" applyBorder="1" applyAlignment="1">
      <alignment horizontal="center" vertical="top" wrapText="1"/>
    </xf>
    <xf numFmtId="3" fontId="4" fillId="6" borderId="35" xfId="0" applyNumberFormat="1" applyFont="1" applyFill="1" applyBorder="1" applyAlignment="1">
      <alignment horizontal="left" vertical="top" wrapText="1"/>
    </xf>
    <xf numFmtId="3" fontId="4" fillId="6" borderId="51" xfId="0" applyNumberFormat="1" applyFont="1" applyFill="1" applyBorder="1" applyAlignment="1">
      <alignment horizontal="left" vertical="top" wrapText="1"/>
    </xf>
    <xf numFmtId="3" fontId="3" fillId="6" borderId="7" xfId="0" applyNumberFormat="1" applyFont="1" applyFill="1" applyBorder="1" applyAlignment="1">
      <alignment horizontal="left" vertical="top" wrapText="1"/>
    </xf>
    <xf numFmtId="3" fontId="3" fillId="6" borderId="48" xfId="0" applyNumberFormat="1" applyFont="1" applyFill="1" applyBorder="1" applyAlignment="1">
      <alignment horizontal="left" vertical="top" wrapText="1"/>
    </xf>
    <xf numFmtId="3" fontId="11" fillId="0" borderId="43" xfId="0" applyNumberFormat="1" applyFont="1" applyFill="1" applyBorder="1" applyAlignment="1">
      <alignment horizontal="center" vertical="center" textRotation="90" wrapText="1"/>
    </xf>
    <xf numFmtId="3" fontId="11" fillId="0" borderId="59" xfId="0" applyNumberFormat="1" applyFont="1" applyFill="1" applyBorder="1" applyAlignment="1">
      <alignment horizontal="center" vertical="center" textRotation="90" wrapText="1"/>
    </xf>
    <xf numFmtId="3" fontId="4" fillId="6" borderId="30" xfId="0" applyNumberFormat="1" applyFont="1" applyFill="1" applyBorder="1" applyAlignment="1">
      <alignment horizontal="left" vertical="top" wrapText="1"/>
    </xf>
    <xf numFmtId="3" fontId="4" fillId="6" borderId="19" xfId="0" applyNumberFormat="1" applyFont="1" applyFill="1" applyBorder="1" applyAlignment="1">
      <alignment horizontal="left" vertical="top" wrapText="1"/>
    </xf>
    <xf numFmtId="49" fontId="4" fillId="0" borderId="30" xfId="0" applyNumberFormat="1" applyFont="1" applyFill="1" applyBorder="1" applyAlignment="1">
      <alignment horizontal="left" vertical="top" wrapText="1"/>
    </xf>
    <xf numFmtId="49" fontId="4" fillId="0" borderId="19" xfId="0" applyNumberFormat="1" applyFont="1" applyFill="1" applyBorder="1" applyAlignment="1">
      <alignment horizontal="left" vertical="top" wrapText="1"/>
    </xf>
    <xf numFmtId="3" fontId="1" fillId="6" borderId="42" xfId="0" applyNumberFormat="1" applyFont="1" applyFill="1" applyBorder="1" applyAlignment="1">
      <alignment horizontal="left" vertical="top" wrapText="1"/>
    </xf>
    <xf numFmtId="3" fontId="1" fillId="6" borderId="32" xfId="0" applyNumberFormat="1" applyFont="1" applyFill="1" applyBorder="1" applyAlignment="1">
      <alignment horizontal="left" vertical="top" wrapText="1"/>
    </xf>
    <xf numFmtId="3" fontId="1" fillId="6" borderId="49" xfId="0" applyNumberFormat="1" applyFont="1" applyFill="1" applyBorder="1" applyAlignment="1">
      <alignment horizontal="left" vertical="top" wrapText="1"/>
    </xf>
    <xf numFmtId="3" fontId="1" fillId="6" borderId="66" xfId="0" applyNumberFormat="1" applyFont="1" applyFill="1" applyBorder="1" applyAlignment="1">
      <alignment horizontal="left" vertical="top" wrapText="1"/>
    </xf>
    <xf numFmtId="3" fontId="1" fillId="6" borderId="27" xfId="0" applyNumberFormat="1" applyFont="1" applyFill="1" applyBorder="1" applyAlignment="1">
      <alignment horizontal="left" vertical="top" wrapText="1"/>
    </xf>
    <xf numFmtId="3" fontId="1" fillId="6" borderId="29" xfId="0" applyNumberFormat="1" applyFont="1" applyFill="1" applyBorder="1" applyAlignment="1">
      <alignment horizontal="left" vertical="top" wrapText="1"/>
    </xf>
    <xf numFmtId="3" fontId="3" fillId="10" borderId="33" xfId="0" applyNumberFormat="1" applyFont="1" applyFill="1" applyBorder="1" applyAlignment="1">
      <alignment horizontal="left" vertical="top" wrapText="1"/>
    </xf>
    <xf numFmtId="3" fontId="3" fillId="10" borderId="34" xfId="0" applyNumberFormat="1" applyFont="1" applyFill="1" applyBorder="1" applyAlignment="1">
      <alignment horizontal="left" vertical="top" wrapText="1"/>
    </xf>
    <xf numFmtId="3" fontId="3" fillId="10" borderId="65" xfId="0" applyNumberFormat="1" applyFont="1" applyFill="1" applyBorder="1" applyAlignment="1">
      <alignment horizontal="left" vertical="top" wrapText="1"/>
    </xf>
    <xf numFmtId="3" fontId="4" fillId="0" borderId="11" xfId="0" applyNumberFormat="1" applyFont="1" applyBorder="1" applyAlignment="1">
      <alignment horizontal="left" vertical="top" wrapText="1"/>
    </xf>
    <xf numFmtId="3" fontId="4" fillId="0" borderId="12" xfId="0" applyNumberFormat="1" applyFont="1" applyBorder="1" applyAlignment="1">
      <alignment horizontal="left" vertical="top" wrapText="1"/>
    </xf>
    <xf numFmtId="3" fontId="4" fillId="0" borderId="17" xfId="0" applyNumberFormat="1" applyFont="1" applyBorder="1" applyAlignment="1">
      <alignment horizontal="left" vertical="top" wrapText="1"/>
    </xf>
    <xf numFmtId="3" fontId="4" fillId="0" borderId="52" xfId="0" applyNumberFormat="1" applyFont="1" applyBorder="1" applyAlignment="1">
      <alignment horizontal="left" vertical="top" wrapText="1"/>
    </xf>
    <xf numFmtId="3" fontId="4" fillId="0" borderId="50" xfId="0" applyNumberFormat="1" applyFont="1" applyBorder="1" applyAlignment="1">
      <alignment horizontal="left" vertical="top" wrapText="1"/>
    </xf>
    <xf numFmtId="3" fontId="4" fillId="0" borderId="75" xfId="0" applyNumberFormat="1" applyFont="1" applyBorder="1" applyAlignment="1">
      <alignment horizontal="left" vertical="top" wrapText="1"/>
    </xf>
    <xf numFmtId="3" fontId="3" fillId="8" borderId="27" xfId="0" applyNumberFormat="1" applyFont="1" applyFill="1" applyBorder="1" applyAlignment="1">
      <alignment horizontal="right" vertical="top" wrapText="1"/>
    </xf>
    <xf numFmtId="3" fontId="3" fillId="8" borderId="28" xfId="0" applyNumberFormat="1" applyFont="1" applyFill="1" applyBorder="1" applyAlignment="1">
      <alignment horizontal="right" vertical="top" wrapText="1"/>
    </xf>
    <xf numFmtId="3" fontId="4" fillId="6" borderId="52" xfId="0" applyNumberFormat="1" applyFont="1" applyFill="1" applyBorder="1" applyAlignment="1">
      <alignment horizontal="left" vertical="top" wrapText="1"/>
    </xf>
    <xf numFmtId="3" fontId="4" fillId="6" borderId="50" xfId="0" applyNumberFormat="1" applyFont="1" applyFill="1" applyBorder="1" applyAlignment="1">
      <alignment horizontal="left" vertical="top" wrapText="1"/>
    </xf>
    <xf numFmtId="3" fontId="4" fillId="6" borderId="75" xfId="0" applyNumberFormat="1" applyFont="1" applyFill="1" applyBorder="1" applyAlignment="1">
      <alignment horizontal="left" vertical="top" wrapText="1"/>
    </xf>
    <xf numFmtId="3" fontId="4" fillId="0" borderId="30" xfId="0" applyNumberFormat="1" applyFont="1" applyBorder="1" applyAlignment="1">
      <alignment horizontal="left" vertical="top" wrapText="1"/>
    </xf>
    <xf numFmtId="3" fontId="4" fillId="0" borderId="18" xfId="0" applyNumberFormat="1" applyFont="1" applyBorder="1" applyAlignment="1">
      <alignment horizontal="left" vertical="top" wrapText="1"/>
    </xf>
    <xf numFmtId="3" fontId="3" fillId="10" borderId="65" xfId="0" applyNumberFormat="1" applyFont="1" applyFill="1" applyBorder="1" applyAlignment="1">
      <alignment horizontal="right" vertical="center"/>
    </xf>
    <xf numFmtId="3" fontId="3" fillId="10" borderId="9" xfId="0" applyNumberFormat="1" applyFont="1" applyFill="1" applyBorder="1" applyAlignment="1">
      <alignment horizontal="right" vertical="center"/>
    </xf>
    <xf numFmtId="3" fontId="4" fillId="10" borderId="8" xfId="0" applyNumberFormat="1" applyFont="1" applyFill="1" applyBorder="1" applyAlignment="1">
      <alignment horizontal="center" vertical="center" wrapText="1"/>
    </xf>
    <xf numFmtId="3" fontId="4" fillId="10" borderId="9" xfId="0" applyNumberFormat="1" applyFont="1" applyFill="1" applyBorder="1" applyAlignment="1">
      <alignment horizontal="center" vertical="center" wrapText="1"/>
    </xf>
    <xf numFmtId="3" fontId="4" fillId="10" borderId="10" xfId="0" applyNumberFormat="1" applyFont="1" applyFill="1" applyBorder="1" applyAlignment="1">
      <alignment horizontal="center" vertical="center" wrapText="1"/>
    </xf>
    <xf numFmtId="3" fontId="1" fillId="7" borderId="35" xfId="1" applyNumberFormat="1" applyFont="1" applyFill="1" applyBorder="1" applyAlignment="1">
      <alignment horizontal="left" vertical="top" wrapText="1"/>
    </xf>
    <xf numFmtId="0" fontId="2" fillId="0" borderId="35" xfId="1" applyFont="1" applyBorder="1" applyAlignment="1">
      <alignment horizontal="left" vertical="top" wrapText="1"/>
    </xf>
    <xf numFmtId="0" fontId="2" fillId="0" borderId="0" xfId="1" applyFont="1" applyBorder="1" applyAlignment="1">
      <alignment horizontal="left" vertical="top" wrapText="1"/>
    </xf>
    <xf numFmtId="3" fontId="3" fillId="0" borderId="1" xfId="0" applyNumberFormat="1" applyFont="1" applyFill="1" applyBorder="1" applyAlignment="1">
      <alignment horizontal="center" wrapText="1"/>
    </xf>
    <xf numFmtId="3" fontId="4" fillId="0" borderId="37" xfId="0" applyNumberFormat="1" applyFont="1" applyBorder="1" applyAlignment="1">
      <alignment horizontal="center" vertical="center" textRotation="90" wrapText="1"/>
    </xf>
    <xf numFmtId="3" fontId="4" fillId="0" borderId="62" xfId="0" applyNumberFormat="1" applyFont="1" applyBorder="1" applyAlignment="1">
      <alignment horizontal="center" vertical="center" textRotation="90" wrapText="1"/>
    </xf>
    <xf numFmtId="164" fontId="1" fillId="0" borderId="4" xfId="0" applyNumberFormat="1" applyFont="1" applyBorder="1" applyAlignment="1">
      <alignment horizontal="center" vertical="center" textRotation="90" wrapText="1"/>
    </xf>
    <xf numFmtId="164" fontId="1" fillId="0" borderId="22" xfId="0" applyNumberFormat="1" applyFont="1" applyBorder="1" applyAlignment="1">
      <alignment horizontal="center" vertical="center" textRotation="90" wrapText="1"/>
    </xf>
    <xf numFmtId="164" fontId="1" fillId="0" borderId="6" xfId="0" applyNumberFormat="1" applyFont="1" applyBorder="1" applyAlignment="1">
      <alignment horizontal="center" vertical="center" textRotation="90" wrapText="1"/>
    </xf>
    <xf numFmtId="164" fontId="1" fillId="0" borderId="24" xfId="0" applyNumberFormat="1" applyFont="1" applyBorder="1" applyAlignment="1">
      <alignment horizontal="center" vertical="center" textRotation="90" wrapText="1"/>
    </xf>
    <xf numFmtId="3" fontId="1" fillId="0" borderId="37" xfId="0" applyNumberFormat="1" applyFont="1" applyBorder="1" applyAlignment="1">
      <alignment horizontal="center" vertical="center" wrapText="1"/>
    </xf>
    <xf numFmtId="3" fontId="1" fillId="0" borderId="35" xfId="0" applyNumberFormat="1" applyFont="1" applyBorder="1" applyAlignment="1">
      <alignment horizontal="center" vertical="center" wrapText="1"/>
    </xf>
    <xf numFmtId="3" fontId="1" fillId="0" borderId="62"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4" fillId="6" borderId="27" xfId="0" applyNumberFormat="1" applyFont="1" applyFill="1" applyBorder="1" applyAlignment="1">
      <alignment horizontal="left" vertical="top" wrapText="1"/>
    </xf>
    <xf numFmtId="0" fontId="4" fillId="6" borderId="29" xfId="0" applyNumberFormat="1" applyFont="1" applyFill="1" applyBorder="1" applyAlignment="1">
      <alignment horizontal="left" vertical="top" wrapText="1"/>
    </xf>
    <xf numFmtId="3" fontId="4" fillId="0" borderId="43" xfId="0" applyNumberFormat="1" applyFont="1" applyBorder="1" applyAlignment="1">
      <alignment horizontal="left" vertical="top" wrapText="1"/>
    </xf>
    <xf numFmtId="3" fontId="4" fillId="0" borderId="44" xfId="0" applyNumberFormat="1" applyFont="1" applyBorder="1" applyAlignment="1">
      <alignment horizontal="left" vertical="top" wrapText="1"/>
    </xf>
    <xf numFmtId="3" fontId="4" fillId="0" borderId="72" xfId="0" applyNumberFormat="1" applyFont="1" applyBorder="1" applyAlignment="1">
      <alignment horizontal="left" vertical="top" wrapText="1"/>
    </xf>
    <xf numFmtId="3" fontId="3" fillId="8" borderId="33" xfId="0" applyNumberFormat="1" applyFont="1" applyFill="1" applyBorder="1" applyAlignment="1">
      <alignment horizontal="right" vertical="top" wrapText="1"/>
    </xf>
    <xf numFmtId="3" fontId="3" fillId="8" borderId="34" xfId="0" applyNumberFormat="1" applyFont="1" applyFill="1" applyBorder="1" applyAlignment="1">
      <alignment horizontal="right" vertical="top" wrapText="1"/>
    </xf>
    <xf numFmtId="3" fontId="3" fillId="8" borderId="65" xfId="0" applyNumberFormat="1" applyFont="1" applyFill="1" applyBorder="1" applyAlignment="1">
      <alignment horizontal="right" vertical="top" wrapText="1"/>
    </xf>
    <xf numFmtId="0" fontId="17" fillId="0" borderId="0" xfId="0" applyFont="1" applyAlignment="1">
      <alignment horizontal="center" vertical="top"/>
    </xf>
    <xf numFmtId="0" fontId="28" fillId="0" borderId="0" xfId="0" applyFont="1" applyAlignment="1">
      <alignment horizontal="center" vertical="top"/>
    </xf>
    <xf numFmtId="3" fontId="4" fillId="8" borderId="11" xfId="0" applyNumberFormat="1" applyFont="1" applyFill="1" applyBorder="1" applyAlignment="1">
      <alignment horizontal="left" vertical="top" wrapText="1"/>
    </xf>
    <xf numFmtId="3" fontId="4" fillId="8" borderId="12" xfId="0" applyNumberFormat="1" applyFont="1" applyFill="1" applyBorder="1" applyAlignment="1">
      <alignment horizontal="left" vertical="top" wrapText="1"/>
    </xf>
    <xf numFmtId="3" fontId="4" fillId="8" borderId="17" xfId="0" applyNumberFormat="1" applyFont="1" applyFill="1" applyBorder="1" applyAlignment="1">
      <alignment horizontal="left" vertical="top" wrapText="1"/>
    </xf>
    <xf numFmtId="3" fontId="4" fillId="8" borderId="30" xfId="0" applyNumberFormat="1" applyFont="1" applyFill="1" applyBorder="1" applyAlignment="1">
      <alignment horizontal="left" vertical="top" wrapText="1"/>
    </xf>
    <xf numFmtId="3" fontId="4" fillId="8" borderId="18" xfId="0" applyNumberFormat="1" applyFont="1" applyFill="1" applyBorder="1" applyAlignment="1">
      <alignment horizontal="left" vertical="top" wrapText="1"/>
    </xf>
    <xf numFmtId="3" fontId="4" fillId="0" borderId="16" xfId="0" applyNumberFormat="1" applyFont="1" applyFill="1" applyBorder="1" applyAlignment="1">
      <alignment horizontal="left" vertical="top" wrapText="1"/>
    </xf>
    <xf numFmtId="3" fontId="4" fillId="0" borderId="25" xfId="0" applyNumberFormat="1"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59" xfId="0" applyFont="1" applyFill="1" applyBorder="1" applyAlignment="1">
      <alignment horizontal="left" vertical="top" wrapText="1"/>
    </xf>
    <xf numFmtId="3" fontId="1" fillId="6" borderId="40" xfId="0" applyNumberFormat="1" applyFont="1" applyFill="1" applyBorder="1" applyAlignment="1">
      <alignment horizontal="left" vertical="top" wrapText="1"/>
    </xf>
    <xf numFmtId="3" fontId="1" fillId="6" borderId="16" xfId="0" applyNumberFormat="1" applyFont="1" applyFill="1" applyBorder="1" applyAlignment="1">
      <alignment horizontal="left" vertical="top" wrapText="1"/>
    </xf>
    <xf numFmtId="3" fontId="3" fillId="5" borderId="9" xfId="0" applyNumberFormat="1" applyFont="1" applyFill="1" applyBorder="1" applyAlignment="1">
      <alignment horizontal="right" vertical="top"/>
    </xf>
    <xf numFmtId="3" fontId="4" fillId="5"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3" fontId="3" fillId="12" borderId="1" xfId="0" applyNumberFormat="1" applyFont="1" applyFill="1" applyBorder="1" applyAlignment="1">
      <alignment horizontal="right" vertical="top"/>
    </xf>
    <xf numFmtId="3" fontId="4" fillId="12" borderId="8" xfId="0" applyNumberFormat="1" applyFont="1" applyFill="1" applyBorder="1" applyAlignment="1">
      <alignment horizontal="center" vertical="top"/>
    </xf>
    <xf numFmtId="3" fontId="4" fillId="12" borderId="9" xfId="0" applyNumberFormat="1" applyFont="1" applyFill="1" applyBorder="1" applyAlignment="1">
      <alignment horizontal="center" vertical="top"/>
    </xf>
    <xf numFmtId="3" fontId="4" fillId="12" borderId="10" xfId="0" applyNumberFormat="1" applyFont="1" applyFill="1" applyBorder="1" applyAlignment="1">
      <alignment horizontal="center" vertical="top"/>
    </xf>
    <xf numFmtId="3" fontId="4" fillId="6" borderId="40" xfId="0" applyNumberFormat="1" applyFont="1" applyFill="1" applyBorder="1" applyAlignment="1">
      <alignment horizontal="left" vertical="top" wrapText="1"/>
    </xf>
    <xf numFmtId="3" fontId="4" fillId="6" borderId="16" xfId="0" applyNumberFormat="1" applyFont="1" applyFill="1" applyBorder="1" applyAlignment="1">
      <alignment horizontal="left" vertical="top" wrapText="1"/>
    </xf>
    <xf numFmtId="3" fontId="11" fillId="0" borderId="43" xfId="0" applyNumberFormat="1" applyFont="1" applyBorder="1" applyAlignment="1">
      <alignment horizontal="center" vertical="center" textRotation="90"/>
    </xf>
    <xf numFmtId="3" fontId="11" fillId="0" borderId="39" xfId="0" applyNumberFormat="1" applyFont="1" applyBorder="1" applyAlignment="1">
      <alignment horizontal="center" vertical="center" textRotation="90"/>
    </xf>
    <xf numFmtId="3" fontId="11" fillId="0" borderId="52" xfId="0" applyNumberFormat="1" applyFont="1" applyBorder="1" applyAlignment="1">
      <alignment horizontal="center" vertical="center" textRotation="90"/>
    </xf>
    <xf numFmtId="3" fontId="1" fillId="0" borderId="40" xfId="0" applyNumberFormat="1" applyFont="1" applyBorder="1" applyAlignment="1">
      <alignment horizontal="center" vertical="top" wrapText="1"/>
    </xf>
    <xf numFmtId="3" fontId="1" fillId="0" borderId="16" xfId="0" applyNumberFormat="1" applyFont="1" applyBorder="1" applyAlignment="1">
      <alignment horizontal="center" vertical="top" wrapText="1"/>
    </xf>
    <xf numFmtId="0" fontId="1" fillId="6" borderId="39" xfId="0" applyFont="1" applyFill="1" applyBorder="1" applyAlignment="1">
      <alignment horizontal="left" vertical="top" wrapText="1"/>
    </xf>
    <xf numFmtId="3" fontId="6" fillId="8" borderId="55" xfId="0" applyNumberFormat="1" applyFont="1" applyFill="1" applyBorder="1" applyAlignment="1">
      <alignment horizontal="right" vertical="top" wrapText="1"/>
    </xf>
    <xf numFmtId="3" fontId="6" fillId="8" borderId="56" xfId="0" applyNumberFormat="1" applyFont="1" applyFill="1" applyBorder="1" applyAlignment="1">
      <alignment horizontal="right" vertical="top" wrapText="1"/>
    </xf>
    <xf numFmtId="3" fontId="3" fillId="7" borderId="16" xfId="0" applyNumberFormat="1" applyFont="1" applyFill="1" applyBorder="1" applyAlignment="1">
      <alignment horizontal="left" vertical="top" wrapText="1"/>
    </xf>
    <xf numFmtId="3" fontId="1" fillId="0" borderId="7" xfId="0" applyNumberFormat="1" applyFont="1" applyBorder="1" applyAlignment="1">
      <alignment horizontal="center" vertical="top" wrapText="1"/>
    </xf>
    <xf numFmtId="0" fontId="1" fillId="6" borderId="42" xfId="0" applyFont="1" applyFill="1" applyBorder="1" applyAlignment="1">
      <alignment horizontal="left" vertical="top" wrapText="1"/>
    </xf>
    <xf numFmtId="0" fontId="1" fillId="6" borderId="32" xfId="0" applyFont="1" applyFill="1" applyBorder="1" applyAlignment="1">
      <alignment horizontal="left" vertical="top" wrapText="1"/>
    </xf>
    <xf numFmtId="0" fontId="1" fillId="6" borderId="41"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62" xfId="0" applyFont="1" applyFill="1" applyBorder="1" applyAlignment="1">
      <alignment horizontal="left" vertical="top" wrapText="1"/>
    </xf>
    <xf numFmtId="0" fontId="1" fillId="6" borderId="24" xfId="0" applyFont="1" applyFill="1" applyBorder="1" applyAlignment="1">
      <alignment horizontal="left" vertical="top" wrapText="1"/>
    </xf>
    <xf numFmtId="3" fontId="39" fillId="0" borderId="43" xfId="0" applyNumberFormat="1" applyFont="1" applyBorder="1" applyAlignment="1">
      <alignment horizontal="center" vertical="top" wrapText="1"/>
    </xf>
    <xf numFmtId="3" fontId="39" fillId="0" borderId="52" xfId="0" applyNumberFormat="1" applyFont="1" applyBorder="1" applyAlignment="1">
      <alignment horizontal="center" vertical="top" wrapText="1"/>
    </xf>
    <xf numFmtId="3" fontId="3" fillId="8" borderId="55" xfId="0" applyNumberFormat="1" applyFont="1" applyFill="1" applyBorder="1" applyAlignment="1">
      <alignment horizontal="right" vertical="top" wrapText="1"/>
    </xf>
    <xf numFmtId="3" fontId="3" fillId="8" borderId="1" xfId="0" applyNumberFormat="1" applyFont="1" applyFill="1" applyBorder="1" applyAlignment="1">
      <alignment horizontal="right" vertical="top" wrapText="1"/>
    </xf>
    <xf numFmtId="3" fontId="3" fillId="8" borderId="56" xfId="0" applyNumberFormat="1" applyFont="1" applyFill="1" applyBorder="1" applyAlignment="1">
      <alignment horizontal="right" vertical="top" wrapText="1"/>
    </xf>
    <xf numFmtId="3" fontId="4" fillId="8" borderId="55" xfId="0" applyNumberFormat="1" applyFont="1" applyFill="1" applyBorder="1" applyAlignment="1">
      <alignment horizontal="center" vertical="top"/>
    </xf>
    <xf numFmtId="3" fontId="4" fillId="8" borderId="56" xfId="0" applyNumberFormat="1" applyFont="1" applyFill="1" applyBorder="1" applyAlignment="1">
      <alignment horizontal="center" vertical="top"/>
    </xf>
    <xf numFmtId="3" fontId="4" fillId="8" borderId="57" xfId="0" applyNumberFormat="1" applyFont="1" applyFill="1" applyBorder="1" applyAlignment="1">
      <alignment horizontal="center" vertical="top"/>
    </xf>
    <xf numFmtId="3" fontId="3" fillId="5" borderId="65" xfId="0" applyNumberFormat="1" applyFont="1" applyFill="1" applyBorder="1" applyAlignment="1">
      <alignment horizontal="right" vertical="top"/>
    </xf>
    <xf numFmtId="3" fontId="3" fillId="5" borderId="65" xfId="0" applyNumberFormat="1" applyFont="1" applyFill="1" applyBorder="1" applyAlignment="1">
      <alignment horizontal="left" vertical="top"/>
    </xf>
    <xf numFmtId="3" fontId="3" fillId="5" borderId="9" xfId="0" applyNumberFormat="1" applyFont="1" applyFill="1" applyBorder="1" applyAlignment="1">
      <alignment horizontal="left" vertical="top"/>
    </xf>
    <xf numFmtId="3" fontId="3" fillId="5" borderId="10" xfId="0" applyNumberFormat="1" applyFont="1" applyFill="1" applyBorder="1" applyAlignment="1">
      <alignment horizontal="left" vertical="top"/>
    </xf>
    <xf numFmtId="3" fontId="3" fillId="11" borderId="42" xfId="0" applyNumberFormat="1" applyFont="1" applyFill="1" applyBorder="1" applyAlignment="1">
      <alignment horizontal="left" vertical="top" wrapText="1"/>
    </xf>
    <xf numFmtId="3" fontId="3" fillId="11" borderId="41" xfId="0" applyNumberFormat="1" applyFont="1" applyFill="1" applyBorder="1" applyAlignment="1">
      <alignment horizontal="left" vertical="top" wrapText="1"/>
    </xf>
    <xf numFmtId="3" fontId="4" fillId="12" borderId="49" xfId="0" applyNumberFormat="1" applyFont="1" applyFill="1" applyBorder="1" applyAlignment="1">
      <alignment horizontal="left" vertical="top" wrapText="1"/>
    </xf>
    <xf numFmtId="3" fontId="1" fillId="6" borderId="48" xfId="0" applyNumberFormat="1" applyFont="1" applyFill="1" applyBorder="1" applyAlignment="1">
      <alignment horizontal="left" vertical="top" wrapText="1"/>
    </xf>
    <xf numFmtId="3" fontId="7" fillId="0" borderId="41" xfId="0" applyNumberFormat="1" applyFont="1" applyBorder="1" applyAlignment="1">
      <alignment horizontal="center" vertical="center" textRotation="90"/>
    </xf>
    <xf numFmtId="3" fontId="7" fillId="0" borderId="49" xfId="0" applyNumberFormat="1" applyFont="1" applyBorder="1" applyAlignment="1">
      <alignment horizontal="center" vertical="center" textRotation="90"/>
    </xf>
    <xf numFmtId="49" fontId="6" fillId="0" borderId="54" xfId="0" applyNumberFormat="1" applyFont="1" applyBorder="1" applyAlignment="1">
      <alignment horizontal="center" vertical="top"/>
    </xf>
    <xf numFmtId="49" fontId="6" fillId="0" borderId="53" xfId="0" applyNumberFormat="1" applyFont="1" applyBorder="1" applyAlignment="1">
      <alignment horizontal="center" vertical="top"/>
    </xf>
    <xf numFmtId="49" fontId="1" fillId="0" borderId="15" xfId="0" applyNumberFormat="1" applyFont="1" applyBorder="1" applyAlignment="1">
      <alignment horizontal="center" vertical="top" wrapText="1"/>
    </xf>
    <xf numFmtId="49" fontId="1" fillId="0" borderId="66" xfId="0" applyNumberFormat="1" applyFont="1" applyBorder="1" applyAlignment="1">
      <alignment horizontal="center" vertical="top" wrapText="1"/>
    </xf>
    <xf numFmtId="3" fontId="4" fillId="0" borderId="42" xfId="0" applyNumberFormat="1" applyFont="1" applyBorder="1" applyAlignment="1">
      <alignment horizontal="left" vertical="top" wrapText="1"/>
    </xf>
    <xf numFmtId="3" fontId="4" fillId="0" borderId="32" xfId="0" applyNumberFormat="1" applyFont="1" applyBorder="1" applyAlignment="1">
      <alignment horizontal="left" vertical="top" wrapText="1"/>
    </xf>
    <xf numFmtId="3" fontId="4" fillId="0" borderId="41" xfId="0" applyNumberFormat="1" applyFont="1" applyBorder="1" applyAlignment="1">
      <alignment horizontal="left" vertical="top" wrapText="1"/>
    </xf>
    <xf numFmtId="3" fontId="4" fillId="0" borderId="15" xfId="0" applyNumberFormat="1" applyFont="1" applyBorder="1" applyAlignment="1">
      <alignment horizontal="left" vertical="top" wrapText="1"/>
    </xf>
    <xf numFmtId="3" fontId="4" fillId="0" borderId="49" xfId="0" applyNumberFormat="1" applyFont="1" applyBorder="1" applyAlignment="1">
      <alignment horizontal="left" vertical="top" wrapText="1"/>
    </xf>
    <xf numFmtId="3" fontId="4" fillId="0" borderId="66" xfId="0" applyNumberFormat="1" applyFont="1" applyBorder="1" applyAlignment="1">
      <alignment horizontal="left" vertical="top" wrapText="1"/>
    </xf>
    <xf numFmtId="49" fontId="3" fillId="12" borderId="36" xfId="0" applyNumberFormat="1" applyFont="1" applyFill="1" applyBorder="1" applyAlignment="1">
      <alignment horizontal="center" vertical="top"/>
    </xf>
    <xf numFmtId="49" fontId="3" fillId="12" borderId="39" xfId="0" applyNumberFormat="1" applyFont="1" applyFill="1" applyBorder="1" applyAlignment="1">
      <alignment horizontal="center" vertical="top"/>
    </xf>
    <xf numFmtId="49" fontId="3" fillId="12" borderId="59" xfId="0" applyNumberFormat="1" applyFont="1" applyFill="1" applyBorder="1" applyAlignment="1">
      <alignment horizontal="center" vertical="top"/>
    </xf>
    <xf numFmtId="49" fontId="3" fillId="5" borderId="4" xfId="0" applyNumberFormat="1" applyFont="1" applyFill="1" applyBorder="1" applyAlignment="1">
      <alignment horizontal="center" vertical="top"/>
    </xf>
    <xf numFmtId="49" fontId="3" fillId="5" borderId="13" xfId="0" applyNumberFormat="1" applyFont="1" applyFill="1" applyBorder="1" applyAlignment="1">
      <alignment horizontal="center" vertical="top"/>
    </xf>
    <xf numFmtId="49" fontId="3" fillId="5" borderId="22" xfId="0" applyNumberFormat="1" applyFont="1" applyFill="1" applyBorder="1" applyAlignment="1">
      <alignment horizontal="center" vertical="top"/>
    </xf>
    <xf numFmtId="49" fontId="3" fillId="0" borderId="5" xfId="0" applyNumberFormat="1" applyFont="1" applyBorder="1" applyAlignment="1">
      <alignment horizontal="center" vertical="top"/>
    </xf>
    <xf numFmtId="49" fontId="3" fillId="0" borderId="14" xfId="0" applyNumberFormat="1" applyFont="1" applyBorder="1" applyAlignment="1">
      <alignment horizontal="center" vertical="top"/>
    </xf>
    <xf numFmtId="49" fontId="3" fillId="0" borderId="23" xfId="0" applyNumberFormat="1" applyFont="1" applyBorder="1" applyAlignment="1">
      <alignment horizontal="center" vertical="top"/>
    </xf>
    <xf numFmtId="3" fontId="1" fillId="6" borderId="37" xfId="0" applyNumberFormat="1" applyFont="1" applyFill="1" applyBorder="1" applyAlignment="1">
      <alignment horizontal="left" vertical="top" wrapText="1"/>
    </xf>
    <xf numFmtId="3" fontId="1" fillId="6" borderId="41" xfId="0" applyNumberFormat="1" applyFont="1" applyFill="1" applyBorder="1" applyAlignment="1">
      <alignment horizontal="left" vertical="top" wrapText="1"/>
    </xf>
    <xf numFmtId="3" fontId="1" fillId="6" borderId="62" xfId="0" applyNumberFormat="1" applyFont="1" applyFill="1" applyBorder="1" applyAlignment="1">
      <alignment horizontal="left" vertical="top" wrapText="1"/>
    </xf>
    <xf numFmtId="3" fontId="7" fillId="6" borderId="36" xfId="0" applyNumberFormat="1" applyFont="1" applyFill="1" applyBorder="1" applyAlignment="1">
      <alignment horizontal="center" vertical="top" textRotation="90" wrapText="1"/>
    </xf>
    <xf numFmtId="3" fontId="7" fillId="6" borderId="39" xfId="0" applyNumberFormat="1" applyFont="1" applyFill="1" applyBorder="1" applyAlignment="1">
      <alignment horizontal="center" vertical="top" textRotation="90" wrapText="1"/>
    </xf>
    <xf numFmtId="3" fontId="7" fillId="6" borderId="59" xfId="0" applyNumberFormat="1" applyFont="1" applyFill="1" applyBorder="1" applyAlignment="1">
      <alignment horizontal="center" vertical="top" textRotation="90" wrapText="1"/>
    </xf>
    <xf numFmtId="3" fontId="3" fillId="6" borderId="61" xfId="0" applyNumberFormat="1" applyFont="1" applyFill="1" applyBorder="1" applyAlignment="1">
      <alignment horizontal="center" vertical="top"/>
    </xf>
    <xf numFmtId="3" fontId="3" fillId="6" borderId="54" xfId="0" applyNumberFormat="1" applyFont="1" applyFill="1" applyBorder="1" applyAlignment="1">
      <alignment horizontal="center" vertical="top"/>
    </xf>
    <xf numFmtId="3" fontId="3" fillId="6" borderId="60" xfId="0" applyNumberFormat="1" applyFont="1" applyFill="1" applyBorder="1" applyAlignment="1">
      <alignment horizontal="center" vertical="top"/>
    </xf>
    <xf numFmtId="3" fontId="1" fillId="6" borderId="7"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25" xfId="0" applyNumberFormat="1" applyFont="1" applyFill="1" applyBorder="1" applyAlignment="1">
      <alignment horizontal="center" vertical="top" wrapText="1"/>
    </xf>
    <xf numFmtId="3" fontId="7" fillId="0" borderId="36" xfId="0" applyNumberFormat="1" applyFont="1" applyFill="1" applyBorder="1" applyAlignment="1">
      <alignment horizontal="center" vertical="top" textRotation="90" wrapText="1"/>
    </xf>
    <xf numFmtId="3" fontId="7" fillId="0" borderId="39" xfId="0" applyNumberFormat="1" applyFont="1" applyFill="1" applyBorder="1" applyAlignment="1">
      <alignment horizontal="center" vertical="top" textRotation="90" wrapText="1"/>
    </xf>
    <xf numFmtId="3" fontId="3" fillId="0" borderId="61" xfId="0" applyNumberFormat="1" applyFont="1" applyBorder="1" applyAlignment="1">
      <alignment horizontal="center" vertical="top"/>
    </xf>
    <xf numFmtId="3" fontId="3" fillId="0" borderId="54" xfId="0" applyNumberFormat="1" applyFont="1" applyBorder="1" applyAlignment="1">
      <alignment horizontal="center" vertical="top"/>
    </xf>
    <xf numFmtId="3" fontId="1" fillId="0" borderId="25" xfId="0" applyNumberFormat="1" applyFont="1" applyBorder="1" applyAlignment="1">
      <alignment horizontal="center" vertical="top" wrapText="1"/>
    </xf>
    <xf numFmtId="3" fontId="6" fillId="6" borderId="37" xfId="0" applyNumberFormat="1" applyFont="1" applyFill="1" applyBorder="1" applyAlignment="1">
      <alignment horizontal="left" vertical="top" wrapText="1"/>
    </xf>
    <xf numFmtId="3" fontId="6" fillId="6" borderId="41" xfId="0" applyNumberFormat="1" applyFont="1" applyFill="1" applyBorder="1" applyAlignment="1">
      <alignment horizontal="left" vertical="top" wrapText="1"/>
    </xf>
    <xf numFmtId="3" fontId="3" fillId="12" borderId="36" xfId="0" applyNumberFormat="1" applyFont="1" applyFill="1" applyBorder="1" applyAlignment="1">
      <alignment horizontal="center" vertical="top"/>
    </xf>
    <xf numFmtId="3" fontId="3" fillId="12" borderId="39"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3" fontId="3" fillId="5" borderId="13" xfId="0" applyNumberFormat="1" applyFont="1" applyFill="1" applyBorder="1" applyAlignment="1">
      <alignment horizontal="center" vertical="top"/>
    </xf>
    <xf numFmtId="3" fontId="4" fillId="6" borderId="7" xfId="0" applyNumberFormat="1" applyFont="1" applyFill="1" applyBorder="1" applyAlignment="1">
      <alignment horizontal="left" vertical="top" wrapText="1"/>
    </xf>
    <xf numFmtId="3" fontId="4" fillId="6" borderId="25" xfId="0" applyNumberFormat="1" applyFont="1" applyFill="1" applyBorder="1" applyAlignment="1">
      <alignment horizontal="left" vertical="top" wrapText="1"/>
    </xf>
    <xf numFmtId="0" fontId="4" fillId="6" borderId="43" xfId="0" applyFont="1" applyFill="1" applyBorder="1" applyAlignment="1">
      <alignment horizontal="left" vertical="top" wrapText="1"/>
    </xf>
    <xf numFmtId="0" fontId="4" fillId="6" borderId="59" xfId="0" applyFont="1" applyFill="1" applyBorder="1" applyAlignment="1">
      <alignment horizontal="left" vertical="top" wrapText="1"/>
    </xf>
    <xf numFmtId="164" fontId="4" fillId="6" borderId="45" xfId="0" applyNumberFormat="1" applyFont="1" applyFill="1" applyBorder="1" applyAlignment="1">
      <alignment horizontal="center" vertical="center"/>
    </xf>
    <xf numFmtId="164" fontId="4" fillId="6" borderId="53" xfId="0" applyNumberFormat="1" applyFont="1" applyFill="1" applyBorder="1" applyAlignment="1">
      <alignment horizontal="center" vertical="center"/>
    </xf>
    <xf numFmtId="3" fontId="1" fillId="0" borderId="7" xfId="0" applyNumberFormat="1" applyFont="1" applyFill="1" applyBorder="1" applyAlignment="1">
      <alignment horizontal="left" vertical="top" wrapText="1"/>
    </xf>
    <xf numFmtId="3" fontId="1" fillId="0" borderId="16" xfId="0" applyNumberFormat="1" applyFont="1" applyFill="1" applyBorder="1" applyAlignment="1">
      <alignment horizontal="left" vertical="top" wrapText="1"/>
    </xf>
    <xf numFmtId="3" fontId="6" fillId="0" borderId="61" xfId="0" applyNumberFormat="1" applyFont="1" applyBorder="1" applyAlignment="1">
      <alignment horizontal="center" vertical="top" wrapText="1"/>
    </xf>
    <xf numFmtId="3" fontId="6" fillId="0" borderId="54" xfId="0" applyNumberFormat="1" applyFont="1" applyBorder="1" applyAlignment="1">
      <alignment horizontal="center" vertical="top" wrapText="1"/>
    </xf>
    <xf numFmtId="0" fontId="4" fillId="6" borderId="40" xfId="0" applyFont="1" applyFill="1" applyBorder="1" applyAlignment="1">
      <alignment horizontal="left" vertical="top" wrapText="1"/>
    </xf>
    <xf numFmtId="0" fontId="4" fillId="6" borderId="25" xfId="0" applyFont="1" applyFill="1" applyBorder="1" applyAlignment="1">
      <alignment horizontal="left" vertical="top" wrapText="1"/>
    </xf>
    <xf numFmtId="0" fontId="4" fillId="6" borderId="41" xfId="0" applyFont="1" applyFill="1" applyBorder="1" applyAlignment="1">
      <alignment horizontal="left" vertical="top" wrapText="1"/>
    </xf>
    <xf numFmtId="0" fontId="4" fillId="6" borderId="62" xfId="0" applyFont="1" applyFill="1" applyBorder="1" applyAlignment="1">
      <alignment horizontal="left" vertical="top" wrapText="1"/>
    </xf>
    <xf numFmtId="3" fontId="3" fillId="0" borderId="7" xfId="0" applyNumberFormat="1" applyFont="1" applyBorder="1" applyAlignment="1">
      <alignment horizontal="left" vertical="top" wrapText="1"/>
    </xf>
    <xf numFmtId="3" fontId="3" fillId="0" borderId="16" xfId="0" applyNumberFormat="1" applyFont="1" applyBorder="1" applyAlignment="1">
      <alignment horizontal="left" vertical="top" wrapText="1"/>
    </xf>
    <xf numFmtId="3" fontId="11" fillId="0" borderId="36" xfId="0" applyNumberFormat="1" applyFont="1" applyFill="1" applyBorder="1" applyAlignment="1">
      <alignment horizontal="center" vertical="center" textRotation="90" wrapText="1"/>
    </xf>
    <xf numFmtId="3" fontId="11" fillId="0" borderId="39" xfId="0" applyNumberFormat="1" applyFont="1" applyFill="1" applyBorder="1" applyAlignment="1">
      <alignment horizontal="center" vertical="center" textRotation="90" wrapText="1"/>
    </xf>
    <xf numFmtId="3" fontId="6" fillId="8" borderId="62" xfId="0" applyNumberFormat="1" applyFont="1" applyFill="1" applyBorder="1" applyAlignment="1">
      <alignment horizontal="right" vertical="top" wrapText="1"/>
    </xf>
    <xf numFmtId="3" fontId="6" fillId="8" borderId="1" xfId="0" applyNumberFormat="1" applyFont="1" applyFill="1" applyBorder="1" applyAlignment="1">
      <alignment horizontal="right" vertical="top" wrapText="1"/>
    </xf>
    <xf numFmtId="3" fontId="6" fillId="12" borderId="36" xfId="0" applyNumberFormat="1" applyFont="1" applyFill="1" applyBorder="1" applyAlignment="1">
      <alignment horizontal="center" vertical="top"/>
    </xf>
    <xf numFmtId="3" fontId="6" fillId="12" borderId="59" xfId="0" applyNumberFormat="1" applyFont="1" applyFill="1" applyBorder="1" applyAlignment="1">
      <alignment horizontal="center" vertical="top"/>
    </xf>
    <xf numFmtId="3" fontId="6" fillId="5" borderId="4"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49" fontId="6" fillId="0" borderId="5" xfId="0" applyNumberFormat="1" applyFont="1" applyBorder="1" applyAlignment="1">
      <alignment horizontal="center" vertical="top"/>
    </xf>
    <xf numFmtId="49" fontId="6" fillId="0" borderId="23" xfId="0" applyNumberFormat="1" applyFont="1" applyBorder="1" applyAlignment="1">
      <alignment horizontal="center" vertical="top"/>
    </xf>
    <xf numFmtId="3" fontId="1" fillId="0" borderId="25" xfId="0" applyNumberFormat="1" applyFont="1" applyFill="1" applyBorder="1" applyAlignment="1">
      <alignment horizontal="left" vertical="top" wrapText="1"/>
    </xf>
    <xf numFmtId="3" fontId="7" fillId="0" borderId="37" xfId="0" applyNumberFormat="1" applyFont="1" applyFill="1" applyBorder="1" applyAlignment="1">
      <alignment horizontal="center" vertical="center" textRotation="90" wrapText="1"/>
    </xf>
    <xf numFmtId="3" fontId="7" fillId="0" borderId="62" xfId="0" applyNumberFormat="1" applyFont="1" applyFill="1" applyBorder="1" applyAlignment="1">
      <alignment horizontal="center" vertical="center" textRotation="90" wrapText="1"/>
    </xf>
    <xf numFmtId="3" fontId="6" fillId="0" borderId="61" xfId="0" applyNumberFormat="1" applyFont="1" applyBorder="1" applyAlignment="1">
      <alignment horizontal="center" vertical="top"/>
    </xf>
    <xf numFmtId="3" fontId="6" fillId="0" borderId="60" xfId="0" applyNumberFormat="1" applyFont="1" applyBorder="1" applyAlignment="1">
      <alignment horizontal="center" vertical="top"/>
    </xf>
    <xf numFmtId="0" fontId="4" fillId="0" borderId="41" xfId="0" applyFont="1" applyFill="1" applyBorder="1" applyAlignment="1">
      <alignment horizontal="left" vertical="top" wrapText="1"/>
    </xf>
    <xf numFmtId="3" fontId="4" fillId="0" borderId="40" xfId="0" applyNumberFormat="1" applyFont="1" applyFill="1" applyBorder="1" applyAlignment="1">
      <alignment horizontal="left" vertical="top" wrapText="1"/>
    </xf>
    <xf numFmtId="3" fontId="4" fillId="6" borderId="40" xfId="0" applyNumberFormat="1" applyFont="1" applyFill="1" applyBorder="1" applyAlignment="1">
      <alignment vertical="top" wrapText="1"/>
    </xf>
    <xf numFmtId="3" fontId="4" fillId="6" borderId="16" xfId="0" applyNumberFormat="1" applyFont="1" applyFill="1" applyBorder="1" applyAlignment="1">
      <alignment vertical="top" wrapText="1"/>
    </xf>
    <xf numFmtId="3" fontId="1" fillId="0" borderId="41" xfId="0" applyNumberFormat="1" applyFont="1" applyFill="1" applyBorder="1" applyAlignment="1">
      <alignment horizontal="left" vertical="top" wrapText="1"/>
    </xf>
    <xf numFmtId="3" fontId="1" fillId="0" borderId="43" xfId="0" applyNumberFormat="1" applyFont="1" applyFill="1" applyBorder="1" applyAlignment="1">
      <alignment horizontal="left" vertical="top" wrapText="1"/>
    </xf>
    <xf numFmtId="3" fontId="1" fillId="0" borderId="39" xfId="0" applyNumberFormat="1" applyFont="1" applyFill="1" applyBorder="1" applyAlignment="1">
      <alignment horizontal="left" vertical="top" wrapText="1"/>
    </xf>
    <xf numFmtId="3" fontId="1" fillId="0" borderId="52" xfId="0" applyNumberFormat="1" applyFont="1" applyFill="1" applyBorder="1" applyAlignment="1">
      <alignment horizontal="left" vertical="top" wrapText="1"/>
    </xf>
    <xf numFmtId="3" fontId="4" fillId="0" borderId="42" xfId="0" applyNumberFormat="1" applyFont="1" applyFill="1" applyBorder="1" applyAlignment="1">
      <alignment horizontal="left" vertical="top" wrapText="1"/>
    </xf>
    <xf numFmtId="3" fontId="6" fillId="6" borderId="42" xfId="0" applyNumberFormat="1" applyFont="1" applyFill="1" applyBorder="1" applyAlignment="1">
      <alignment horizontal="left" vertical="top" wrapText="1"/>
    </xf>
    <xf numFmtId="3" fontId="3" fillId="0" borderId="14" xfId="0" applyNumberFormat="1" applyFont="1" applyBorder="1" applyAlignment="1">
      <alignment horizontal="center" vertical="top"/>
    </xf>
    <xf numFmtId="3" fontId="3" fillId="5" borderId="35" xfId="0" applyNumberFormat="1" applyFont="1" applyFill="1" applyBorder="1" applyAlignment="1">
      <alignment horizontal="left" vertical="top"/>
    </xf>
    <xf numFmtId="3" fontId="1" fillId="0" borderId="42" xfId="0" applyNumberFormat="1" applyFont="1" applyFill="1" applyBorder="1" applyAlignment="1">
      <alignment horizontal="left" vertical="top" wrapText="1"/>
    </xf>
    <xf numFmtId="3" fontId="7" fillId="0" borderId="36" xfId="0" applyNumberFormat="1" applyFont="1" applyFill="1" applyBorder="1" applyAlignment="1">
      <alignment horizontal="center" vertical="center" textRotation="90" wrapText="1"/>
    </xf>
    <xf numFmtId="3" fontId="7" fillId="0" borderId="39" xfId="0" applyNumberFormat="1" applyFont="1" applyFill="1" applyBorder="1" applyAlignment="1">
      <alignment horizontal="center" vertical="center" textRotation="90" wrapText="1"/>
    </xf>
    <xf numFmtId="49" fontId="1" fillId="6" borderId="43" xfId="0" applyNumberFormat="1" applyFont="1" applyFill="1" applyBorder="1" applyAlignment="1">
      <alignment horizontal="left" vertical="top" wrapText="1"/>
    </xf>
    <xf numFmtId="49" fontId="1" fillId="6" borderId="39" xfId="0" applyNumberFormat="1" applyFont="1" applyFill="1" applyBorder="1" applyAlignment="1">
      <alignment horizontal="left" vertical="top" wrapText="1"/>
    </xf>
    <xf numFmtId="49" fontId="4" fillId="0" borderId="27" xfId="0" applyNumberFormat="1" applyFont="1" applyFill="1" applyBorder="1" applyAlignment="1">
      <alignment horizontal="left" vertical="top" wrapText="1"/>
    </xf>
    <xf numFmtId="49" fontId="4" fillId="0" borderId="29" xfId="0" applyNumberFormat="1" applyFont="1" applyFill="1" applyBorder="1" applyAlignment="1">
      <alignment horizontal="left" vertical="top" wrapText="1"/>
    </xf>
    <xf numFmtId="49" fontId="4" fillId="0" borderId="55" xfId="0" applyNumberFormat="1" applyFont="1" applyFill="1" applyBorder="1" applyAlignment="1">
      <alignment horizontal="left" vertical="top" wrapText="1"/>
    </xf>
    <xf numFmtId="49" fontId="4" fillId="0" borderId="57" xfId="0" applyNumberFormat="1" applyFont="1" applyFill="1" applyBorder="1" applyAlignment="1">
      <alignment horizontal="left" vertical="top" wrapText="1"/>
    </xf>
    <xf numFmtId="49" fontId="1" fillId="0" borderId="27" xfId="0" applyNumberFormat="1" applyFont="1" applyFill="1" applyBorder="1" applyAlignment="1">
      <alignment horizontal="left" vertical="top" wrapText="1"/>
    </xf>
    <xf numFmtId="49" fontId="11" fillId="0" borderId="29" xfId="0" applyNumberFormat="1" applyFont="1" applyFill="1" applyBorder="1" applyAlignment="1">
      <alignment horizontal="left" vertical="top" wrapText="1"/>
    </xf>
    <xf numFmtId="3" fontId="1" fillId="6" borderId="30" xfId="0" applyNumberFormat="1" applyFont="1" applyFill="1" applyBorder="1" applyAlignment="1">
      <alignment horizontal="left" vertical="top" wrapText="1"/>
    </xf>
    <xf numFmtId="3" fontId="1" fillId="6" borderId="19" xfId="0" applyNumberFormat="1"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59" xfId="0" applyFont="1" applyFill="1" applyBorder="1" applyAlignment="1">
      <alignment horizontal="left" vertical="top" wrapText="1"/>
    </xf>
    <xf numFmtId="1" fontId="1" fillId="6" borderId="30" xfId="0" applyNumberFormat="1" applyFont="1" applyFill="1" applyBorder="1" applyAlignment="1">
      <alignment horizontal="left" vertical="top" wrapText="1"/>
    </xf>
    <xf numFmtId="1" fontId="1" fillId="6" borderId="19" xfId="0" applyNumberFormat="1" applyFont="1" applyFill="1" applyBorder="1" applyAlignment="1">
      <alignment horizontal="left" vertical="top" wrapText="1"/>
    </xf>
    <xf numFmtId="49" fontId="1" fillId="6" borderId="55" xfId="0" applyNumberFormat="1" applyFont="1" applyFill="1" applyBorder="1" applyAlignment="1">
      <alignment horizontal="left" vertical="top" wrapText="1"/>
    </xf>
    <xf numFmtId="49" fontId="1" fillId="6" borderId="57" xfId="0" applyNumberFormat="1" applyFont="1" applyFill="1" applyBorder="1" applyAlignment="1">
      <alignment horizontal="left" vertical="top" wrapText="1"/>
    </xf>
    <xf numFmtId="3" fontId="3" fillId="12" borderId="59"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22" xfId="0" applyNumberFormat="1" applyFont="1" applyBorder="1" applyAlignment="1">
      <alignment horizontal="center" vertical="top"/>
    </xf>
    <xf numFmtId="0" fontId="11" fillId="6" borderId="62" xfId="0" applyFont="1" applyFill="1" applyBorder="1" applyAlignment="1">
      <alignment horizontal="left" vertical="top" wrapText="1"/>
    </xf>
    <xf numFmtId="3" fontId="3" fillId="5" borderId="64" xfId="0" applyNumberFormat="1" applyFont="1" applyFill="1" applyBorder="1" applyAlignment="1">
      <alignment horizontal="right" vertical="top"/>
    </xf>
    <xf numFmtId="3" fontId="4" fillId="5" borderId="34" xfId="0" applyNumberFormat="1" applyFont="1" applyFill="1" applyBorder="1" applyAlignment="1">
      <alignment horizontal="right" vertical="top"/>
    </xf>
    <xf numFmtId="3" fontId="4" fillId="5" borderId="65" xfId="0" applyNumberFormat="1" applyFont="1" applyFill="1" applyBorder="1" applyAlignment="1">
      <alignment horizontal="right" vertical="top"/>
    </xf>
    <xf numFmtId="3" fontId="4" fillId="0" borderId="37" xfId="0" applyNumberFormat="1" applyFont="1" applyFill="1" applyBorder="1" applyAlignment="1">
      <alignment vertical="top" wrapText="1"/>
    </xf>
    <xf numFmtId="3" fontId="2" fillId="0" borderId="62" xfId="0" applyNumberFormat="1" applyFont="1" applyFill="1" applyBorder="1" applyAlignment="1">
      <alignment vertical="top" wrapText="1"/>
    </xf>
    <xf numFmtId="3" fontId="1" fillId="6" borderId="24" xfId="0" applyNumberFormat="1" applyFont="1" applyFill="1" applyBorder="1" applyAlignment="1">
      <alignment horizontal="left" vertical="top" wrapText="1"/>
    </xf>
    <xf numFmtId="3" fontId="4" fillId="6" borderId="36" xfId="0" applyNumberFormat="1" applyFont="1" applyFill="1" applyBorder="1" applyAlignment="1">
      <alignment horizontal="left" vertical="top" wrapText="1"/>
    </xf>
    <xf numFmtId="49" fontId="3" fillId="0" borderId="13"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3" fontId="11" fillId="0" borderId="41" xfId="0" applyNumberFormat="1" applyFont="1" applyFill="1" applyBorder="1" applyAlignment="1">
      <alignment horizontal="center" vertical="top" wrapText="1"/>
    </xf>
    <xf numFmtId="3" fontId="11" fillId="0" borderId="62" xfId="0" applyNumberFormat="1" applyFont="1" applyFill="1" applyBorder="1" applyAlignment="1">
      <alignment horizontal="center" vertical="top" wrapText="1"/>
    </xf>
    <xf numFmtId="3" fontId="3" fillId="0" borderId="54" xfId="0" applyNumberFormat="1" applyFont="1" applyFill="1" applyBorder="1" applyAlignment="1">
      <alignment horizontal="center" vertical="top" wrapText="1"/>
    </xf>
    <xf numFmtId="3" fontId="3" fillId="0" borderId="60" xfId="0" applyNumberFormat="1" applyFont="1" applyFill="1" applyBorder="1" applyAlignment="1">
      <alignment horizontal="center" vertical="top" wrapText="1"/>
    </xf>
    <xf numFmtId="3" fontId="11" fillId="0" borderId="41" xfId="0" applyNumberFormat="1" applyFont="1" applyFill="1" applyBorder="1" applyAlignment="1">
      <alignment horizontal="center" vertical="center" textRotation="90" wrapText="1"/>
    </xf>
    <xf numFmtId="3" fontId="11" fillId="0" borderId="49" xfId="0" applyNumberFormat="1" applyFont="1" applyFill="1" applyBorder="1" applyAlignment="1">
      <alignment horizontal="center" vertical="center" textRotation="90" wrapText="1"/>
    </xf>
    <xf numFmtId="3" fontId="1" fillId="6" borderId="43" xfId="0" applyNumberFormat="1" applyFont="1" applyFill="1" applyBorder="1" applyAlignment="1">
      <alignment horizontal="left" vertical="top" wrapText="1"/>
    </xf>
    <xf numFmtId="3" fontId="1" fillId="6" borderId="52" xfId="0" applyNumberFormat="1" applyFont="1" applyFill="1" applyBorder="1" applyAlignment="1">
      <alignment horizontal="left" vertical="top" wrapText="1"/>
    </xf>
    <xf numFmtId="3" fontId="4" fillId="6" borderId="39" xfId="0" applyNumberFormat="1" applyFont="1" applyFill="1" applyBorder="1" applyAlignment="1">
      <alignment horizontal="left" vertical="top" wrapText="1"/>
    </xf>
    <xf numFmtId="3" fontId="7" fillId="6" borderId="39" xfId="0" applyNumberFormat="1" applyFont="1" applyFill="1" applyBorder="1" applyAlignment="1">
      <alignment horizontal="center" vertical="center" textRotation="90" wrapText="1"/>
    </xf>
    <xf numFmtId="3" fontId="7" fillId="6" borderId="52" xfId="0" applyNumberFormat="1" applyFont="1" applyFill="1" applyBorder="1" applyAlignment="1">
      <alignment horizontal="center" vertical="center" textRotation="90" wrapText="1"/>
    </xf>
    <xf numFmtId="3" fontId="7" fillId="6" borderId="43" xfId="0" applyNumberFormat="1" applyFont="1" applyFill="1" applyBorder="1" applyAlignment="1">
      <alignment horizontal="left" vertical="center" textRotation="90" wrapText="1"/>
    </xf>
    <xf numFmtId="3" fontId="7" fillId="6" borderId="52" xfId="0" applyNumberFormat="1" applyFont="1" applyFill="1" applyBorder="1" applyAlignment="1">
      <alignment horizontal="left" vertical="center" textRotation="90" wrapText="1"/>
    </xf>
    <xf numFmtId="3" fontId="4" fillId="7" borderId="42" xfId="0" applyNumberFormat="1" applyFont="1" applyFill="1" applyBorder="1" applyAlignment="1">
      <alignment horizontal="left" vertical="top" wrapText="1"/>
    </xf>
    <xf numFmtId="3" fontId="4" fillId="7" borderId="41" xfId="0" applyNumberFormat="1" applyFont="1" applyFill="1" applyBorder="1" applyAlignment="1">
      <alignment horizontal="left" vertical="top" wrapText="1"/>
    </xf>
    <xf numFmtId="3" fontId="4" fillId="0" borderId="49" xfId="0" applyNumberFormat="1" applyFont="1" applyFill="1" applyBorder="1" applyAlignment="1">
      <alignment horizontal="left" vertical="top" wrapText="1"/>
    </xf>
    <xf numFmtId="3" fontId="4" fillId="6" borderId="5" xfId="0" applyNumberFormat="1" applyFont="1" applyFill="1" applyBorder="1" applyAlignment="1">
      <alignment horizontal="center" vertical="top" wrapText="1"/>
    </xf>
    <xf numFmtId="3" fontId="4" fillId="6" borderId="75" xfId="0" applyNumberFormat="1" applyFont="1" applyFill="1" applyBorder="1" applyAlignment="1">
      <alignment horizontal="center" vertical="top" wrapText="1"/>
    </xf>
    <xf numFmtId="3" fontId="12" fillId="0" borderId="0" xfId="0" applyNumberFormat="1" applyFont="1" applyAlignment="1">
      <alignment horizontal="center"/>
    </xf>
    <xf numFmtId="3" fontId="14" fillId="0" borderId="0" xfId="0" applyNumberFormat="1" applyFont="1" applyAlignment="1">
      <alignment horizontal="center" vertical="center" wrapText="1"/>
    </xf>
    <xf numFmtId="3" fontId="1" fillId="0" borderId="1" xfId="0" applyNumberFormat="1" applyFont="1" applyBorder="1" applyAlignment="1">
      <alignment horizontal="right"/>
    </xf>
    <xf numFmtId="3" fontId="1" fillId="0" borderId="61" xfId="0" applyNumberFormat="1" applyFont="1" applyBorder="1" applyAlignment="1">
      <alignment horizontal="center" vertical="center" textRotation="90" wrapText="1"/>
    </xf>
    <xf numFmtId="3" fontId="1" fillId="0" borderId="54" xfId="0" applyNumberFormat="1" applyFont="1" applyBorder="1" applyAlignment="1">
      <alignment horizontal="center" vertical="center" textRotation="90" wrapText="1"/>
    </xf>
    <xf numFmtId="3" fontId="1" fillId="0" borderId="60" xfId="0" applyNumberFormat="1" applyFont="1" applyBorder="1" applyAlignment="1">
      <alignment horizontal="center" vertical="center" textRotation="90" wrapText="1"/>
    </xf>
    <xf numFmtId="3" fontId="1" fillId="0" borderId="7" xfId="0" applyNumberFormat="1" applyFont="1" applyBorder="1" applyAlignment="1">
      <alignment horizontal="center" vertical="center" wrapText="1"/>
    </xf>
    <xf numFmtId="3" fontId="1" fillId="0" borderId="16"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3" fontId="4" fillId="0" borderId="36" xfId="0" applyNumberFormat="1" applyFont="1" applyBorder="1" applyAlignment="1">
      <alignment horizontal="center" vertical="center" textRotation="90" wrapText="1"/>
    </xf>
    <xf numFmtId="3" fontId="4" fillId="0" borderId="39" xfId="0" applyNumberFormat="1" applyFont="1" applyBorder="1" applyAlignment="1">
      <alignment horizontal="center" vertical="center" textRotation="90" wrapText="1"/>
    </xf>
    <xf numFmtId="3" fontId="4" fillId="0" borderId="59" xfId="0" applyNumberFormat="1" applyFont="1" applyBorder="1" applyAlignment="1">
      <alignment horizontal="center" vertical="center" textRotation="90" wrapText="1"/>
    </xf>
    <xf numFmtId="3" fontId="4" fillId="0" borderId="42" xfId="0" applyNumberFormat="1" applyFont="1" applyBorder="1" applyAlignment="1">
      <alignment horizontal="center" vertical="center" wrapText="1"/>
    </xf>
    <xf numFmtId="3" fontId="4" fillId="0" borderId="62" xfId="0" applyNumberFormat="1" applyFont="1" applyBorder="1" applyAlignment="1">
      <alignment horizontal="center" vertical="center" wrapText="1"/>
    </xf>
    <xf numFmtId="3" fontId="4" fillId="0" borderId="2" xfId="0" applyNumberFormat="1" applyFont="1" applyBorder="1" applyAlignment="1">
      <alignment horizontal="center" vertical="center" textRotation="90" wrapText="1"/>
    </xf>
    <xf numFmtId="3" fontId="4" fillId="0" borderId="11" xfId="0" applyNumberFormat="1" applyFont="1" applyBorder="1" applyAlignment="1">
      <alignment horizontal="center" vertical="center" textRotation="90" wrapText="1"/>
    </xf>
    <xf numFmtId="3" fontId="4" fillId="0" borderId="20" xfId="0" applyNumberFormat="1" applyFont="1" applyBorder="1" applyAlignment="1">
      <alignment horizontal="center" vertical="center" textRotation="90" wrapText="1"/>
    </xf>
    <xf numFmtId="3" fontId="4" fillId="0" borderId="3" xfId="0" applyNumberFormat="1" applyFont="1" applyBorder="1" applyAlignment="1">
      <alignment horizontal="center" vertical="center" textRotation="90" wrapText="1"/>
    </xf>
    <xf numFmtId="3" fontId="4" fillId="0" borderId="12" xfId="0" applyNumberFormat="1" applyFont="1" applyBorder="1" applyAlignment="1">
      <alignment horizontal="center" vertical="center" textRotation="90" wrapText="1"/>
    </xf>
    <xf numFmtId="3" fontId="4" fillId="0" borderId="21" xfId="0" applyNumberFormat="1" applyFont="1" applyBorder="1" applyAlignment="1">
      <alignment horizontal="center" vertical="center" textRotation="90" wrapText="1"/>
    </xf>
    <xf numFmtId="49" fontId="4" fillId="0" borderId="4" xfId="0" applyNumberFormat="1" applyFont="1" applyBorder="1" applyAlignment="1">
      <alignment horizontal="center" vertical="center" textRotation="90" wrapText="1"/>
    </xf>
    <xf numFmtId="49" fontId="4" fillId="0" borderId="13" xfId="0" applyNumberFormat="1" applyFont="1" applyBorder="1" applyAlignment="1">
      <alignment horizontal="center" vertical="center" textRotation="90" wrapText="1"/>
    </xf>
    <xf numFmtId="49" fontId="4" fillId="0" borderId="22" xfId="0" applyNumberFormat="1" applyFont="1" applyBorder="1" applyAlignment="1">
      <alignment horizontal="center" vertical="center" textRotation="90" wrapText="1"/>
    </xf>
    <xf numFmtId="3" fontId="4" fillId="0" borderId="4"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11" fillId="0" borderId="5" xfId="0" applyNumberFormat="1" applyFont="1" applyBorder="1" applyAlignment="1">
      <alignment horizontal="center" vertical="center" textRotation="90" wrapText="1"/>
    </xf>
    <xf numFmtId="3" fontId="11" fillId="0" borderId="14" xfId="0" applyNumberFormat="1" applyFont="1" applyBorder="1" applyAlignment="1">
      <alignment horizontal="center" vertical="center" textRotation="90" wrapText="1"/>
    </xf>
    <xf numFmtId="3" fontId="11" fillId="0" borderId="23" xfId="0" applyNumberFormat="1" applyFont="1" applyBorder="1" applyAlignment="1">
      <alignment horizontal="center" vertical="center" textRotation="90" wrapText="1"/>
    </xf>
    <xf numFmtId="3" fontId="4" fillId="6" borderId="72" xfId="0" applyNumberFormat="1" applyFont="1" applyFill="1" applyBorder="1" applyAlignment="1">
      <alignment horizontal="center" vertical="top" wrapText="1"/>
    </xf>
    <xf numFmtId="49" fontId="1" fillId="6" borderId="27" xfId="0" applyNumberFormat="1" applyFont="1" applyFill="1" applyBorder="1" applyAlignment="1">
      <alignment horizontal="left" vertical="top" wrapText="1"/>
    </xf>
    <xf numFmtId="49" fontId="1" fillId="6" borderId="29" xfId="0" applyNumberFormat="1" applyFont="1" applyFill="1" applyBorder="1" applyAlignment="1">
      <alignment horizontal="left" vertical="top" wrapText="1"/>
    </xf>
    <xf numFmtId="3" fontId="1" fillId="7" borderId="0" xfId="1" applyNumberFormat="1" applyFont="1" applyFill="1" applyBorder="1" applyAlignment="1">
      <alignment horizontal="left" vertical="top" wrapText="1"/>
    </xf>
    <xf numFmtId="3" fontId="4" fillId="0" borderId="27" xfId="0" applyNumberFormat="1" applyFont="1" applyBorder="1" applyAlignment="1">
      <alignment horizontal="center" vertical="center" wrapText="1"/>
    </xf>
    <xf numFmtId="3" fontId="4" fillId="0" borderId="28" xfId="0" applyNumberFormat="1" applyFont="1" applyBorder="1" applyAlignment="1">
      <alignment horizontal="center" vertical="center" wrapText="1"/>
    </xf>
    <xf numFmtId="3" fontId="4" fillId="0" borderId="36"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4" fillId="0" borderId="59" xfId="0" applyNumberFormat="1" applyFont="1" applyBorder="1" applyAlignment="1">
      <alignment horizontal="center" vertical="center" wrapText="1"/>
    </xf>
    <xf numFmtId="3" fontId="4" fillId="0" borderId="61" xfId="0" applyNumberFormat="1" applyFont="1" applyBorder="1" applyAlignment="1">
      <alignment horizontal="center" vertical="center" wrapText="1"/>
    </xf>
    <xf numFmtId="3" fontId="4" fillId="0" borderId="54" xfId="0" applyNumberFormat="1" applyFont="1" applyBorder="1" applyAlignment="1">
      <alignment horizontal="center" vertical="center" wrapText="1"/>
    </xf>
    <xf numFmtId="3" fontId="4" fillId="0" borderId="60" xfId="0" applyNumberFormat="1" applyFont="1" applyBorder="1" applyAlignment="1">
      <alignment horizontal="center" vertical="center" wrapText="1"/>
    </xf>
    <xf numFmtId="3" fontId="4" fillId="0" borderId="41" xfId="0" applyNumberFormat="1" applyFont="1" applyBorder="1" applyAlignment="1">
      <alignment horizontal="center" vertical="center" textRotation="90" wrapText="1"/>
    </xf>
    <xf numFmtId="164" fontId="1" fillId="0" borderId="13" xfId="0" applyNumberFormat="1" applyFont="1" applyBorder="1" applyAlignment="1">
      <alignment horizontal="center" vertical="center" textRotation="90" wrapText="1"/>
    </xf>
    <xf numFmtId="3" fontId="4" fillId="0" borderId="29" xfId="0" applyNumberFormat="1" applyFont="1" applyBorder="1" applyAlignment="1">
      <alignment horizontal="center" vertical="center" wrapText="1"/>
    </xf>
    <xf numFmtId="164" fontId="1" fillId="0" borderId="15" xfId="0" applyNumberFormat="1" applyFont="1" applyBorder="1" applyAlignment="1">
      <alignment horizontal="center" vertical="center" textRotation="90" wrapText="1"/>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4" fillId="6" borderId="14" xfId="0" applyNumberFormat="1" applyFont="1" applyFill="1" applyBorder="1" applyAlignment="1">
      <alignment horizontal="center" vertical="top" wrapText="1"/>
    </xf>
    <xf numFmtId="3" fontId="4" fillId="6" borderId="61" xfId="0" applyNumberFormat="1" applyFont="1" applyFill="1" applyBorder="1" applyAlignment="1">
      <alignment horizontal="center" vertical="top" wrapText="1"/>
    </xf>
    <xf numFmtId="3" fontId="4" fillId="6" borderId="53" xfId="0" applyNumberFormat="1" applyFont="1" applyFill="1" applyBorder="1" applyAlignment="1">
      <alignment horizontal="center" vertical="top" wrapText="1"/>
    </xf>
    <xf numFmtId="3" fontId="4" fillId="6" borderId="45" xfId="0" applyNumberFormat="1" applyFont="1" applyFill="1" applyBorder="1" applyAlignment="1">
      <alignment horizontal="center" vertical="top" wrapText="1"/>
    </xf>
    <xf numFmtId="3" fontId="4" fillId="6" borderId="54" xfId="0" applyNumberFormat="1" applyFont="1" applyFill="1" applyBorder="1" applyAlignment="1">
      <alignment horizontal="center" vertical="top" wrapText="1"/>
    </xf>
    <xf numFmtId="3" fontId="3" fillId="12" borderId="12" xfId="0" applyNumberFormat="1" applyFont="1" applyFill="1" applyBorder="1" applyAlignment="1">
      <alignment horizontal="left" vertical="top"/>
    </xf>
    <xf numFmtId="3" fontId="3" fillId="12" borderId="17" xfId="0" applyNumberFormat="1" applyFont="1" applyFill="1" applyBorder="1" applyAlignment="1">
      <alignment horizontal="left" vertical="top"/>
    </xf>
    <xf numFmtId="3" fontId="3" fillId="12" borderId="43" xfId="0" applyNumberFormat="1" applyFont="1" applyFill="1" applyBorder="1" applyAlignment="1">
      <alignment horizontal="center" vertical="top" wrapText="1"/>
    </xf>
    <xf numFmtId="3" fontId="3" fillId="12" borderId="39" xfId="0" applyNumberFormat="1" applyFont="1" applyFill="1" applyBorder="1" applyAlignment="1">
      <alignment horizontal="center" vertical="top" wrapText="1"/>
    </xf>
    <xf numFmtId="3" fontId="3" fillId="11" borderId="27" xfId="0" applyNumberFormat="1" applyFont="1" applyFill="1" applyBorder="1" applyAlignment="1">
      <alignment horizontal="left" vertical="top" wrapText="1"/>
    </xf>
    <xf numFmtId="3" fontId="3" fillId="11" borderId="28" xfId="0" applyNumberFormat="1" applyFont="1" applyFill="1" applyBorder="1" applyAlignment="1">
      <alignment horizontal="left" vertical="top" wrapText="1"/>
    </xf>
    <xf numFmtId="3" fontId="3" fillId="11" borderId="29" xfId="0" applyNumberFormat="1" applyFont="1" applyFill="1" applyBorder="1" applyAlignment="1">
      <alignment horizontal="left" vertical="top" wrapText="1"/>
    </xf>
    <xf numFmtId="3" fontId="5" fillId="10" borderId="42" xfId="0" applyNumberFormat="1" applyFont="1" applyFill="1" applyBorder="1" applyAlignment="1">
      <alignment horizontal="left" vertical="top" wrapText="1"/>
    </xf>
    <xf numFmtId="3" fontId="5" fillId="10" borderId="31" xfId="0" applyNumberFormat="1" applyFont="1" applyFill="1" applyBorder="1" applyAlignment="1">
      <alignment horizontal="left" vertical="top" wrapText="1"/>
    </xf>
    <xf numFmtId="3" fontId="5" fillId="10" borderId="32" xfId="0" applyNumberFormat="1" applyFont="1" applyFill="1" applyBorder="1" applyAlignment="1">
      <alignment horizontal="left" vertical="top" wrapText="1"/>
    </xf>
    <xf numFmtId="3" fontId="3" fillId="13" borderId="23" xfId="0" applyNumberFormat="1" applyFont="1" applyFill="1" applyBorder="1" applyAlignment="1">
      <alignment horizontal="left" vertical="top" wrapText="1"/>
    </xf>
    <xf numFmtId="3" fontId="3" fillId="13" borderId="1" xfId="0" applyNumberFormat="1" applyFont="1" applyFill="1" applyBorder="1" applyAlignment="1">
      <alignment horizontal="left" vertical="top" wrapText="1"/>
    </xf>
    <xf numFmtId="3" fontId="3" fillId="13" borderId="24" xfId="0" applyNumberFormat="1" applyFont="1" applyFill="1" applyBorder="1" applyAlignment="1">
      <alignment horizontal="left" vertical="top" wrapText="1"/>
    </xf>
    <xf numFmtId="3" fontId="1" fillId="0" borderId="7" xfId="0" applyNumberFormat="1" applyFont="1" applyFill="1" applyBorder="1" applyAlignment="1">
      <alignment horizontal="center" vertical="top" wrapText="1"/>
    </xf>
    <xf numFmtId="3" fontId="1" fillId="0" borderId="16" xfId="0" applyNumberFormat="1" applyFont="1" applyFill="1" applyBorder="1" applyAlignment="1">
      <alignment horizontal="center" vertical="top" wrapText="1"/>
    </xf>
    <xf numFmtId="3" fontId="4" fillId="6" borderId="62" xfId="0" applyNumberFormat="1" applyFont="1" applyFill="1" applyBorder="1" applyAlignment="1">
      <alignment horizontal="left" vertical="top" wrapText="1"/>
    </xf>
    <xf numFmtId="3" fontId="4" fillId="6" borderId="24" xfId="0" applyNumberFormat="1" applyFont="1" applyFill="1" applyBorder="1" applyAlignment="1">
      <alignment horizontal="left" vertical="top" wrapText="1"/>
    </xf>
    <xf numFmtId="0" fontId="34" fillId="0" borderId="87" xfId="0" applyNumberFormat="1" applyFont="1" applyFill="1" applyBorder="1" applyAlignment="1" applyProtection="1">
      <alignment horizontal="center" wrapText="1" readingOrder="1"/>
    </xf>
    <xf numFmtId="0" fontId="34" fillId="0" borderId="90" xfId="0" applyNumberFormat="1" applyFont="1" applyFill="1" applyBorder="1" applyAlignment="1" applyProtection="1">
      <alignment horizontal="center" wrapText="1" readingOrder="1"/>
    </xf>
    <xf numFmtId="0" fontId="34" fillId="0" borderId="93" xfId="0" applyNumberFormat="1" applyFont="1" applyFill="1" applyBorder="1" applyAlignment="1" applyProtection="1">
      <alignment horizontal="center" wrapText="1" readingOrder="1"/>
    </xf>
    <xf numFmtId="0" fontId="34" fillId="0" borderId="87" xfId="0" applyNumberFormat="1" applyFont="1" applyFill="1" applyBorder="1" applyAlignment="1" applyProtection="1">
      <alignment horizontal="center" wrapText="1"/>
    </xf>
    <xf numFmtId="0" fontId="34" fillId="0" borderId="88" xfId="0" applyNumberFormat="1" applyFont="1" applyFill="1" applyBorder="1" applyAlignment="1" applyProtection="1">
      <alignment horizontal="center" wrapText="1"/>
    </xf>
    <xf numFmtId="0" fontId="34" fillId="0" borderId="90" xfId="0" applyNumberFormat="1" applyFont="1" applyFill="1" applyBorder="1" applyAlignment="1" applyProtection="1">
      <alignment horizontal="center" wrapText="1"/>
    </xf>
    <xf numFmtId="0" fontId="34" fillId="0" borderId="91" xfId="0" applyNumberFormat="1" applyFont="1" applyFill="1" applyBorder="1" applyAlignment="1" applyProtection="1">
      <alignment horizontal="center" wrapText="1" readingOrder="1"/>
    </xf>
    <xf numFmtId="0" fontId="34" fillId="0" borderId="94" xfId="0" applyNumberFormat="1" applyFont="1" applyFill="1" applyBorder="1" applyAlignment="1" applyProtection="1">
      <alignment horizontal="center" wrapText="1" readingOrder="1"/>
    </xf>
    <xf numFmtId="0" fontId="34" fillId="0" borderId="86" xfId="0" applyNumberFormat="1" applyFont="1" applyFill="1" applyBorder="1" applyAlignment="1" applyProtection="1">
      <alignment horizontal="center" wrapText="1" readingOrder="1"/>
    </xf>
    <xf numFmtId="0" fontId="34" fillId="0" borderId="89" xfId="0" applyNumberFormat="1" applyFont="1" applyFill="1" applyBorder="1" applyAlignment="1" applyProtection="1">
      <alignment horizontal="center" wrapText="1" readingOrder="1"/>
    </xf>
    <xf numFmtId="0" fontId="34" fillId="0" borderId="92" xfId="0" applyNumberFormat="1" applyFont="1" applyFill="1" applyBorder="1" applyAlignment="1" applyProtection="1">
      <alignment horizontal="center" wrapText="1" readingOrder="1"/>
    </xf>
    <xf numFmtId="0" fontId="12" fillId="0" borderId="0" xfId="0" applyFont="1" applyAlignment="1">
      <alignment horizontal="right"/>
    </xf>
    <xf numFmtId="3" fontId="4" fillId="0" borderId="48" xfId="0" applyNumberFormat="1" applyFont="1" applyFill="1" applyBorder="1" applyAlignment="1">
      <alignment horizontal="left" vertical="top" wrapText="1"/>
    </xf>
    <xf numFmtId="3" fontId="3" fillId="8" borderId="8" xfId="0" applyNumberFormat="1" applyFont="1" applyFill="1" applyBorder="1" applyAlignment="1">
      <alignment horizontal="right" vertical="top" wrapText="1"/>
    </xf>
    <xf numFmtId="3" fontId="3" fillId="8" borderId="9" xfId="0" applyNumberFormat="1" applyFont="1" applyFill="1" applyBorder="1" applyAlignment="1">
      <alignment horizontal="right" vertical="top" wrapText="1"/>
    </xf>
    <xf numFmtId="3" fontId="3" fillId="8" borderId="10" xfId="0" applyNumberFormat="1" applyFont="1" applyFill="1" applyBorder="1" applyAlignment="1">
      <alignment horizontal="right" vertical="top" wrapText="1"/>
    </xf>
    <xf numFmtId="3" fontId="6" fillId="7" borderId="0" xfId="0" applyNumberFormat="1" applyFont="1" applyFill="1" applyBorder="1" applyAlignment="1">
      <alignment horizontal="center" vertical="top" wrapText="1"/>
    </xf>
    <xf numFmtId="3" fontId="4" fillId="0" borderId="19" xfId="0" applyNumberFormat="1" applyFont="1" applyBorder="1" applyAlignment="1">
      <alignment horizontal="left" vertical="top" wrapText="1"/>
    </xf>
    <xf numFmtId="3" fontId="1" fillId="7" borderId="0" xfId="0" applyNumberFormat="1" applyFont="1" applyFill="1" applyBorder="1" applyAlignment="1">
      <alignment horizontal="center" vertical="top" wrapText="1"/>
    </xf>
    <xf numFmtId="3" fontId="4" fillId="0" borderId="0" xfId="0" applyNumberFormat="1" applyFont="1" applyBorder="1" applyAlignment="1">
      <alignment horizontal="left" vertical="top" wrapText="1"/>
    </xf>
    <xf numFmtId="3" fontId="4" fillId="0" borderId="56" xfId="0" applyNumberFormat="1" applyFont="1" applyFill="1" applyBorder="1" applyAlignment="1">
      <alignment horizontal="left" vertical="top" wrapText="1"/>
    </xf>
    <xf numFmtId="3" fontId="3" fillId="3" borderId="8" xfId="0" applyNumberFormat="1" applyFont="1" applyFill="1" applyBorder="1" applyAlignment="1">
      <alignment horizontal="left" vertical="top" wrapText="1"/>
    </xf>
    <xf numFmtId="3" fontId="3" fillId="3" borderId="9" xfId="0" applyNumberFormat="1" applyFont="1" applyFill="1" applyBorder="1" applyAlignment="1">
      <alignment horizontal="left" vertical="top" wrapText="1"/>
    </xf>
    <xf numFmtId="3" fontId="3" fillId="3" borderId="10" xfId="0" applyNumberFormat="1" applyFont="1" applyFill="1" applyBorder="1" applyAlignment="1">
      <alignment horizontal="left" vertical="top" wrapText="1"/>
    </xf>
    <xf numFmtId="3" fontId="4" fillId="7" borderId="0" xfId="0" applyNumberFormat="1" applyFont="1" applyFill="1" applyBorder="1" applyAlignment="1">
      <alignment horizontal="left" vertical="top" wrapText="1"/>
    </xf>
    <xf numFmtId="3" fontId="4" fillId="7" borderId="15" xfId="0" applyNumberFormat="1" applyFont="1" applyFill="1" applyBorder="1" applyAlignment="1">
      <alignment horizontal="left" vertical="top" wrapText="1"/>
    </xf>
    <xf numFmtId="3" fontId="4" fillId="0" borderId="0"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3" fillId="0" borderId="0" xfId="0" applyNumberFormat="1" applyFont="1" applyFill="1" applyBorder="1" applyAlignment="1">
      <alignment horizontal="center" vertical="center" wrapText="1"/>
    </xf>
    <xf numFmtId="3" fontId="1" fillId="0" borderId="6" xfId="0" applyNumberFormat="1" applyFont="1" applyBorder="1" applyAlignment="1">
      <alignment horizontal="center" vertical="center" wrapText="1"/>
    </xf>
    <xf numFmtId="3" fontId="1" fillId="7" borderId="0" xfId="0" applyNumberFormat="1" applyFont="1" applyFill="1" applyBorder="1" applyAlignment="1">
      <alignment horizontal="center" vertical="center" wrapText="1"/>
    </xf>
    <xf numFmtId="3" fontId="3" fillId="4" borderId="1" xfId="0" applyNumberFormat="1" applyFont="1" applyFill="1" applyBorder="1" applyAlignment="1">
      <alignment horizontal="right" vertical="top"/>
    </xf>
    <xf numFmtId="3" fontId="4" fillId="4" borderId="8" xfId="0" applyNumberFormat="1" applyFont="1" applyFill="1" applyBorder="1" applyAlignment="1">
      <alignment horizontal="center" vertical="top"/>
    </xf>
    <xf numFmtId="3" fontId="4" fillId="4" borderId="9" xfId="0" applyNumberFormat="1" applyFont="1" applyFill="1" applyBorder="1" applyAlignment="1">
      <alignment horizontal="center" vertical="top"/>
    </xf>
    <xf numFmtId="3" fontId="4" fillId="4" borderId="10" xfId="0" applyNumberFormat="1" applyFont="1" applyFill="1" applyBorder="1" applyAlignment="1">
      <alignment horizontal="center" vertical="top"/>
    </xf>
    <xf numFmtId="3" fontId="3" fillId="3" borderId="65" xfId="0" applyNumberFormat="1" applyFont="1" applyFill="1" applyBorder="1" applyAlignment="1">
      <alignment horizontal="right" vertical="center"/>
    </xf>
    <xf numFmtId="3" fontId="3" fillId="3" borderId="9" xfId="0" applyNumberFormat="1" applyFont="1" applyFill="1" applyBorder="1" applyAlignment="1">
      <alignment horizontal="right" vertical="center"/>
    </xf>
    <xf numFmtId="3" fontId="4" fillId="3" borderId="8" xfId="0" applyNumberFormat="1" applyFont="1" applyFill="1" applyBorder="1" applyAlignment="1">
      <alignment horizontal="center" vertical="center" wrapText="1"/>
    </xf>
    <xf numFmtId="3" fontId="4" fillId="3" borderId="9" xfId="0" applyNumberFormat="1" applyFont="1" applyFill="1" applyBorder="1" applyAlignment="1">
      <alignment horizontal="center" vertical="center" wrapText="1"/>
    </xf>
    <xf numFmtId="3" fontId="4" fillId="3" borderId="10" xfId="0" applyNumberFormat="1" applyFont="1" applyFill="1" applyBorder="1" applyAlignment="1">
      <alignment horizontal="center" vertical="center" wrapText="1"/>
    </xf>
    <xf numFmtId="3" fontId="1" fillId="0" borderId="35" xfId="0" applyNumberFormat="1" applyFont="1" applyBorder="1" applyAlignment="1">
      <alignment horizontal="left" vertical="top" wrapText="1"/>
    </xf>
    <xf numFmtId="49" fontId="3" fillId="7" borderId="5" xfId="0" applyNumberFormat="1" applyFont="1" applyFill="1" applyBorder="1" applyAlignment="1">
      <alignment horizontal="center" vertical="top"/>
    </xf>
    <xf numFmtId="49" fontId="3" fillId="7" borderId="14" xfId="0" applyNumberFormat="1" applyFont="1" applyFill="1" applyBorder="1" applyAlignment="1">
      <alignment horizontal="center" vertical="top"/>
    </xf>
    <xf numFmtId="49" fontId="3" fillId="7" borderId="23" xfId="0" applyNumberFormat="1" applyFont="1" applyFill="1" applyBorder="1" applyAlignment="1">
      <alignment horizontal="center" vertical="top"/>
    </xf>
    <xf numFmtId="3" fontId="4" fillId="0" borderId="16" xfId="0" applyNumberFormat="1" applyFont="1" applyBorder="1" applyAlignment="1">
      <alignment horizontal="left" vertical="top" wrapText="1"/>
    </xf>
    <xf numFmtId="3" fontId="4" fillId="0" borderId="25" xfId="0" applyNumberFormat="1" applyFont="1" applyBorder="1" applyAlignment="1">
      <alignment horizontal="left" vertical="top" wrapText="1"/>
    </xf>
    <xf numFmtId="49" fontId="4" fillId="0" borderId="13" xfId="0" applyNumberFormat="1" applyFont="1" applyBorder="1" applyAlignment="1">
      <alignment horizontal="center" vertical="top" wrapText="1"/>
    </xf>
    <xf numFmtId="49" fontId="4" fillId="0" borderId="22" xfId="0" applyNumberFormat="1" applyFont="1" applyBorder="1" applyAlignment="1">
      <alignment horizontal="center" vertical="top" wrapText="1"/>
    </xf>
    <xf numFmtId="49" fontId="4" fillId="0" borderId="44" xfId="0" applyNumberFormat="1" applyFont="1" applyBorder="1" applyAlignment="1">
      <alignment horizontal="center" vertical="top" wrapText="1"/>
    </xf>
    <xf numFmtId="49" fontId="4" fillId="0" borderId="50" xfId="0" applyNumberFormat="1" applyFont="1" applyBorder="1" applyAlignment="1">
      <alignment horizontal="center" vertical="top" wrapText="1"/>
    </xf>
    <xf numFmtId="0" fontId="4" fillId="0" borderId="37" xfId="0" applyFont="1" applyFill="1" applyBorder="1" applyAlignment="1">
      <alignment horizontal="left" vertical="top" wrapText="1"/>
    </xf>
    <xf numFmtId="0" fontId="4" fillId="0" borderId="62" xfId="0" applyFont="1" applyFill="1" applyBorder="1" applyAlignment="1">
      <alignment horizontal="left" vertical="top" wrapText="1"/>
    </xf>
    <xf numFmtId="3" fontId="4" fillId="6" borderId="45" xfId="0" applyNumberFormat="1" applyFont="1" applyFill="1" applyBorder="1" applyAlignment="1">
      <alignment horizontal="center" vertical="top"/>
    </xf>
    <xf numFmtId="3" fontId="4" fillId="6" borderId="53" xfId="0" applyNumberFormat="1" applyFont="1" applyFill="1" applyBorder="1" applyAlignment="1">
      <alignment horizontal="center" vertical="top"/>
    </xf>
    <xf numFmtId="0" fontId="4" fillId="0" borderId="7" xfId="0" applyFont="1" applyFill="1" applyBorder="1" applyAlignment="1">
      <alignment horizontal="left" vertical="top" wrapText="1"/>
    </xf>
    <xf numFmtId="0" fontId="4" fillId="0" borderId="25" xfId="0" applyFont="1" applyFill="1" applyBorder="1" applyAlignment="1">
      <alignment horizontal="left" vertical="top" wrapText="1"/>
    </xf>
    <xf numFmtId="3" fontId="3" fillId="5" borderId="8" xfId="0" applyNumberFormat="1" applyFont="1" applyFill="1" applyBorder="1" applyAlignment="1">
      <alignment horizontal="left" vertical="top"/>
    </xf>
    <xf numFmtId="3" fontId="3" fillId="0" borderId="41" xfId="0" applyNumberFormat="1" applyFont="1" applyBorder="1" applyAlignment="1">
      <alignment horizontal="center" vertical="center" textRotation="90"/>
    </xf>
    <xf numFmtId="3" fontId="4" fillId="0" borderId="16" xfId="0" applyNumberFormat="1" applyFont="1" applyBorder="1" applyAlignment="1">
      <alignment horizontal="center" vertical="top" wrapText="1"/>
    </xf>
    <xf numFmtId="3" fontId="4" fillId="7" borderId="40" xfId="0" applyNumberFormat="1" applyFont="1" applyFill="1" applyBorder="1" applyAlignment="1">
      <alignment horizontal="left" vertical="top" wrapText="1"/>
    </xf>
    <xf numFmtId="3" fontId="4" fillId="7" borderId="16" xfId="0" applyNumberFormat="1" applyFont="1" applyFill="1" applyBorder="1" applyAlignment="1">
      <alignment horizontal="left" vertical="top" wrapText="1"/>
    </xf>
    <xf numFmtId="3" fontId="4" fillId="7" borderId="48" xfId="0" applyNumberFormat="1" applyFont="1" applyFill="1" applyBorder="1" applyAlignment="1">
      <alignment horizontal="left" vertical="top" wrapText="1"/>
    </xf>
    <xf numFmtId="3" fontId="4" fillId="0" borderId="7"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3" fontId="3" fillId="0" borderId="39" xfId="0" applyNumberFormat="1" applyFont="1" applyBorder="1" applyAlignment="1">
      <alignment horizontal="center" vertical="center" textRotation="90"/>
    </xf>
    <xf numFmtId="3" fontId="3" fillId="0" borderId="52" xfId="0" applyNumberFormat="1" applyFont="1" applyBorder="1" applyAlignment="1">
      <alignment horizontal="center" vertical="center" textRotation="90"/>
    </xf>
    <xf numFmtId="3" fontId="1" fillId="0" borderId="45" xfId="0" applyNumberFormat="1" applyFont="1" applyFill="1" applyBorder="1" applyAlignment="1">
      <alignment horizontal="center" vertical="top"/>
    </xf>
    <xf numFmtId="3" fontId="1" fillId="0" borderId="54" xfId="0" applyNumberFormat="1" applyFont="1" applyFill="1" applyBorder="1" applyAlignment="1">
      <alignment horizontal="center" vertical="top"/>
    </xf>
    <xf numFmtId="3" fontId="1" fillId="6" borderId="40" xfId="0" applyNumberFormat="1" applyFont="1" applyFill="1" applyBorder="1" applyAlignment="1">
      <alignment horizontal="center" vertical="top" wrapText="1"/>
    </xf>
    <xf numFmtId="3" fontId="1" fillId="9" borderId="23" xfId="0" applyNumberFormat="1" applyFont="1" applyFill="1" applyBorder="1" applyAlignment="1">
      <alignment horizontal="center" vertical="top"/>
    </xf>
    <xf numFmtId="3" fontId="1" fillId="9" borderId="1" xfId="0" applyNumberFormat="1" applyFont="1" applyFill="1" applyBorder="1" applyAlignment="1">
      <alignment horizontal="center" vertical="top"/>
    </xf>
    <xf numFmtId="3" fontId="4" fillId="9" borderId="55" xfId="0" applyNumberFormat="1" applyFont="1" applyFill="1" applyBorder="1" applyAlignment="1">
      <alignment horizontal="center" vertical="top" wrapText="1"/>
    </xf>
    <xf numFmtId="3" fontId="4" fillId="9" borderId="56" xfId="0" applyNumberFormat="1" applyFont="1" applyFill="1" applyBorder="1" applyAlignment="1">
      <alignment horizontal="center" vertical="top" wrapText="1"/>
    </xf>
    <xf numFmtId="3" fontId="4" fillId="9" borderId="57" xfId="0" applyNumberFormat="1" applyFont="1" applyFill="1" applyBorder="1" applyAlignment="1">
      <alignment horizontal="center" vertical="top" wrapText="1"/>
    </xf>
    <xf numFmtId="3" fontId="3" fillId="5" borderId="8" xfId="0" applyNumberFormat="1" applyFont="1" applyFill="1" applyBorder="1" applyAlignment="1">
      <alignment horizontal="right" vertical="top"/>
    </xf>
    <xf numFmtId="3" fontId="3" fillId="5" borderId="10" xfId="0" applyNumberFormat="1" applyFont="1" applyFill="1" applyBorder="1" applyAlignment="1">
      <alignment horizontal="right" vertical="top"/>
    </xf>
    <xf numFmtId="3" fontId="3" fillId="9" borderId="23" xfId="0" applyNumberFormat="1" applyFont="1" applyFill="1" applyBorder="1" applyAlignment="1">
      <alignment horizontal="center" vertical="top"/>
    </xf>
    <xf numFmtId="3" fontId="3" fillId="9" borderId="56" xfId="0" applyNumberFormat="1" applyFont="1" applyFill="1" applyBorder="1" applyAlignment="1">
      <alignment horizontal="center" vertical="top"/>
    </xf>
    <xf numFmtId="3" fontId="3" fillId="9" borderId="57" xfId="0" applyNumberFormat="1" applyFont="1" applyFill="1" applyBorder="1" applyAlignment="1">
      <alignment horizontal="center" vertical="top"/>
    </xf>
    <xf numFmtId="3" fontId="4" fillId="9" borderId="55" xfId="0" applyNumberFormat="1" applyFont="1" applyFill="1" applyBorder="1" applyAlignment="1">
      <alignment horizontal="center" vertical="top"/>
    </xf>
    <xf numFmtId="3" fontId="4" fillId="9" borderId="1" xfId="0" applyNumberFormat="1" applyFont="1" applyFill="1" applyBorder="1" applyAlignment="1">
      <alignment horizontal="center" vertical="top"/>
    </xf>
    <xf numFmtId="3" fontId="4" fillId="9" borderId="24" xfId="0" applyNumberFormat="1" applyFont="1" applyFill="1" applyBorder="1" applyAlignment="1">
      <alignment horizontal="center" vertical="top"/>
    </xf>
    <xf numFmtId="3" fontId="1" fillId="7" borderId="15" xfId="0" applyNumberFormat="1" applyFont="1" applyFill="1" applyBorder="1" applyAlignment="1">
      <alignment horizontal="left" vertical="top" wrapText="1"/>
    </xf>
    <xf numFmtId="3" fontId="1" fillId="7" borderId="66" xfId="0" applyNumberFormat="1" applyFont="1" applyFill="1" applyBorder="1" applyAlignment="1">
      <alignment horizontal="left" vertical="top" wrapText="1"/>
    </xf>
    <xf numFmtId="3" fontId="4" fillId="7" borderId="44" xfId="0" applyNumberFormat="1" applyFont="1" applyFill="1" applyBorder="1" applyAlignment="1">
      <alignment horizontal="center" vertical="top" wrapText="1"/>
    </xf>
    <xf numFmtId="3" fontId="4" fillId="7" borderId="13" xfId="0" applyNumberFormat="1" applyFont="1" applyFill="1" applyBorder="1" applyAlignment="1">
      <alignment horizontal="center" vertical="top" wrapText="1"/>
    </xf>
    <xf numFmtId="3" fontId="4" fillId="7" borderId="45" xfId="0" applyNumberFormat="1" applyFont="1" applyFill="1" applyBorder="1" applyAlignment="1">
      <alignment horizontal="center" vertical="top" wrapText="1"/>
    </xf>
    <xf numFmtId="3" fontId="4" fillId="7" borderId="54" xfId="0" applyNumberFormat="1" applyFont="1" applyFill="1" applyBorder="1" applyAlignment="1">
      <alignment horizontal="center" vertical="top" wrapText="1"/>
    </xf>
    <xf numFmtId="3" fontId="1" fillId="0" borderId="48" xfId="0" applyNumberFormat="1" applyFont="1" applyBorder="1" applyAlignment="1">
      <alignment horizontal="center" vertical="top" wrapText="1"/>
    </xf>
    <xf numFmtId="3" fontId="1" fillId="7" borderId="42" xfId="0" applyNumberFormat="1" applyFont="1" applyFill="1" applyBorder="1" applyAlignment="1">
      <alignment horizontal="left" vertical="top" wrapText="1"/>
    </xf>
    <xf numFmtId="3" fontId="1" fillId="7" borderId="49" xfId="0" applyNumberFormat="1" applyFont="1" applyFill="1" applyBorder="1" applyAlignment="1">
      <alignment horizontal="left" vertical="top" wrapText="1"/>
    </xf>
    <xf numFmtId="3" fontId="4" fillId="7" borderId="49" xfId="0" applyNumberFormat="1" applyFont="1" applyFill="1" applyBorder="1" applyAlignment="1">
      <alignment horizontal="left" vertical="top" wrapText="1"/>
    </xf>
    <xf numFmtId="3" fontId="4" fillId="0" borderId="40" xfId="0" applyNumberFormat="1" applyFont="1" applyBorder="1" applyAlignment="1">
      <alignment horizontal="center" vertical="top" wrapText="1"/>
    </xf>
    <xf numFmtId="3" fontId="4" fillId="0" borderId="48" xfId="0" applyNumberFormat="1" applyFont="1" applyBorder="1" applyAlignment="1">
      <alignment horizontal="center" vertical="top" wrapText="1"/>
    </xf>
    <xf numFmtId="3" fontId="10" fillId="6" borderId="49" xfId="0" applyNumberFormat="1" applyFont="1" applyFill="1" applyBorder="1" applyAlignment="1">
      <alignment horizontal="left" vertical="top" wrapText="1"/>
    </xf>
    <xf numFmtId="3" fontId="6" fillId="6" borderId="45" xfId="0" applyNumberFormat="1" applyFont="1" applyFill="1" applyBorder="1" applyAlignment="1">
      <alignment horizontal="center" vertical="top"/>
    </xf>
    <xf numFmtId="3" fontId="6" fillId="6" borderId="53" xfId="0" applyNumberFormat="1" applyFont="1" applyFill="1" applyBorder="1" applyAlignment="1">
      <alignment horizontal="center" vertical="top"/>
    </xf>
    <xf numFmtId="3" fontId="1" fillId="6" borderId="48" xfId="0" applyNumberFormat="1" applyFont="1" applyFill="1" applyBorder="1" applyAlignment="1">
      <alignment horizontal="center" vertical="top" wrapText="1"/>
    </xf>
    <xf numFmtId="3" fontId="6" fillId="5" borderId="9" xfId="0" applyNumberFormat="1" applyFont="1" applyFill="1" applyBorder="1" applyAlignment="1">
      <alignment horizontal="left" vertical="top"/>
    </xf>
    <xf numFmtId="3" fontId="6" fillId="5" borderId="10" xfId="0" applyNumberFormat="1" applyFont="1" applyFill="1" applyBorder="1" applyAlignment="1">
      <alignment horizontal="left" vertical="top"/>
    </xf>
    <xf numFmtId="3" fontId="4" fillId="0" borderId="12" xfId="0" applyNumberFormat="1" applyFont="1" applyFill="1" applyBorder="1" applyAlignment="1">
      <alignment horizontal="center" vertical="top"/>
    </xf>
    <xf numFmtId="3" fontId="4" fillId="0" borderId="21" xfId="0" applyNumberFormat="1" applyFont="1" applyFill="1" applyBorder="1" applyAlignment="1">
      <alignment horizontal="center" vertical="top"/>
    </xf>
    <xf numFmtId="3" fontId="4" fillId="0" borderId="47" xfId="0" applyNumberFormat="1" applyFont="1" applyFill="1" applyBorder="1" applyAlignment="1">
      <alignment horizontal="center" vertical="top"/>
    </xf>
    <xf numFmtId="3" fontId="4" fillId="0" borderId="26" xfId="0" applyNumberFormat="1" applyFont="1" applyFill="1" applyBorder="1" applyAlignment="1">
      <alignment horizontal="center" vertical="top"/>
    </xf>
    <xf numFmtId="3" fontId="3" fillId="6" borderId="25" xfId="0" applyNumberFormat="1" applyFont="1" applyFill="1" applyBorder="1" applyAlignment="1">
      <alignment horizontal="left" vertical="top" wrapText="1"/>
    </xf>
    <xf numFmtId="3" fontId="4" fillId="0" borderId="37" xfId="0" applyNumberFormat="1" applyFont="1" applyFill="1" applyBorder="1" applyAlignment="1">
      <alignment horizontal="center" vertical="top" textRotation="90" wrapText="1"/>
    </xf>
    <xf numFmtId="3" fontId="4" fillId="0" borderId="62" xfId="0" applyNumberFormat="1" applyFont="1" applyFill="1" applyBorder="1" applyAlignment="1">
      <alignment horizontal="center" vertical="top" textRotation="90" wrapText="1"/>
    </xf>
    <xf numFmtId="49" fontId="4" fillId="0" borderId="4" xfId="0" applyNumberFormat="1" applyFont="1" applyBorder="1" applyAlignment="1">
      <alignment horizontal="center" vertical="top" wrapText="1"/>
    </xf>
    <xf numFmtId="3" fontId="3" fillId="0" borderId="6" xfId="0" applyNumberFormat="1" applyFont="1" applyBorder="1" applyAlignment="1">
      <alignment horizontal="center" vertical="top"/>
    </xf>
    <xf numFmtId="3" fontId="3" fillId="0" borderId="24" xfId="0" applyNumberFormat="1" applyFont="1" applyBorder="1" applyAlignment="1">
      <alignment horizontal="center" vertical="top"/>
    </xf>
    <xf numFmtId="3" fontId="4" fillId="0" borderId="7" xfId="0" applyNumberFormat="1" applyFont="1" applyBorder="1" applyAlignment="1">
      <alignment horizontal="center" vertical="top" wrapText="1"/>
    </xf>
    <xf numFmtId="3" fontId="4" fillId="0" borderId="25" xfId="0" applyNumberFormat="1" applyFont="1" applyBorder="1" applyAlignment="1">
      <alignment horizontal="center" vertical="top" wrapText="1"/>
    </xf>
    <xf numFmtId="3" fontId="4" fillId="0" borderId="11" xfId="0" applyNumberFormat="1" applyFont="1" applyFill="1" applyBorder="1" applyAlignment="1">
      <alignment horizontal="center" vertical="top"/>
    </xf>
    <xf numFmtId="3" fontId="4" fillId="0" borderId="20" xfId="0" applyNumberFormat="1" applyFont="1" applyFill="1" applyBorder="1" applyAlignment="1">
      <alignment horizontal="center" vertical="top"/>
    </xf>
    <xf numFmtId="3" fontId="4" fillId="0" borderId="41" xfId="0" applyNumberFormat="1" applyFont="1" applyFill="1" applyBorder="1" applyAlignment="1">
      <alignment horizontal="center" vertical="top" textRotation="90" wrapText="1"/>
    </xf>
    <xf numFmtId="3" fontId="3" fillId="0" borderId="15" xfId="0" applyNumberFormat="1" applyFont="1" applyBorder="1" applyAlignment="1">
      <alignment horizontal="center" vertical="top"/>
    </xf>
    <xf numFmtId="3" fontId="6" fillId="0" borderId="60" xfId="0" applyNumberFormat="1" applyFont="1" applyBorder="1" applyAlignment="1">
      <alignment horizontal="center" vertical="top" wrapText="1"/>
    </xf>
    <xf numFmtId="3" fontId="3" fillId="4" borderId="39" xfId="0" applyNumberFormat="1" applyFont="1" applyFill="1" applyBorder="1" applyAlignment="1">
      <alignment horizontal="center" vertical="top"/>
    </xf>
    <xf numFmtId="0" fontId="4" fillId="0" borderId="40" xfId="0" applyFont="1" applyFill="1" applyBorder="1" applyAlignment="1">
      <alignment horizontal="left" vertical="top" wrapText="1"/>
    </xf>
    <xf numFmtId="0" fontId="4" fillId="0" borderId="16" xfId="0" applyFont="1" applyFill="1" applyBorder="1" applyAlignment="1">
      <alignment horizontal="left" vertical="top" wrapText="1"/>
    </xf>
    <xf numFmtId="3" fontId="6" fillId="4" borderId="36" xfId="0" applyNumberFormat="1" applyFont="1" applyFill="1" applyBorder="1" applyAlignment="1">
      <alignment horizontal="center" vertical="top"/>
    </xf>
    <xf numFmtId="3" fontId="6" fillId="4" borderId="59" xfId="0" applyNumberFormat="1" applyFont="1" applyFill="1" applyBorder="1" applyAlignment="1">
      <alignment horizontal="center" vertical="top"/>
    </xf>
    <xf numFmtId="49" fontId="6" fillId="0" borderId="4" xfId="0" applyNumberFormat="1" applyFont="1" applyBorder="1" applyAlignment="1">
      <alignment horizontal="center" vertical="top"/>
    </xf>
    <xf numFmtId="49" fontId="6" fillId="0" borderId="22" xfId="0" applyNumberFormat="1" applyFont="1" applyBorder="1" applyAlignment="1">
      <alignment horizontal="center" vertical="top"/>
    </xf>
    <xf numFmtId="3" fontId="6" fillId="0" borderId="37" xfId="0" applyNumberFormat="1" applyFont="1" applyFill="1" applyBorder="1" applyAlignment="1">
      <alignment horizontal="center" vertical="center" textRotation="90" wrapText="1"/>
    </xf>
    <xf numFmtId="3" fontId="6" fillId="0" borderId="62" xfId="0" applyNumberFormat="1" applyFont="1" applyFill="1" applyBorder="1" applyAlignment="1">
      <alignment horizontal="center" vertical="center" textRotation="90" wrapText="1"/>
    </xf>
    <xf numFmtId="49" fontId="1" fillId="0" borderId="4" xfId="0" applyNumberFormat="1" applyFont="1" applyBorder="1" applyAlignment="1">
      <alignment horizontal="center" vertical="top"/>
    </xf>
    <xf numFmtId="49" fontId="1" fillId="0" borderId="22" xfId="0" applyNumberFormat="1" applyFont="1" applyBorder="1" applyAlignment="1">
      <alignment horizontal="center" vertical="top"/>
    </xf>
    <xf numFmtId="3" fontId="4" fillId="7" borderId="16" xfId="0" applyNumberFormat="1" applyFont="1" applyFill="1" applyBorder="1" applyAlignment="1">
      <alignment horizontal="center" vertical="top" wrapText="1"/>
    </xf>
    <xf numFmtId="3" fontId="4" fillId="7" borderId="48" xfId="0" applyNumberFormat="1" applyFont="1" applyFill="1" applyBorder="1" applyAlignment="1">
      <alignment horizontal="center" vertical="top" wrapText="1"/>
    </xf>
    <xf numFmtId="3" fontId="3" fillId="9" borderId="56" xfId="0" applyNumberFormat="1" applyFont="1" applyFill="1" applyBorder="1" applyAlignment="1">
      <alignment horizontal="right" vertical="top"/>
    </xf>
    <xf numFmtId="3" fontId="3" fillId="9" borderId="57" xfId="0" applyNumberFormat="1" applyFont="1" applyFill="1" applyBorder="1" applyAlignment="1">
      <alignment horizontal="right" vertical="top"/>
    </xf>
    <xf numFmtId="3" fontId="4" fillId="10" borderId="55" xfId="0" applyNumberFormat="1" applyFont="1" applyFill="1" applyBorder="1" applyAlignment="1">
      <alignment horizontal="center" vertical="top" wrapText="1"/>
    </xf>
    <xf numFmtId="3" fontId="4" fillId="10" borderId="56" xfId="0" applyNumberFormat="1" applyFont="1" applyFill="1" applyBorder="1" applyAlignment="1">
      <alignment horizontal="center" vertical="top" wrapText="1"/>
    </xf>
    <xf numFmtId="3" fontId="4" fillId="10" borderId="57" xfId="0" applyNumberFormat="1" applyFont="1" applyFill="1" applyBorder="1" applyAlignment="1">
      <alignment horizontal="center" vertical="top" wrapText="1"/>
    </xf>
    <xf numFmtId="3" fontId="6" fillId="0" borderId="35" xfId="0" applyNumberFormat="1" applyFont="1" applyBorder="1" applyAlignment="1">
      <alignment horizontal="center" vertical="top"/>
    </xf>
    <xf numFmtId="3" fontId="6" fillId="0" borderId="1" xfId="0" applyNumberFormat="1" applyFont="1" applyBorder="1" applyAlignment="1">
      <alignment horizontal="center" vertical="top"/>
    </xf>
    <xf numFmtId="49" fontId="4" fillId="9" borderId="14" xfId="0" applyNumberFormat="1" applyFont="1" applyFill="1" applyBorder="1" applyAlignment="1">
      <alignment horizontal="center" vertical="top"/>
    </xf>
    <xf numFmtId="49" fontId="4" fillId="9" borderId="75" xfId="0" applyNumberFormat="1" applyFont="1" applyFill="1" applyBorder="1" applyAlignment="1">
      <alignment horizontal="center" vertical="top"/>
    </xf>
    <xf numFmtId="3" fontId="4" fillId="6" borderId="48" xfId="0" applyNumberFormat="1" applyFont="1" applyFill="1" applyBorder="1" applyAlignment="1">
      <alignment horizontal="left" vertical="top" wrapText="1"/>
    </xf>
    <xf numFmtId="0" fontId="4" fillId="0" borderId="42" xfId="0" applyFont="1" applyFill="1" applyBorder="1" applyAlignment="1">
      <alignment horizontal="left" vertical="top" wrapText="1"/>
    </xf>
    <xf numFmtId="49" fontId="1" fillId="9" borderId="14" xfId="0" applyNumberFormat="1" applyFont="1" applyFill="1" applyBorder="1" applyAlignment="1">
      <alignment horizontal="center" vertical="top"/>
    </xf>
    <xf numFmtId="49" fontId="1" fillId="9" borderId="75" xfId="0" applyNumberFormat="1" applyFont="1" applyFill="1" applyBorder="1" applyAlignment="1">
      <alignment horizontal="center" vertical="top"/>
    </xf>
    <xf numFmtId="2" fontId="4" fillId="0" borderId="40" xfId="0" applyNumberFormat="1" applyFont="1" applyFill="1" applyBorder="1" applyAlignment="1">
      <alignment horizontal="left" vertical="top" wrapText="1"/>
    </xf>
    <xf numFmtId="2" fontId="4" fillId="0" borderId="48" xfId="0" applyNumberFormat="1"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25" xfId="0" applyFont="1" applyFill="1" applyBorder="1" applyAlignment="1">
      <alignment horizontal="left" vertical="top" wrapText="1"/>
    </xf>
    <xf numFmtId="3" fontId="3" fillId="4" borderId="36" xfId="0" applyNumberFormat="1" applyFont="1" applyFill="1" applyBorder="1" applyAlignment="1">
      <alignment horizontal="center" vertical="top"/>
    </xf>
    <xf numFmtId="3" fontId="3" fillId="4" borderId="59" xfId="0" applyNumberFormat="1" applyFont="1" applyFill="1" applyBorder="1" applyAlignment="1">
      <alignment horizontal="center" vertical="top"/>
    </xf>
    <xf numFmtId="3" fontId="4" fillId="0" borderId="7" xfId="0" applyNumberFormat="1" applyFont="1" applyFill="1" applyBorder="1" applyAlignment="1">
      <alignment horizontal="center" vertical="top" wrapText="1"/>
    </xf>
    <xf numFmtId="3" fontId="4" fillId="0" borderId="25" xfId="0" applyNumberFormat="1" applyFont="1" applyFill="1" applyBorder="1" applyAlignment="1">
      <alignment horizontal="center" vertical="top" wrapText="1"/>
    </xf>
    <xf numFmtId="3" fontId="1" fillId="0" borderId="37" xfId="0" applyNumberFormat="1" applyFont="1" applyFill="1" applyBorder="1" applyAlignment="1">
      <alignment horizontal="center" vertical="top" textRotation="1"/>
    </xf>
    <xf numFmtId="3" fontId="1" fillId="0" borderId="62" xfId="0" applyNumberFormat="1" applyFont="1" applyFill="1" applyBorder="1" applyAlignment="1">
      <alignment horizontal="center" vertical="top" textRotation="1"/>
    </xf>
    <xf numFmtId="3" fontId="1" fillId="0" borderId="4" xfId="0" applyNumberFormat="1" applyFont="1" applyFill="1" applyBorder="1" applyAlignment="1">
      <alignment horizontal="center" vertical="top" textRotation="1"/>
    </xf>
    <xf numFmtId="3" fontId="1" fillId="0" borderId="22" xfId="0" applyNumberFormat="1" applyFont="1" applyFill="1" applyBorder="1" applyAlignment="1">
      <alignment horizontal="center" vertical="top" textRotation="1"/>
    </xf>
    <xf numFmtId="3" fontId="1" fillId="0" borderId="6" xfId="0" applyNumberFormat="1" applyFont="1" applyFill="1" applyBorder="1" applyAlignment="1">
      <alignment horizontal="center" vertical="top" textRotation="1"/>
    </xf>
    <xf numFmtId="3" fontId="1" fillId="0" borderId="24" xfId="0" applyNumberFormat="1" applyFont="1" applyFill="1" applyBorder="1" applyAlignment="1">
      <alignment horizontal="center" vertical="top" textRotation="1"/>
    </xf>
    <xf numFmtId="3" fontId="4" fillId="0" borderId="7" xfId="0" applyNumberFormat="1" applyFont="1" applyFill="1" applyBorder="1" applyAlignment="1">
      <alignment horizontal="left" vertical="top" wrapText="1"/>
    </xf>
    <xf numFmtId="3" fontId="4" fillId="0" borderId="37" xfId="0" applyNumberFormat="1" applyFont="1" applyFill="1" applyBorder="1" applyAlignment="1">
      <alignment horizontal="center" vertical="top"/>
    </xf>
    <xf numFmtId="3" fontId="2" fillId="0" borderId="62" xfId="0" applyNumberFormat="1" applyFont="1" applyFill="1" applyBorder="1" applyAlignment="1">
      <alignment horizontal="center" vertical="top"/>
    </xf>
    <xf numFmtId="3" fontId="3" fillId="10" borderId="56" xfId="0" applyNumberFormat="1" applyFont="1" applyFill="1" applyBorder="1" applyAlignment="1">
      <alignment horizontal="right" vertical="top"/>
    </xf>
    <xf numFmtId="3" fontId="3" fillId="10" borderId="57" xfId="0" applyNumberFormat="1" applyFont="1" applyFill="1" applyBorder="1" applyAlignment="1">
      <alignment horizontal="right" vertical="top"/>
    </xf>
    <xf numFmtId="3" fontId="4" fillId="0" borderId="4" xfId="0" applyNumberFormat="1" applyFont="1" applyFill="1" applyBorder="1" applyAlignment="1">
      <alignment horizontal="center" vertical="top"/>
    </xf>
    <xf numFmtId="3" fontId="2" fillId="0" borderId="22" xfId="0" applyNumberFormat="1" applyFont="1" applyFill="1" applyBorder="1" applyAlignment="1">
      <alignment horizontal="center" vertical="top"/>
    </xf>
    <xf numFmtId="0" fontId="4" fillId="0" borderId="42" xfId="0" applyFont="1" applyFill="1" applyBorder="1" applyAlignment="1">
      <alignment horizontal="center" vertical="top" wrapText="1"/>
    </xf>
    <xf numFmtId="0" fontId="4" fillId="0" borderId="62" xfId="0" applyFont="1" applyFill="1" applyBorder="1" applyAlignment="1">
      <alignment horizontal="center" vertical="top" wrapText="1"/>
    </xf>
    <xf numFmtId="3" fontId="4" fillId="0" borderId="44" xfId="0" applyNumberFormat="1" applyFont="1" applyFill="1" applyBorder="1" applyAlignment="1">
      <alignment horizontal="center" vertical="top"/>
    </xf>
    <xf numFmtId="3" fontId="4" fillId="0" borderId="22" xfId="0" applyNumberFormat="1" applyFont="1" applyFill="1" applyBorder="1" applyAlignment="1">
      <alignment horizontal="center" vertical="top"/>
    </xf>
    <xf numFmtId="3" fontId="4" fillId="0" borderId="32" xfId="0" applyNumberFormat="1" applyFont="1" applyFill="1" applyBorder="1" applyAlignment="1">
      <alignment horizontal="center" vertical="top"/>
    </xf>
    <xf numFmtId="3" fontId="4" fillId="0" borderId="24" xfId="0" applyNumberFormat="1" applyFont="1" applyFill="1" applyBorder="1" applyAlignment="1">
      <alignment horizontal="center" vertical="top"/>
    </xf>
    <xf numFmtId="3" fontId="4" fillId="0" borderId="6" xfId="0" applyNumberFormat="1" applyFont="1" applyFill="1" applyBorder="1" applyAlignment="1">
      <alignment horizontal="center" vertical="top"/>
    </xf>
    <xf numFmtId="3" fontId="2" fillId="0" borderId="24" xfId="0" applyNumberFormat="1" applyFont="1" applyFill="1" applyBorder="1" applyAlignment="1">
      <alignment horizontal="center" vertical="top"/>
    </xf>
    <xf numFmtId="49" fontId="3" fillId="0" borderId="4" xfId="0" applyNumberFormat="1" applyFont="1" applyBorder="1" applyAlignment="1">
      <alignment horizontal="center" vertical="top" wrapText="1"/>
    </xf>
    <xf numFmtId="3" fontId="4" fillId="0" borderId="37" xfId="0" applyNumberFormat="1" applyFont="1" applyFill="1" applyBorder="1" applyAlignment="1">
      <alignment horizontal="center" vertical="top" wrapText="1"/>
    </xf>
    <xf numFmtId="3" fontId="4" fillId="0" borderId="62" xfId="0" applyNumberFormat="1" applyFont="1" applyFill="1" applyBorder="1" applyAlignment="1">
      <alignment horizontal="center" vertical="top" wrapText="1"/>
    </xf>
    <xf numFmtId="3" fontId="3" fillId="0" borderId="35"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3" fontId="4" fillId="0" borderId="45" xfId="0" applyNumberFormat="1" applyFont="1" applyFill="1" applyBorder="1" applyAlignment="1">
      <alignment horizontal="center" vertical="top" wrapText="1"/>
    </xf>
    <xf numFmtId="3" fontId="4" fillId="0" borderId="53" xfId="0" applyNumberFormat="1" applyFont="1" applyFill="1" applyBorder="1" applyAlignment="1">
      <alignment horizontal="center" vertical="top" wrapText="1"/>
    </xf>
    <xf numFmtId="3" fontId="4" fillId="0" borderId="40" xfId="0" applyNumberFormat="1" applyFont="1" applyFill="1" applyBorder="1" applyAlignment="1">
      <alignment horizontal="center" vertical="top" wrapText="1"/>
    </xf>
    <xf numFmtId="3" fontId="4" fillId="0" borderId="48" xfId="0" applyNumberFormat="1" applyFont="1" applyFill="1" applyBorder="1" applyAlignment="1">
      <alignment horizontal="center" vertical="top" wrapText="1"/>
    </xf>
    <xf numFmtId="3" fontId="3" fillId="4" borderId="52" xfId="0" applyNumberFormat="1" applyFont="1" applyFill="1" applyBorder="1" applyAlignment="1">
      <alignment horizontal="center" vertical="top"/>
    </xf>
    <xf numFmtId="3" fontId="3" fillId="5" borderId="50" xfId="0" applyNumberFormat="1" applyFont="1" applyFill="1" applyBorder="1" applyAlignment="1">
      <alignment horizontal="center" vertical="top"/>
    </xf>
    <xf numFmtId="3" fontId="10" fillId="0" borderId="41" xfId="0" applyNumberFormat="1" applyFont="1" applyBorder="1" applyAlignment="1">
      <alignment horizontal="left" vertical="top" wrapText="1"/>
    </xf>
    <xf numFmtId="3" fontId="4" fillId="0" borderId="43" xfId="0" applyNumberFormat="1" applyFont="1" applyFill="1" applyBorder="1" applyAlignment="1">
      <alignment horizontal="center" vertical="top" wrapText="1"/>
    </xf>
    <xf numFmtId="3" fontId="4" fillId="0" borderId="52" xfId="0" applyNumberFormat="1" applyFont="1" applyFill="1" applyBorder="1" applyAlignment="1">
      <alignment horizontal="center" vertical="top" wrapText="1"/>
    </xf>
    <xf numFmtId="3" fontId="4" fillId="0" borderId="44" xfId="0" applyNumberFormat="1" applyFont="1" applyFill="1" applyBorder="1" applyAlignment="1">
      <alignment horizontal="center" vertical="top" wrapText="1"/>
    </xf>
    <xf numFmtId="3" fontId="4" fillId="0" borderId="50" xfId="0" applyNumberFormat="1" applyFont="1" applyFill="1" applyBorder="1" applyAlignment="1">
      <alignment horizontal="center" vertical="top" wrapText="1"/>
    </xf>
    <xf numFmtId="3" fontId="16" fillId="0" borderId="0" xfId="0" applyNumberFormat="1" applyFont="1" applyAlignment="1">
      <alignment horizontal="center" vertical="center" wrapText="1"/>
    </xf>
    <xf numFmtId="3" fontId="12" fillId="0" borderId="0" xfId="0" applyNumberFormat="1" applyFont="1" applyAlignment="1">
      <alignment horizontal="center" vertical="top" wrapText="1"/>
    </xf>
    <xf numFmtId="3" fontId="1" fillId="0" borderId="1" xfId="0" applyNumberFormat="1" applyFont="1" applyBorder="1" applyAlignment="1">
      <alignment horizontal="right" vertical="top"/>
    </xf>
    <xf numFmtId="3" fontId="4" fillId="0" borderId="5" xfId="0" applyNumberFormat="1" applyFont="1" applyBorder="1" applyAlignment="1">
      <alignment horizontal="center" vertical="center" textRotation="90" wrapText="1"/>
    </xf>
    <xf numFmtId="3" fontId="4" fillId="0" borderId="14" xfId="0" applyNumberFormat="1" applyFont="1" applyBorder="1" applyAlignment="1">
      <alignment horizontal="center" vertical="center" textRotation="90" wrapText="1"/>
    </xf>
    <xf numFmtId="3" fontId="4" fillId="0" borderId="23" xfId="0" applyNumberFormat="1" applyFont="1" applyBorder="1" applyAlignment="1">
      <alignment horizontal="center" vertical="center" textRotation="90" wrapText="1"/>
    </xf>
    <xf numFmtId="49" fontId="4" fillId="0" borderId="3" xfId="0" applyNumberFormat="1" applyFont="1" applyBorder="1" applyAlignment="1">
      <alignment horizontal="center" vertical="center" textRotation="90" wrapText="1"/>
    </xf>
    <xf numFmtId="49" fontId="4" fillId="0" borderId="12" xfId="0" applyNumberFormat="1" applyFont="1" applyBorder="1" applyAlignment="1">
      <alignment horizontal="center" vertical="center" textRotation="90" wrapText="1"/>
    </xf>
    <xf numFmtId="49" fontId="4" fillId="0" borderId="21" xfId="0" applyNumberFormat="1" applyFont="1" applyBorder="1" applyAlignment="1">
      <alignment horizontal="center" vertical="center" textRotation="90"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1" fillId="0" borderId="42" xfId="0" applyNumberFormat="1" applyFont="1" applyFill="1" applyBorder="1" applyAlignment="1">
      <alignment horizontal="center" vertical="center" textRotation="90" wrapText="1"/>
    </xf>
    <xf numFmtId="3" fontId="1" fillId="0" borderId="62" xfId="0" applyNumberFormat="1" applyFont="1" applyFill="1" applyBorder="1" applyAlignment="1">
      <alignment horizontal="center" vertical="center" textRotation="90" wrapText="1"/>
    </xf>
    <xf numFmtId="3" fontId="1" fillId="0" borderId="45" xfId="0" applyNumberFormat="1" applyFont="1" applyFill="1" applyBorder="1" applyAlignment="1">
      <alignment horizontal="center" vertical="center" textRotation="90" wrapText="1"/>
    </xf>
    <xf numFmtId="3" fontId="1" fillId="0" borderId="60" xfId="0" applyNumberFormat="1" applyFont="1" applyFill="1" applyBorder="1" applyAlignment="1">
      <alignment horizontal="center" vertical="center" textRotation="90" wrapText="1"/>
    </xf>
    <xf numFmtId="3" fontId="4" fillId="0" borderId="43" xfId="0" applyNumberFormat="1" applyFont="1" applyFill="1" applyBorder="1" applyAlignment="1">
      <alignment horizontal="center" vertical="center" textRotation="90" wrapText="1"/>
    </xf>
    <xf numFmtId="3" fontId="4" fillId="0" borderId="59" xfId="0" applyNumberFormat="1" applyFont="1" applyFill="1" applyBorder="1" applyAlignment="1">
      <alignment horizontal="center" vertical="center" textRotation="90" wrapText="1"/>
    </xf>
    <xf numFmtId="3" fontId="4" fillId="0" borderId="17" xfId="0" applyNumberFormat="1" applyFont="1" applyFill="1" applyBorder="1" applyAlignment="1">
      <alignment horizontal="center" vertical="center"/>
    </xf>
    <xf numFmtId="3" fontId="4" fillId="0" borderId="71" xfId="0" applyNumberFormat="1" applyFont="1" applyFill="1" applyBorder="1" applyAlignment="1">
      <alignment horizontal="center" vertical="center"/>
    </xf>
    <xf numFmtId="3" fontId="4" fillId="0" borderId="45" xfId="0" applyNumberFormat="1" applyFont="1" applyFill="1" applyBorder="1" applyAlignment="1">
      <alignment horizontal="center" vertical="center" textRotation="90" wrapText="1"/>
    </xf>
    <xf numFmtId="3" fontId="4" fillId="0" borderId="60" xfId="0" applyNumberFormat="1" applyFont="1" applyFill="1" applyBorder="1" applyAlignment="1">
      <alignment horizontal="center" vertical="center" textRotation="90" wrapText="1"/>
    </xf>
    <xf numFmtId="3" fontId="1" fillId="0" borderId="6" xfId="0" applyNumberFormat="1" applyFont="1" applyBorder="1" applyAlignment="1">
      <alignment horizontal="center" vertical="center" textRotation="90" wrapText="1"/>
    </xf>
    <xf numFmtId="3" fontId="1" fillId="0" borderId="15" xfId="0" applyNumberFormat="1" applyFont="1" applyBorder="1" applyAlignment="1">
      <alignment horizontal="center" vertical="center" textRotation="90" wrapText="1"/>
    </xf>
    <xf numFmtId="3" fontId="1" fillId="0" borderId="24" xfId="0" applyNumberFormat="1" applyFont="1" applyBorder="1" applyAlignment="1">
      <alignment horizontal="center" vertical="center" textRotation="90" wrapText="1"/>
    </xf>
    <xf numFmtId="3" fontId="4" fillId="0" borderId="7" xfId="0" applyNumberFormat="1" applyFont="1" applyBorder="1" applyAlignment="1">
      <alignment horizontal="center" vertical="center" textRotation="90" wrapText="1"/>
    </xf>
    <xf numFmtId="3" fontId="4" fillId="0" borderId="16" xfId="0" applyNumberFormat="1" applyFont="1" applyBorder="1" applyAlignment="1">
      <alignment horizontal="center" vertical="center" textRotation="90" wrapText="1"/>
    </xf>
    <xf numFmtId="3" fontId="4" fillId="0" borderId="25" xfId="0" applyNumberFormat="1" applyFont="1" applyBorder="1" applyAlignment="1">
      <alignment horizontal="center" vertical="center" textRotation="90" wrapText="1"/>
    </xf>
    <xf numFmtId="3" fontId="3" fillId="0" borderId="27" xfId="0" applyNumberFormat="1" applyFont="1" applyBorder="1" applyAlignment="1">
      <alignment horizontal="center" vertical="center" wrapText="1"/>
    </xf>
    <xf numFmtId="3" fontId="3" fillId="0" borderId="28"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1" fillId="0" borderId="7" xfId="0" applyNumberFormat="1" applyFont="1" applyBorder="1" applyAlignment="1">
      <alignment horizontal="center" vertical="center" textRotation="90" wrapText="1"/>
    </xf>
    <xf numFmtId="3" fontId="1" fillId="0" borderId="16" xfId="0" applyNumberFormat="1" applyFont="1" applyBorder="1" applyAlignment="1">
      <alignment horizontal="center" vertical="center" textRotation="90" wrapText="1"/>
    </xf>
    <xf numFmtId="3" fontId="1" fillId="0" borderId="25" xfId="0" applyNumberFormat="1" applyFont="1" applyBorder="1" applyAlignment="1">
      <alignment horizontal="center" vertical="center" textRotation="90" wrapText="1"/>
    </xf>
    <xf numFmtId="3" fontId="4" fillId="0" borderId="16" xfId="0" applyNumberFormat="1" applyFont="1" applyFill="1" applyBorder="1" applyAlignment="1">
      <alignment horizontal="center" vertical="top" wrapText="1"/>
    </xf>
    <xf numFmtId="3" fontId="4" fillId="6" borderId="54" xfId="0" applyNumberFormat="1" applyFont="1" applyFill="1" applyBorder="1" applyAlignment="1">
      <alignment horizontal="center" vertical="top"/>
    </xf>
    <xf numFmtId="3" fontId="4" fillId="0" borderId="25" xfId="0" applyNumberFormat="1" applyFont="1" applyBorder="1" applyAlignment="1">
      <alignment horizontal="center" vertical="center" wrapText="1"/>
    </xf>
    <xf numFmtId="3" fontId="1" fillId="0" borderId="18" xfId="0" applyNumberFormat="1" applyFont="1" applyBorder="1" applyAlignment="1">
      <alignment horizontal="center" vertical="center"/>
    </xf>
    <xf numFmtId="3" fontId="3" fillId="2" borderId="27" xfId="0" applyNumberFormat="1" applyFont="1" applyFill="1" applyBorder="1" applyAlignment="1">
      <alignment horizontal="left" vertical="top" wrapText="1"/>
    </xf>
    <xf numFmtId="3" fontId="3" fillId="2" borderId="28" xfId="0" applyNumberFormat="1" applyFont="1" applyFill="1" applyBorder="1" applyAlignment="1">
      <alignment horizontal="left" vertical="top" wrapText="1"/>
    </xf>
    <xf numFmtId="3" fontId="3" fillId="2" borderId="29" xfId="0" applyNumberFormat="1" applyFont="1" applyFill="1" applyBorder="1" applyAlignment="1">
      <alignment horizontal="left" vertical="top" wrapText="1"/>
    </xf>
    <xf numFmtId="3" fontId="5" fillId="3" borderId="30" xfId="0" applyNumberFormat="1" applyFont="1" applyFill="1" applyBorder="1" applyAlignment="1">
      <alignment horizontal="left" vertical="top" wrapText="1"/>
    </xf>
    <xf numFmtId="3" fontId="5" fillId="3" borderId="31" xfId="0" applyNumberFormat="1" applyFont="1" applyFill="1" applyBorder="1" applyAlignment="1">
      <alignment horizontal="left" vertical="top" wrapText="1"/>
    </xf>
    <xf numFmtId="3" fontId="5" fillId="3" borderId="32" xfId="0" applyNumberFormat="1" applyFont="1" applyFill="1" applyBorder="1" applyAlignment="1">
      <alignment horizontal="left" vertical="top" wrapText="1"/>
    </xf>
    <xf numFmtId="3" fontId="3" fillId="4" borderId="9" xfId="0" applyNumberFormat="1" applyFont="1" applyFill="1" applyBorder="1" applyAlignment="1">
      <alignment horizontal="left" vertical="top"/>
    </xf>
    <xf numFmtId="3" fontId="3" fillId="4" borderId="10" xfId="0" applyNumberFormat="1" applyFont="1" applyFill="1" applyBorder="1" applyAlignment="1">
      <alignment horizontal="left" vertical="top"/>
    </xf>
    <xf numFmtId="3" fontId="3" fillId="5" borderId="9" xfId="0" applyNumberFormat="1" applyFont="1" applyFill="1" applyBorder="1" applyAlignment="1">
      <alignment horizontal="left" vertical="top" wrapText="1"/>
    </xf>
    <xf numFmtId="3" fontId="3" fillId="5" borderId="35" xfId="0" applyNumberFormat="1" applyFont="1" applyFill="1" applyBorder="1" applyAlignment="1">
      <alignment horizontal="left" vertical="top" wrapText="1"/>
    </xf>
    <xf numFmtId="3" fontId="3" fillId="5" borderId="6" xfId="0" applyNumberFormat="1" applyFont="1" applyFill="1" applyBorder="1" applyAlignment="1">
      <alignment horizontal="left" vertical="top" wrapText="1"/>
    </xf>
    <xf numFmtId="3" fontId="18" fillId="6" borderId="40" xfId="0" applyNumberFormat="1" applyFont="1" applyFill="1" applyBorder="1" applyAlignment="1">
      <alignment horizontal="left" vertical="top" wrapText="1"/>
    </xf>
    <xf numFmtId="3" fontId="18" fillId="6" borderId="16" xfId="0" applyNumberFormat="1" applyFont="1" applyFill="1" applyBorder="1" applyAlignment="1">
      <alignment horizontal="left" vertical="top" wrapText="1"/>
    </xf>
    <xf numFmtId="3" fontId="18" fillId="6" borderId="48" xfId="0" applyNumberFormat="1" applyFont="1" applyFill="1" applyBorder="1" applyAlignment="1">
      <alignment horizontal="left" vertical="top" wrapText="1"/>
    </xf>
    <xf numFmtId="3" fontId="1" fillId="0" borderId="36"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61" xfId="0" applyNumberFormat="1" applyFont="1" applyBorder="1" applyAlignment="1">
      <alignment horizontal="center" vertical="center" wrapText="1"/>
    </xf>
    <xf numFmtId="3" fontId="6" fillId="10" borderId="55" xfId="0" applyNumberFormat="1" applyFont="1" applyFill="1" applyBorder="1" applyAlignment="1">
      <alignment horizontal="right" vertical="top" wrapText="1"/>
    </xf>
    <xf numFmtId="3" fontId="6" fillId="10" borderId="56" xfId="0" applyNumberFormat="1" applyFont="1" applyFill="1" applyBorder="1" applyAlignment="1">
      <alignment horizontal="right" vertical="top" wrapText="1"/>
    </xf>
    <xf numFmtId="3" fontId="6" fillId="10" borderId="57" xfId="0" applyNumberFormat="1" applyFont="1" applyFill="1" applyBorder="1" applyAlignment="1">
      <alignment horizontal="right" vertical="top" wrapText="1"/>
    </xf>
    <xf numFmtId="3" fontId="3" fillId="5" borderId="14" xfId="0" applyNumberFormat="1" applyFont="1" applyFill="1" applyBorder="1" applyAlignment="1">
      <alignment horizontal="center" vertical="top"/>
    </xf>
    <xf numFmtId="3" fontId="3" fillId="5" borderId="23" xfId="0" applyNumberFormat="1" applyFont="1" applyFill="1" applyBorder="1" applyAlignment="1">
      <alignment horizontal="center" vertical="top"/>
    </xf>
    <xf numFmtId="0" fontId="4" fillId="0" borderId="32"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0" xfId="0" applyFont="1" applyFill="1" applyBorder="1" applyAlignment="1">
      <alignment horizontal="left" vertical="top" wrapText="1"/>
    </xf>
    <xf numFmtId="3" fontId="3" fillId="8" borderId="77" xfId="0" applyNumberFormat="1" applyFont="1" applyFill="1" applyBorder="1" applyAlignment="1">
      <alignment horizontal="right" vertical="top" wrapText="1"/>
    </xf>
    <xf numFmtId="3" fontId="3" fillId="0" borderId="9" xfId="0" applyNumberFormat="1" applyFont="1" applyFill="1" applyBorder="1" applyAlignment="1">
      <alignment horizontal="center" wrapText="1"/>
    </xf>
    <xf numFmtId="3" fontId="4" fillId="0" borderId="47" xfId="0" applyNumberFormat="1" applyFont="1" applyBorder="1" applyAlignment="1">
      <alignment horizontal="left" vertical="top" wrapText="1"/>
    </xf>
    <xf numFmtId="3" fontId="4" fillId="0" borderId="53" xfId="0" applyNumberFormat="1" applyFont="1" applyBorder="1" applyAlignment="1">
      <alignment horizontal="left" vertical="top" wrapText="1"/>
    </xf>
    <xf numFmtId="3" fontId="4" fillId="0" borderId="45" xfId="0" applyNumberFormat="1" applyFont="1" applyBorder="1" applyAlignment="1">
      <alignment horizontal="left" vertical="top" wrapText="1"/>
    </xf>
    <xf numFmtId="3" fontId="4" fillId="7" borderId="52" xfId="0" applyNumberFormat="1" applyFont="1" applyFill="1" applyBorder="1" applyAlignment="1">
      <alignment horizontal="left" vertical="top" wrapText="1"/>
    </xf>
    <xf numFmtId="3" fontId="4" fillId="7" borderId="50" xfId="0" applyNumberFormat="1" applyFont="1" applyFill="1" applyBorder="1" applyAlignment="1">
      <alignment horizontal="left" vertical="top" wrapText="1"/>
    </xf>
    <xf numFmtId="3" fontId="4" fillId="7" borderId="53" xfId="0" applyNumberFormat="1" applyFont="1" applyFill="1" applyBorder="1" applyAlignment="1">
      <alignment horizontal="left" vertical="top" wrapText="1"/>
    </xf>
    <xf numFmtId="3" fontId="3" fillId="3" borderId="33" xfId="0" applyNumberFormat="1" applyFont="1" applyFill="1" applyBorder="1" applyAlignment="1">
      <alignment horizontal="right" vertical="top" wrapText="1"/>
    </xf>
    <xf numFmtId="3" fontId="3" fillId="3" borderId="34" xfId="0" applyNumberFormat="1" applyFont="1" applyFill="1" applyBorder="1" applyAlignment="1">
      <alignment horizontal="right" vertical="top" wrapText="1"/>
    </xf>
    <xf numFmtId="3" fontId="3" fillId="3" borderId="77" xfId="0" applyNumberFormat="1" applyFont="1" applyFill="1" applyBorder="1" applyAlignment="1">
      <alignment horizontal="right" vertical="top" wrapText="1"/>
    </xf>
    <xf numFmtId="3" fontId="4" fillId="0" borderId="7" xfId="0" applyNumberFormat="1" applyFont="1" applyFill="1" applyBorder="1" applyAlignment="1">
      <alignment horizontal="center" vertical="top"/>
    </xf>
    <xf numFmtId="3" fontId="2" fillId="0" borderId="25"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4" fillId="0" borderId="66" xfId="0" applyFont="1" applyFill="1" applyBorder="1" applyAlignment="1">
      <alignment horizontal="left" vertical="top" wrapText="1"/>
    </xf>
    <xf numFmtId="3" fontId="19" fillId="0" borderId="40" xfId="0" applyNumberFormat="1" applyFont="1" applyFill="1" applyBorder="1" applyAlignment="1">
      <alignment horizontal="left" vertical="top" wrapText="1"/>
    </xf>
    <xf numFmtId="3" fontId="19" fillId="0" borderId="48" xfId="0" applyNumberFormat="1" applyFont="1" applyFill="1" applyBorder="1" applyAlignment="1">
      <alignment horizontal="left" vertical="top" wrapText="1"/>
    </xf>
    <xf numFmtId="3" fontId="4" fillId="0" borderId="35" xfId="0" applyNumberFormat="1" applyFont="1" applyFill="1" applyBorder="1" applyAlignment="1">
      <alignment horizontal="center" vertical="top"/>
    </xf>
    <xf numFmtId="3" fontId="2" fillId="0" borderId="1" xfId="0" applyNumberFormat="1" applyFont="1" applyFill="1" applyBorder="1" applyAlignment="1">
      <alignment horizontal="center" vertical="top"/>
    </xf>
    <xf numFmtId="3" fontId="1" fillId="0" borderId="39" xfId="0" applyNumberFormat="1" applyFont="1" applyFill="1" applyBorder="1" applyAlignment="1">
      <alignment horizontal="center" vertical="center" textRotation="90" wrapText="1"/>
    </xf>
    <xf numFmtId="3" fontId="1" fillId="0" borderId="59" xfId="0" applyNumberFormat="1" applyFont="1" applyFill="1" applyBorder="1" applyAlignment="1">
      <alignment horizontal="center" vertical="center" textRotation="90" wrapText="1"/>
    </xf>
    <xf numFmtId="0" fontId="4" fillId="6" borderId="0" xfId="0" applyFont="1" applyFill="1" applyBorder="1" applyAlignment="1">
      <alignment horizontal="left" vertical="top" wrapText="1"/>
    </xf>
    <xf numFmtId="0" fontId="4" fillId="6" borderId="1" xfId="0" applyFont="1" applyFill="1" applyBorder="1" applyAlignment="1">
      <alignment horizontal="left" vertical="top" wrapText="1"/>
    </xf>
    <xf numFmtId="3" fontId="1" fillId="0" borderId="36" xfId="0" applyNumberFormat="1" applyFont="1" applyFill="1" applyBorder="1" applyAlignment="1">
      <alignment horizontal="center" vertical="center" textRotation="90" wrapText="1"/>
    </xf>
    <xf numFmtId="3" fontId="1" fillId="0" borderId="52" xfId="0" applyNumberFormat="1" applyFont="1" applyFill="1" applyBorder="1" applyAlignment="1">
      <alignment horizontal="center" vertical="center" textRotation="90" wrapText="1"/>
    </xf>
    <xf numFmtId="49" fontId="4" fillId="6" borderId="41" xfId="0" applyNumberFormat="1" applyFont="1" applyFill="1" applyBorder="1" applyAlignment="1">
      <alignment horizontal="center" vertical="top"/>
    </xf>
    <xf numFmtId="49" fontId="4" fillId="6" borderId="49" xfId="0" applyNumberFormat="1" applyFont="1" applyFill="1" applyBorder="1" applyAlignment="1">
      <alignment horizontal="center" vertical="top"/>
    </xf>
    <xf numFmtId="49" fontId="4" fillId="6" borderId="44" xfId="0" applyNumberFormat="1" applyFont="1" applyFill="1" applyBorder="1" applyAlignment="1">
      <alignment horizontal="center" vertical="top"/>
    </xf>
    <xf numFmtId="49" fontId="4" fillId="6" borderId="50" xfId="0" applyNumberFormat="1" applyFont="1" applyFill="1" applyBorder="1" applyAlignment="1">
      <alignment horizontal="center" vertical="top"/>
    </xf>
    <xf numFmtId="49" fontId="4" fillId="6" borderId="32" xfId="0" applyNumberFormat="1" applyFont="1" applyFill="1" applyBorder="1" applyAlignment="1">
      <alignment horizontal="center" vertical="top"/>
    </xf>
    <xf numFmtId="49" fontId="4" fillId="6" borderId="66" xfId="0" applyNumberFormat="1" applyFont="1" applyFill="1" applyBorder="1" applyAlignment="1">
      <alignment horizontal="center" vertical="top"/>
    </xf>
    <xf numFmtId="3" fontId="4" fillId="0" borderId="32" xfId="0" applyNumberFormat="1" applyFont="1" applyFill="1" applyBorder="1" applyAlignment="1">
      <alignment horizontal="left" vertical="top" wrapText="1"/>
    </xf>
    <xf numFmtId="3" fontId="4" fillId="0" borderId="66" xfId="0" applyNumberFormat="1" applyFont="1" applyFill="1" applyBorder="1" applyAlignment="1">
      <alignment horizontal="left" vertical="top" wrapText="1"/>
    </xf>
    <xf numFmtId="2" fontId="4" fillId="0" borderId="32" xfId="0" applyNumberFormat="1" applyFont="1" applyFill="1" applyBorder="1" applyAlignment="1">
      <alignment horizontal="left" vertical="top" wrapText="1"/>
    </xf>
    <xf numFmtId="2" fontId="4" fillId="0" borderId="66" xfId="0" applyNumberFormat="1" applyFont="1" applyFill="1" applyBorder="1" applyAlignment="1">
      <alignment horizontal="left" vertical="top" wrapText="1"/>
    </xf>
    <xf numFmtId="3" fontId="3" fillId="0" borderId="61" xfId="0" applyNumberFormat="1" applyFont="1" applyFill="1" applyBorder="1" applyAlignment="1">
      <alignment horizontal="center" vertical="top" wrapText="1"/>
    </xf>
    <xf numFmtId="3" fontId="1" fillId="0" borderId="37" xfId="0" applyNumberFormat="1" applyFont="1" applyFill="1" applyBorder="1" applyAlignment="1">
      <alignment horizontal="center" vertical="center" textRotation="90" wrapText="1"/>
    </xf>
    <xf numFmtId="3" fontId="1" fillId="0" borderId="32" xfId="0" applyNumberFormat="1" applyFont="1" applyFill="1" applyBorder="1" applyAlignment="1">
      <alignment horizontal="left" vertical="top" wrapText="1"/>
    </xf>
    <xf numFmtId="3" fontId="19" fillId="0" borderId="30" xfId="0" applyNumberFormat="1" applyFont="1" applyFill="1" applyBorder="1" applyAlignment="1">
      <alignment horizontal="center" vertical="top"/>
    </xf>
    <xf numFmtId="3" fontId="19" fillId="0" borderId="55" xfId="0" applyNumberFormat="1" applyFont="1" applyFill="1" applyBorder="1" applyAlignment="1">
      <alignment horizontal="center" vertical="top"/>
    </xf>
    <xf numFmtId="3" fontId="4" fillId="0" borderId="19" xfId="0" applyNumberFormat="1" applyFont="1" applyFill="1" applyBorder="1" applyAlignment="1">
      <alignment horizontal="center" vertical="top"/>
    </xf>
    <xf numFmtId="3" fontId="4" fillId="0" borderId="57" xfId="0" applyNumberFormat="1" applyFont="1" applyFill="1" applyBorder="1" applyAlignment="1">
      <alignment horizontal="center" vertical="top"/>
    </xf>
    <xf numFmtId="164" fontId="1" fillId="7" borderId="44" xfId="0" applyNumberFormat="1" applyFont="1" applyFill="1" applyBorder="1" applyAlignment="1">
      <alignment horizontal="center" vertical="top" wrapText="1"/>
    </xf>
    <xf numFmtId="164" fontId="1" fillId="7" borderId="50" xfId="0" applyNumberFormat="1" applyFont="1" applyFill="1" applyBorder="1" applyAlignment="1">
      <alignment horizontal="center" vertical="top" wrapText="1"/>
    </xf>
    <xf numFmtId="3" fontId="6" fillId="0" borderId="45" xfId="0" applyNumberFormat="1" applyFont="1" applyBorder="1" applyAlignment="1">
      <alignment horizontal="center" vertical="top"/>
    </xf>
    <xf numFmtId="3" fontId="6" fillId="0" borderId="53" xfId="0" applyNumberFormat="1" applyFont="1" applyBorder="1" applyAlignment="1">
      <alignment horizontal="center" vertical="top"/>
    </xf>
    <xf numFmtId="3" fontId="6" fillId="6" borderId="7" xfId="0" applyNumberFormat="1" applyFont="1" applyFill="1" applyBorder="1" applyAlignment="1">
      <alignment horizontal="left" vertical="top" wrapText="1"/>
    </xf>
    <xf numFmtId="3" fontId="6" fillId="6" borderId="16" xfId="0" applyNumberFormat="1" applyFont="1" applyFill="1" applyBorder="1" applyAlignment="1">
      <alignment horizontal="left" vertical="top" wrapText="1"/>
    </xf>
    <xf numFmtId="3" fontId="6" fillId="6" borderId="25" xfId="0" applyNumberFormat="1" applyFont="1" applyFill="1" applyBorder="1" applyAlignment="1">
      <alignment horizontal="left" vertical="top" wrapText="1"/>
    </xf>
    <xf numFmtId="3" fontId="1" fillId="0" borderId="41" xfId="0" applyNumberFormat="1" applyFont="1" applyFill="1" applyBorder="1" applyAlignment="1">
      <alignment horizontal="center" vertical="center" textRotation="90" wrapText="1"/>
    </xf>
    <xf numFmtId="3" fontId="6" fillId="0" borderId="54" xfId="0" applyNumberFormat="1" applyFont="1" applyBorder="1" applyAlignment="1">
      <alignment horizontal="center" vertical="top"/>
    </xf>
    <xf numFmtId="3" fontId="6" fillId="6" borderId="54" xfId="0" applyNumberFormat="1" applyFont="1" applyFill="1" applyBorder="1" applyAlignment="1">
      <alignment horizontal="center" vertical="top"/>
    </xf>
    <xf numFmtId="0" fontId="1" fillId="0" borderId="40" xfId="0" applyFont="1" applyBorder="1" applyAlignment="1">
      <alignment horizontal="left" vertical="top" wrapText="1"/>
    </xf>
    <xf numFmtId="0" fontId="1" fillId="0" borderId="16" xfId="0" applyFont="1" applyBorder="1" applyAlignment="1">
      <alignment horizontal="left" vertical="top" wrapText="1"/>
    </xf>
    <xf numFmtId="3" fontId="1" fillId="6" borderId="7" xfId="0" applyNumberFormat="1" applyFont="1" applyFill="1" applyBorder="1" applyAlignment="1">
      <alignment horizontal="left" vertical="top" wrapText="1"/>
    </xf>
    <xf numFmtId="3" fontId="1" fillId="6" borderId="25" xfId="0" applyNumberFormat="1" applyFont="1" applyFill="1" applyBorder="1" applyAlignment="1">
      <alignment horizontal="left" vertical="top" wrapText="1"/>
    </xf>
    <xf numFmtId="3" fontId="4" fillId="0" borderId="32" xfId="0" applyNumberFormat="1" applyFont="1" applyFill="1" applyBorder="1" applyAlignment="1">
      <alignment horizontal="center" vertical="top" wrapText="1"/>
    </xf>
    <xf numFmtId="3" fontId="4" fillId="0" borderId="66" xfId="0" applyNumberFormat="1" applyFont="1" applyFill="1" applyBorder="1" applyAlignment="1">
      <alignment horizontal="center" vertical="top" wrapText="1"/>
    </xf>
    <xf numFmtId="3" fontId="3" fillId="0" borderId="45" xfId="0" applyNumberFormat="1" applyFont="1" applyBorder="1" applyAlignment="1">
      <alignment horizontal="center" vertical="top"/>
    </xf>
    <xf numFmtId="3" fontId="1" fillId="0" borderId="7" xfId="0" applyNumberFormat="1" applyFont="1" applyFill="1" applyBorder="1" applyAlignment="1">
      <alignment horizontal="center" vertical="top" textRotation="1"/>
    </xf>
    <xf numFmtId="3" fontId="1" fillId="0" borderId="25" xfId="0" applyNumberFormat="1" applyFont="1" applyFill="1" applyBorder="1" applyAlignment="1">
      <alignment horizontal="center" vertical="top" textRotation="1"/>
    </xf>
    <xf numFmtId="3" fontId="3" fillId="4" borderId="43" xfId="0" applyNumberFormat="1" applyFont="1" applyFill="1" applyBorder="1" applyAlignment="1">
      <alignment horizontal="center" vertical="top"/>
    </xf>
    <xf numFmtId="3" fontId="3" fillId="5" borderId="44" xfId="0" applyNumberFormat="1" applyFont="1" applyFill="1" applyBorder="1" applyAlignment="1">
      <alignment horizontal="center" vertical="top"/>
    </xf>
    <xf numFmtId="3" fontId="4" fillId="0" borderId="39" xfId="0" applyNumberFormat="1" applyFont="1" applyFill="1" applyBorder="1" applyAlignment="1">
      <alignment horizontal="center" vertical="center" textRotation="90" wrapText="1"/>
    </xf>
    <xf numFmtId="3" fontId="6" fillId="5" borderId="65" xfId="0" applyNumberFormat="1" applyFont="1" applyFill="1" applyBorder="1" applyAlignment="1">
      <alignment horizontal="left" vertical="top"/>
    </xf>
    <xf numFmtId="3" fontId="19" fillId="6" borderId="16" xfId="0" applyNumberFormat="1" applyFont="1" applyFill="1" applyBorder="1" applyAlignment="1">
      <alignment horizontal="left" vertical="top" wrapText="1"/>
    </xf>
    <xf numFmtId="164" fontId="1" fillId="7" borderId="42" xfId="0" applyNumberFormat="1" applyFont="1" applyFill="1" applyBorder="1" applyAlignment="1">
      <alignment horizontal="center" vertical="top" wrapText="1"/>
    </xf>
    <xf numFmtId="164" fontId="1" fillId="7" borderId="49" xfId="0" applyNumberFormat="1" applyFont="1" applyFill="1" applyBorder="1" applyAlignment="1">
      <alignment horizontal="center" vertical="top" wrapText="1"/>
    </xf>
    <xf numFmtId="3" fontId="1" fillId="6" borderId="40" xfId="0" applyNumberFormat="1" applyFont="1" applyFill="1" applyBorder="1" applyAlignment="1">
      <alignment vertical="top" wrapText="1"/>
    </xf>
    <xf numFmtId="0" fontId="17" fillId="0" borderId="48" xfId="0" applyFont="1" applyBorder="1" applyAlignment="1">
      <alignment vertical="top" wrapText="1"/>
    </xf>
    <xf numFmtId="3" fontId="19" fillId="6" borderId="7" xfId="0" applyNumberFormat="1" applyFont="1" applyFill="1" applyBorder="1" applyAlignment="1">
      <alignment horizontal="left" vertical="top" wrapText="1"/>
    </xf>
    <xf numFmtId="3" fontId="19" fillId="6" borderId="25" xfId="0" applyNumberFormat="1" applyFont="1" applyFill="1" applyBorder="1" applyAlignment="1">
      <alignment horizontal="left" vertical="top" wrapText="1"/>
    </xf>
    <xf numFmtId="3" fontId="1" fillId="0" borderId="43" xfId="0" applyNumberFormat="1" applyFont="1" applyFill="1" applyBorder="1" applyAlignment="1">
      <alignment horizontal="center" vertical="center" textRotation="90" wrapText="1"/>
    </xf>
    <xf numFmtId="3" fontId="4" fillId="7" borderId="7" xfId="0" applyNumberFormat="1" applyFont="1" applyFill="1" applyBorder="1" applyAlignment="1">
      <alignment horizontal="left" vertical="top" wrapText="1"/>
    </xf>
    <xf numFmtId="0" fontId="12" fillId="0" borderId="0" xfId="0" applyFont="1" applyAlignment="1">
      <alignment horizontal="right" vertical="top"/>
    </xf>
    <xf numFmtId="0" fontId="4" fillId="6" borderId="16" xfId="0" applyFont="1" applyFill="1" applyBorder="1" applyAlignment="1">
      <alignment horizontal="left" vertical="top" wrapText="1"/>
    </xf>
    <xf numFmtId="3" fontId="4" fillId="5" borderId="62" xfId="0" applyNumberFormat="1" applyFont="1" applyFill="1" applyBorder="1" applyAlignment="1">
      <alignment horizontal="center" vertical="top"/>
    </xf>
    <xf numFmtId="3" fontId="4" fillId="5" borderId="1" xfId="0" applyNumberFormat="1" applyFont="1" applyFill="1" applyBorder="1" applyAlignment="1">
      <alignment horizontal="center" vertical="top"/>
    </xf>
    <xf numFmtId="3" fontId="4" fillId="5" borderId="24" xfId="0" applyNumberFormat="1" applyFont="1" applyFill="1" applyBorder="1" applyAlignment="1">
      <alignment horizontal="center" vertical="top"/>
    </xf>
    <xf numFmtId="3" fontId="4" fillId="0" borderId="36" xfId="0" applyNumberFormat="1" applyFont="1" applyFill="1" applyBorder="1" applyAlignment="1">
      <alignment horizontal="center" vertical="center" textRotation="90" wrapText="1"/>
    </xf>
    <xf numFmtId="3" fontId="1" fillId="0" borderId="42" xfId="0" applyNumberFormat="1" applyFont="1" applyFill="1" applyBorder="1" applyAlignment="1">
      <alignment horizontal="center" vertical="top" wrapText="1"/>
    </xf>
    <xf numFmtId="3" fontId="1" fillId="0" borderId="49" xfId="0" applyNumberFormat="1" applyFont="1" applyFill="1" applyBorder="1" applyAlignment="1">
      <alignment horizontal="center" vertical="top" wrapText="1"/>
    </xf>
    <xf numFmtId="49" fontId="4" fillId="0" borderId="16" xfId="0" applyNumberFormat="1" applyFont="1" applyFill="1" applyBorder="1" applyAlignment="1">
      <alignment horizontal="left" vertical="top" wrapText="1"/>
    </xf>
    <xf numFmtId="49" fontId="4" fillId="0" borderId="25" xfId="0" applyNumberFormat="1" applyFont="1" applyFill="1" applyBorder="1" applyAlignment="1">
      <alignment horizontal="left" vertical="top" wrapText="1"/>
    </xf>
    <xf numFmtId="3" fontId="15" fillId="0" borderId="0" xfId="0" applyNumberFormat="1" applyFont="1" applyAlignment="1">
      <alignment horizontal="center" vertical="top" wrapText="1"/>
    </xf>
    <xf numFmtId="3" fontId="4" fillId="0" borderId="41" xfId="0" applyNumberFormat="1" applyFont="1" applyBorder="1" applyAlignment="1">
      <alignment horizontal="center" vertical="center" textRotation="90"/>
    </xf>
    <xf numFmtId="3" fontId="3" fillId="7" borderId="7" xfId="0" applyNumberFormat="1" applyFont="1" applyFill="1" applyBorder="1" applyAlignment="1">
      <alignment horizontal="left" vertical="top" wrapText="1"/>
    </xf>
    <xf numFmtId="3" fontId="3" fillId="7" borderId="48" xfId="0" applyNumberFormat="1" applyFont="1" applyFill="1" applyBorder="1" applyAlignment="1">
      <alignment horizontal="left" vertical="top" wrapText="1"/>
    </xf>
    <xf numFmtId="3" fontId="12" fillId="0" borderId="7"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164" fontId="1" fillId="0" borderId="36" xfId="0" applyNumberFormat="1" applyFont="1" applyBorder="1" applyAlignment="1">
      <alignment horizontal="center" vertical="center" textRotation="90" wrapText="1"/>
    </xf>
    <xf numFmtId="164" fontId="1" fillId="0" borderId="39" xfId="0" applyNumberFormat="1" applyFont="1" applyBorder="1" applyAlignment="1">
      <alignment horizontal="center" vertical="center" textRotation="90" wrapText="1"/>
    </xf>
    <xf numFmtId="164" fontId="1" fillId="0" borderId="59" xfId="0" applyNumberFormat="1" applyFont="1" applyBorder="1" applyAlignment="1">
      <alignment horizontal="center" vertical="center" textRotation="90" wrapText="1"/>
    </xf>
    <xf numFmtId="164" fontId="1" fillId="0" borderId="37" xfId="0" applyNumberFormat="1" applyFont="1" applyBorder="1" applyAlignment="1">
      <alignment horizontal="center" vertical="center" textRotation="90" wrapText="1"/>
    </xf>
    <xf numFmtId="164" fontId="1" fillId="0" borderId="41" xfId="0" applyNumberFormat="1" applyFont="1" applyBorder="1" applyAlignment="1">
      <alignment horizontal="center" vertical="center" textRotation="90" wrapText="1"/>
    </xf>
    <xf numFmtId="164" fontId="1" fillId="0" borderId="62" xfId="0" applyNumberFormat="1" applyFont="1" applyBorder="1" applyAlignment="1">
      <alignment horizontal="center" vertical="center" textRotation="90" wrapText="1"/>
    </xf>
    <xf numFmtId="3" fontId="21" fillId="0" borderId="39" xfId="0" applyNumberFormat="1" applyFont="1" applyFill="1" applyBorder="1" applyAlignment="1">
      <alignment vertical="center" textRotation="90" wrapText="1"/>
    </xf>
    <xf numFmtId="3" fontId="21" fillId="0" borderId="52" xfId="0" applyNumberFormat="1" applyFont="1" applyFill="1" applyBorder="1" applyAlignment="1">
      <alignment vertical="center" textRotation="90" wrapText="1"/>
    </xf>
    <xf numFmtId="49" fontId="24" fillId="0" borderId="61" xfId="0" applyNumberFormat="1" applyFont="1" applyBorder="1" applyAlignment="1">
      <alignment horizontal="center" vertical="top" wrapText="1"/>
    </xf>
    <xf numFmtId="49" fontId="24" fillId="0" borderId="54" xfId="0" applyNumberFormat="1" applyFont="1" applyBorder="1" applyAlignment="1">
      <alignment horizontal="center" vertical="top" wrapText="1"/>
    </xf>
    <xf numFmtId="49" fontId="4" fillId="0" borderId="40" xfId="0" applyNumberFormat="1" applyFont="1" applyFill="1" applyBorder="1" applyAlignment="1">
      <alignment horizontal="left" vertical="top" wrapText="1"/>
    </xf>
    <xf numFmtId="49" fontId="4" fillId="0" borderId="48" xfId="0" applyNumberFormat="1" applyFont="1" applyFill="1" applyBorder="1" applyAlignment="1">
      <alignment horizontal="left" vertical="top" wrapText="1"/>
    </xf>
    <xf numFmtId="3" fontId="4" fillId="0" borderId="72" xfId="0" applyNumberFormat="1" applyFont="1" applyFill="1" applyBorder="1" applyAlignment="1">
      <alignment horizontal="center" vertical="top" wrapText="1"/>
    </xf>
    <xf numFmtId="3" fontId="4" fillId="0" borderId="75" xfId="0" applyNumberFormat="1" applyFont="1" applyFill="1" applyBorder="1" applyAlignment="1">
      <alignment horizontal="center" vertical="top" wrapText="1"/>
    </xf>
    <xf numFmtId="3" fontId="4" fillId="0" borderId="42" xfId="0" applyNumberFormat="1" applyFont="1" applyFill="1" applyBorder="1" applyAlignment="1">
      <alignment horizontal="center" vertical="top" wrapText="1"/>
    </xf>
    <xf numFmtId="3" fontId="4" fillId="0" borderId="49" xfId="0" applyNumberFormat="1" applyFont="1" applyFill="1" applyBorder="1" applyAlignment="1">
      <alignment horizontal="center" vertical="top" wrapText="1"/>
    </xf>
    <xf numFmtId="3" fontId="6" fillId="8" borderId="57" xfId="0" applyNumberFormat="1" applyFont="1" applyFill="1" applyBorder="1" applyAlignment="1">
      <alignment horizontal="right" vertical="top" wrapText="1"/>
    </xf>
    <xf numFmtId="3" fontId="1" fillId="0" borderId="35" xfId="0" applyNumberFormat="1" applyFont="1" applyFill="1" applyBorder="1" applyAlignment="1">
      <alignment horizontal="center" vertical="top" textRotation="1"/>
    </xf>
    <xf numFmtId="3" fontId="1" fillId="0" borderId="1" xfId="0" applyNumberFormat="1" applyFont="1" applyFill="1" applyBorder="1" applyAlignment="1">
      <alignment horizontal="center" vertical="top" textRotation="1"/>
    </xf>
  </cellXfs>
  <cellStyles count="3">
    <cellStyle name="Excel Built-in Normal" xfId="2"/>
    <cellStyle name="Įprastas" xfId="0" builtinId="0"/>
    <cellStyle name="Įprastas 2 2" xfId="1"/>
  </cellStyles>
  <dxfs count="0"/>
  <tableStyles count="0" defaultTableStyle="TableStyleMedium2" defaultPivotStyle="PivotStyleLight16"/>
  <colors>
    <mruColors>
      <color rgb="FFFFCC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sz="1200">
                <a:latin typeface="Times New Roman" panose="02020603050405020304" pitchFamily="18" charset="0"/>
                <a:cs typeface="Times New Roman" panose="02020603050405020304" pitchFamily="18" charset="0"/>
              </a:rPr>
              <a:t>2019 m. SVP programos nr. 12 įvykdymas</a:t>
            </a:r>
          </a:p>
        </c:rich>
      </c:tx>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177393600514573E-2"/>
          <c:y val="0.28416094452839857"/>
          <c:w val="0.81869830755478468"/>
          <c:h val="0.68667249927092444"/>
        </c:manualLayout>
      </c:layout>
      <c:pie3DChart>
        <c:varyColors val="1"/>
        <c:ser>
          <c:idx val="0"/>
          <c:order val="0"/>
          <c:spPr>
            <a:ln>
              <a:solidFill>
                <a:sysClr val="windowText" lastClr="000000"/>
              </a:solidFill>
            </a:ln>
          </c:spPr>
          <c:dPt>
            <c:idx val="0"/>
            <c:bubble3D val="0"/>
            <c:spPr>
              <a:solidFill>
                <a:schemeClr val="bg1"/>
              </a:solidFill>
              <a:ln>
                <a:solidFill>
                  <a:sysClr val="windowText" lastClr="000000"/>
                </a:solidFill>
              </a:ln>
              <a:effectLst>
                <a:outerShdw blurRad="88900" sx="102000" sy="102000" algn="ctr" rotWithShape="0">
                  <a:prstClr val="black">
                    <a:alpha val="10000"/>
                  </a:prstClr>
                </a:outerShdw>
              </a:effectLst>
              <a:scene3d>
                <a:camera prst="orthographicFront"/>
                <a:lightRig rig="threePt" dir="t"/>
              </a:scene3d>
              <a:sp3d>
                <a:bevelT w="127000" h="127000"/>
                <a:bevelB w="127000" h="127000"/>
                <a:contourClr>
                  <a:sysClr val="windowText" lastClr="000000"/>
                </a:contourClr>
              </a:sp3d>
            </c:spPr>
            <c:extLst>
              <c:ext xmlns:c16="http://schemas.microsoft.com/office/drawing/2014/chart" uri="{C3380CC4-5D6E-409C-BE32-E72D297353CC}">
                <c16:uniqueId val="{00000001-58A8-4308-ABD4-23CFF852BFE4}"/>
              </c:ext>
            </c:extLst>
          </c:dPt>
          <c:dPt>
            <c:idx val="1"/>
            <c:bubble3D val="0"/>
            <c:spPr>
              <a:solidFill>
                <a:schemeClr val="accent5">
                  <a:lumMod val="20000"/>
                  <a:lumOff val="80000"/>
                </a:schemeClr>
              </a:solidFill>
              <a:ln>
                <a:solidFill>
                  <a:sysClr val="windowText" lastClr="000000"/>
                </a:solidFill>
              </a:ln>
              <a:effectLst>
                <a:outerShdw blurRad="88900" sx="102000" sy="102000" algn="ctr" rotWithShape="0">
                  <a:prstClr val="black">
                    <a:alpha val="10000"/>
                  </a:prstClr>
                </a:outerShdw>
              </a:effectLst>
              <a:scene3d>
                <a:camera prst="orthographicFront"/>
                <a:lightRig rig="threePt" dir="t"/>
              </a:scene3d>
              <a:sp3d>
                <a:bevelT w="127000" h="127000"/>
                <a:bevelB w="127000" h="127000"/>
                <a:contourClr>
                  <a:sysClr val="windowText" lastClr="000000"/>
                </a:contourClr>
              </a:sp3d>
            </c:spPr>
            <c:extLst>
              <c:ext xmlns:c16="http://schemas.microsoft.com/office/drawing/2014/chart" uri="{C3380CC4-5D6E-409C-BE32-E72D297353CC}">
                <c16:uniqueId val="{00000003-58A8-4308-ABD4-23CFF852BFE4}"/>
              </c:ext>
            </c:extLst>
          </c:dPt>
          <c:dPt>
            <c:idx val="2"/>
            <c:bubble3D val="0"/>
            <c:spPr>
              <a:solidFill>
                <a:srgbClr val="FFCCFF"/>
              </a:solidFill>
              <a:ln>
                <a:solidFill>
                  <a:sysClr val="windowText" lastClr="000000"/>
                </a:solidFill>
              </a:ln>
              <a:effectLst>
                <a:outerShdw blurRad="88900" sx="102000" sy="102000" algn="ctr" rotWithShape="0">
                  <a:prstClr val="black">
                    <a:alpha val="10000"/>
                  </a:prstClr>
                </a:outerShdw>
              </a:effectLst>
              <a:scene3d>
                <a:camera prst="orthographicFront"/>
                <a:lightRig rig="threePt" dir="t"/>
              </a:scene3d>
              <a:sp3d>
                <a:bevelT w="127000" h="127000"/>
                <a:bevelB w="127000" h="127000"/>
                <a:contourClr>
                  <a:sysClr val="windowText" lastClr="000000"/>
                </a:contourClr>
              </a:sp3d>
            </c:spPr>
            <c:extLst>
              <c:ext xmlns:c16="http://schemas.microsoft.com/office/drawing/2014/chart" uri="{C3380CC4-5D6E-409C-BE32-E72D297353CC}">
                <c16:uniqueId val="{00000002-58A8-4308-ABD4-23CFF852BFE4}"/>
              </c:ext>
            </c:extLst>
          </c:dPt>
          <c:dPt>
            <c:idx val="3"/>
            <c:bubble3D val="0"/>
            <c:spPr>
              <a:solidFill>
                <a:schemeClr val="bg1">
                  <a:lumMod val="85000"/>
                </a:schemeClr>
              </a:solidFill>
              <a:ln>
                <a:solidFill>
                  <a:sysClr val="windowText" lastClr="000000"/>
                </a:solidFill>
              </a:ln>
              <a:effectLst>
                <a:outerShdw blurRad="88900" sx="102000" sy="102000" algn="ctr" rotWithShape="0">
                  <a:prstClr val="black">
                    <a:alpha val="10000"/>
                  </a:prstClr>
                </a:outerShdw>
              </a:effectLst>
              <a:scene3d>
                <a:camera prst="orthographicFront"/>
                <a:lightRig rig="threePt" dir="t"/>
              </a:scene3d>
              <a:sp3d>
                <a:bevelT w="127000" h="127000"/>
                <a:bevelB w="127000" h="127000"/>
                <a:contourClr>
                  <a:sysClr val="windowText" lastClr="000000"/>
                </a:contourClr>
              </a:sp3d>
            </c:spPr>
            <c:extLst>
              <c:ext xmlns:c16="http://schemas.microsoft.com/office/drawing/2014/chart" uri="{C3380CC4-5D6E-409C-BE32-E72D297353CC}">
                <c16:uniqueId val="{00000006-18FD-4EB8-8207-ED43D7FF8272}"/>
              </c:ext>
            </c:extLst>
          </c:dPt>
          <c:dLbls>
            <c:dLbl>
              <c:idx val="0"/>
              <c:layout>
                <c:manualLayout>
                  <c:x val="0.11651138012578297"/>
                  <c:y val="-4.4893378226711557E-2"/>
                </c:manualLayout>
              </c:layout>
              <c:numFmt formatCode="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layout>
                    <c:manualLayout>
                      <c:w val="0.23794510645612185"/>
                      <c:h val="0.16835016835016836"/>
                    </c:manualLayout>
                  </c15:layout>
                </c:ext>
                <c:ext xmlns:c16="http://schemas.microsoft.com/office/drawing/2014/chart" uri="{C3380CC4-5D6E-409C-BE32-E72D297353CC}">
                  <c16:uniqueId val="{00000001-58A8-4308-ABD4-23CFF852BFE4}"/>
                </c:ext>
              </c:extLst>
            </c:dLbl>
            <c:dLbl>
              <c:idx val="1"/>
              <c:layout>
                <c:manualLayout>
                  <c:x val="-8.3959916318338434E-2"/>
                  <c:y val="2.0033051424127538E-2"/>
                </c:manualLayout>
              </c:layout>
              <c:numFmt formatCode="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layout>
                    <c:manualLayout>
                      <c:w val="0.21804515581180428"/>
                      <c:h val="0.16835016835016836"/>
                    </c:manualLayout>
                  </c15:layout>
                </c:ext>
                <c:ext xmlns:c16="http://schemas.microsoft.com/office/drawing/2014/chart" uri="{C3380CC4-5D6E-409C-BE32-E72D297353CC}">
                  <c16:uniqueId val="{00000003-58A8-4308-ABD4-23CFF852BFE4}"/>
                </c:ext>
              </c:extLst>
            </c:dLbl>
            <c:dLbl>
              <c:idx val="2"/>
              <c:layout>
                <c:manualLayout>
                  <c:x val="0.16804790875770317"/>
                  <c:y val="-4.0404040404040407E-2"/>
                </c:manualLayout>
              </c:layout>
              <c:numFmt formatCode="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58A8-4308-ABD4-23CFF852BFE4}"/>
                </c:ext>
              </c:extLst>
            </c:dLbl>
            <c:dLbl>
              <c:idx val="3"/>
              <c:layout>
                <c:manualLayout>
                  <c:x val="7.9334628910610813E-2"/>
                  <c:y val="-4.4893378226711564E-3"/>
                </c:manualLayout>
              </c:layout>
              <c:numFmt formatCode="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8FD-4EB8-8207-ED43D7FF8272}"/>
                </c:ext>
              </c:extLst>
            </c:dLbl>
            <c:numFmt formatCode="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Ataskaita!$A$7:$A$9</c:f>
              <c:strCache>
                <c:ptCount val="3"/>
                <c:pt idx="0">
                  <c:v>faktiškai įvykdyta –</c:v>
                </c:pt>
                <c:pt idx="1">
                  <c:v>iš dalies įvykdyta –</c:v>
                </c:pt>
                <c:pt idx="2">
                  <c:v>neįvykdyta –</c:v>
                </c:pt>
              </c:strCache>
            </c:strRef>
          </c:cat>
          <c:val>
            <c:numRef>
              <c:f>Ataskaita!$B$7:$B$9</c:f>
              <c:numCache>
                <c:formatCode>General</c:formatCode>
                <c:ptCount val="3"/>
                <c:pt idx="0">
                  <c:v>49</c:v>
                </c:pt>
                <c:pt idx="1">
                  <c:v>4</c:v>
                </c:pt>
                <c:pt idx="2">
                  <c:v>0</c:v>
                </c:pt>
              </c:numCache>
            </c:numRef>
          </c:val>
          <c:extLst>
            <c:ext xmlns:c16="http://schemas.microsoft.com/office/drawing/2014/chart" uri="{C3380CC4-5D6E-409C-BE32-E72D297353CC}">
              <c16:uniqueId val="{00000000-58A8-4308-ABD4-23CFF852B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10</xdr:row>
      <xdr:rowOff>0</xdr:rowOff>
    </xdr:from>
    <xdr:to>
      <xdr:col>5</xdr:col>
      <xdr:colOff>981074</xdr:colOff>
      <xdr:row>24</xdr:row>
      <xdr:rowOff>104775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zoomScaleNormal="100" workbookViewId="0">
      <selection activeCell="I5" sqref="I5"/>
    </sheetView>
  </sheetViews>
  <sheetFormatPr defaultRowHeight="13.2" x14ac:dyDescent="0.25"/>
  <cols>
    <col min="1" max="1" width="19.6640625" style="1828" customWidth="1"/>
    <col min="2" max="2" width="8.44140625" style="1828" customWidth="1"/>
    <col min="3" max="3" width="12.109375" style="1828" customWidth="1"/>
    <col min="4" max="4" width="13" style="1828" customWidth="1"/>
    <col min="5" max="5" width="9.6640625" style="1828" customWidth="1"/>
    <col min="6" max="6" width="19.77734375" style="1828" customWidth="1"/>
    <col min="7" max="7" width="11.109375" style="1828" customWidth="1"/>
    <col min="8" max="9" width="9.109375" style="1828"/>
    <col min="10" max="10" width="15.109375" style="1828" customWidth="1"/>
    <col min="11" max="256" width="9.109375" style="1828"/>
    <col min="257" max="257" width="19.6640625" style="1828" customWidth="1"/>
    <col min="258" max="258" width="10.6640625" style="1828" customWidth="1"/>
    <col min="259" max="259" width="11.109375" style="1828" customWidth="1"/>
    <col min="260" max="260" width="10.88671875" style="1828" customWidth="1"/>
    <col min="261" max="261" width="9.6640625" style="1828" customWidth="1"/>
    <col min="262" max="262" width="9.109375" style="1828"/>
    <col min="263" max="263" width="15" style="1828" customWidth="1"/>
    <col min="264" max="265" width="9.109375" style="1828"/>
    <col min="266" max="266" width="15.109375" style="1828" customWidth="1"/>
    <col min="267" max="512" width="9.109375" style="1828"/>
    <col min="513" max="513" width="19.6640625" style="1828" customWidth="1"/>
    <col min="514" max="514" width="10.6640625" style="1828" customWidth="1"/>
    <col min="515" max="515" width="11.109375" style="1828" customWidth="1"/>
    <col min="516" max="516" width="10.88671875" style="1828" customWidth="1"/>
    <col min="517" max="517" width="9.6640625" style="1828" customWidth="1"/>
    <col min="518" max="518" width="9.109375" style="1828"/>
    <col min="519" max="519" width="15" style="1828" customWidth="1"/>
    <col min="520" max="521" width="9.109375" style="1828"/>
    <col min="522" max="522" width="15.109375" style="1828" customWidth="1"/>
    <col min="523" max="768" width="9.109375" style="1828"/>
    <col min="769" max="769" width="19.6640625" style="1828" customWidth="1"/>
    <col min="770" max="770" width="10.6640625" style="1828" customWidth="1"/>
    <col min="771" max="771" width="11.109375" style="1828" customWidth="1"/>
    <col min="772" max="772" width="10.88671875" style="1828" customWidth="1"/>
    <col min="773" max="773" width="9.6640625" style="1828" customWidth="1"/>
    <col min="774" max="774" width="9.109375" style="1828"/>
    <col min="775" max="775" width="15" style="1828" customWidth="1"/>
    <col min="776" max="777" width="9.109375" style="1828"/>
    <col min="778" max="778" width="15.109375" style="1828" customWidth="1"/>
    <col min="779" max="1024" width="9.109375" style="1828"/>
    <col min="1025" max="1025" width="19.6640625" style="1828" customWidth="1"/>
    <col min="1026" max="1026" width="10.6640625" style="1828" customWidth="1"/>
    <col min="1027" max="1027" width="11.109375" style="1828" customWidth="1"/>
    <col min="1028" max="1028" width="10.88671875" style="1828" customWidth="1"/>
    <col min="1029" max="1029" width="9.6640625" style="1828" customWidth="1"/>
    <col min="1030" max="1030" width="9.109375" style="1828"/>
    <col min="1031" max="1031" width="15" style="1828" customWidth="1"/>
    <col min="1032" max="1033" width="9.109375" style="1828"/>
    <col min="1034" max="1034" width="15.109375" style="1828" customWidth="1"/>
    <col min="1035" max="1280" width="9.109375" style="1828"/>
    <col min="1281" max="1281" width="19.6640625" style="1828" customWidth="1"/>
    <col min="1282" max="1282" width="10.6640625" style="1828" customWidth="1"/>
    <col min="1283" max="1283" width="11.109375" style="1828" customWidth="1"/>
    <col min="1284" max="1284" width="10.88671875" style="1828" customWidth="1"/>
    <col min="1285" max="1285" width="9.6640625" style="1828" customWidth="1"/>
    <col min="1286" max="1286" width="9.109375" style="1828"/>
    <col min="1287" max="1287" width="15" style="1828" customWidth="1"/>
    <col min="1288" max="1289" width="9.109375" style="1828"/>
    <col min="1290" max="1290" width="15.109375" style="1828" customWidth="1"/>
    <col min="1291" max="1536" width="9.109375" style="1828"/>
    <col min="1537" max="1537" width="19.6640625" style="1828" customWidth="1"/>
    <col min="1538" max="1538" width="10.6640625" style="1828" customWidth="1"/>
    <col min="1539" max="1539" width="11.109375" style="1828" customWidth="1"/>
    <col min="1540" max="1540" width="10.88671875" style="1828" customWidth="1"/>
    <col min="1541" max="1541" width="9.6640625" style="1828" customWidth="1"/>
    <col min="1542" max="1542" width="9.109375" style="1828"/>
    <col min="1543" max="1543" width="15" style="1828" customWidth="1"/>
    <col min="1544" max="1545" width="9.109375" style="1828"/>
    <col min="1546" max="1546" width="15.109375" style="1828" customWidth="1"/>
    <col min="1547" max="1792" width="9.109375" style="1828"/>
    <col min="1793" max="1793" width="19.6640625" style="1828" customWidth="1"/>
    <col min="1794" max="1794" width="10.6640625" style="1828" customWidth="1"/>
    <col min="1795" max="1795" width="11.109375" style="1828" customWidth="1"/>
    <col min="1796" max="1796" width="10.88671875" style="1828" customWidth="1"/>
    <col min="1797" max="1797" width="9.6640625" style="1828" customWidth="1"/>
    <col min="1798" max="1798" width="9.109375" style="1828"/>
    <col min="1799" max="1799" width="15" style="1828" customWidth="1"/>
    <col min="1800" max="1801" width="9.109375" style="1828"/>
    <col min="1802" max="1802" width="15.109375" style="1828" customWidth="1"/>
    <col min="1803" max="2048" width="9.109375" style="1828"/>
    <col min="2049" max="2049" width="19.6640625" style="1828" customWidth="1"/>
    <col min="2050" max="2050" width="10.6640625" style="1828" customWidth="1"/>
    <col min="2051" max="2051" width="11.109375" style="1828" customWidth="1"/>
    <col min="2052" max="2052" width="10.88671875" style="1828" customWidth="1"/>
    <col min="2053" max="2053" width="9.6640625" style="1828" customWidth="1"/>
    <col min="2054" max="2054" width="9.109375" style="1828"/>
    <col min="2055" max="2055" width="15" style="1828" customWidth="1"/>
    <col min="2056" max="2057" width="9.109375" style="1828"/>
    <col min="2058" max="2058" width="15.109375" style="1828" customWidth="1"/>
    <col min="2059" max="2304" width="9.109375" style="1828"/>
    <col min="2305" max="2305" width="19.6640625" style="1828" customWidth="1"/>
    <col min="2306" max="2306" width="10.6640625" style="1828" customWidth="1"/>
    <col min="2307" max="2307" width="11.109375" style="1828" customWidth="1"/>
    <col min="2308" max="2308" width="10.88671875" style="1828" customWidth="1"/>
    <col min="2309" max="2309" width="9.6640625" style="1828" customWidth="1"/>
    <col min="2310" max="2310" width="9.109375" style="1828"/>
    <col min="2311" max="2311" width="15" style="1828" customWidth="1"/>
    <col min="2312" max="2313" width="9.109375" style="1828"/>
    <col min="2314" max="2314" width="15.109375" style="1828" customWidth="1"/>
    <col min="2315" max="2560" width="9.109375" style="1828"/>
    <col min="2561" max="2561" width="19.6640625" style="1828" customWidth="1"/>
    <col min="2562" max="2562" width="10.6640625" style="1828" customWidth="1"/>
    <col min="2563" max="2563" width="11.109375" style="1828" customWidth="1"/>
    <col min="2564" max="2564" width="10.88671875" style="1828" customWidth="1"/>
    <col min="2565" max="2565" width="9.6640625" style="1828" customWidth="1"/>
    <col min="2566" max="2566" width="9.109375" style="1828"/>
    <col min="2567" max="2567" width="15" style="1828" customWidth="1"/>
    <col min="2568" max="2569" width="9.109375" style="1828"/>
    <col min="2570" max="2570" width="15.109375" style="1828" customWidth="1"/>
    <col min="2571" max="2816" width="9.109375" style="1828"/>
    <col min="2817" max="2817" width="19.6640625" style="1828" customWidth="1"/>
    <col min="2818" max="2818" width="10.6640625" style="1828" customWidth="1"/>
    <col min="2819" max="2819" width="11.109375" style="1828" customWidth="1"/>
    <col min="2820" max="2820" width="10.88671875" style="1828" customWidth="1"/>
    <col min="2821" max="2821" width="9.6640625" style="1828" customWidth="1"/>
    <col min="2822" max="2822" width="9.109375" style="1828"/>
    <col min="2823" max="2823" width="15" style="1828" customWidth="1"/>
    <col min="2824" max="2825" width="9.109375" style="1828"/>
    <col min="2826" max="2826" width="15.109375" style="1828" customWidth="1"/>
    <col min="2827" max="3072" width="9.109375" style="1828"/>
    <col min="3073" max="3073" width="19.6640625" style="1828" customWidth="1"/>
    <col min="3074" max="3074" width="10.6640625" style="1828" customWidth="1"/>
    <col min="3075" max="3075" width="11.109375" style="1828" customWidth="1"/>
    <col min="3076" max="3076" width="10.88671875" style="1828" customWidth="1"/>
    <col min="3077" max="3077" width="9.6640625" style="1828" customWidth="1"/>
    <col min="3078" max="3078" width="9.109375" style="1828"/>
    <col min="3079" max="3079" width="15" style="1828" customWidth="1"/>
    <col min="3080" max="3081" width="9.109375" style="1828"/>
    <col min="3082" max="3082" width="15.109375" style="1828" customWidth="1"/>
    <col min="3083" max="3328" width="9.109375" style="1828"/>
    <col min="3329" max="3329" width="19.6640625" style="1828" customWidth="1"/>
    <col min="3330" max="3330" width="10.6640625" style="1828" customWidth="1"/>
    <col min="3331" max="3331" width="11.109375" style="1828" customWidth="1"/>
    <col min="3332" max="3332" width="10.88671875" style="1828" customWidth="1"/>
    <col min="3333" max="3333" width="9.6640625" style="1828" customWidth="1"/>
    <col min="3334" max="3334" width="9.109375" style="1828"/>
    <col min="3335" max="3335" width="15" style="1828" customWidth="1"/>
    <col min="3336" max="3337" width="9.109375" style="1828"/>
    <col min="3338" max="3338" width="15.109375" style="1828" customWidth="1"/>
    <col min="3339" max="3584" width="9.109375" style="1828"/>
    <col min="3585" max="3585" width="19.6640625" style="1828" customWidth="1"/>
    <col min="3586" max="3586" width="10.6640625" style="1828" customWidth="1"/>
    <col min="3587" max="3587" width="11.109375" style="1828" customWidth="1"/>
    <col min="3588" max="3588" width="10.88671875" style="1828" customWidth="1"/>
    <col min="3589" max="3589" width="9.6640625" style="1828" customWidth="1"/>
    <col min="3590" max="3590" width="9.109375" style="1828"/>
    <col min="3591" max="3591" width="15" style="1828" customWidth="1"/>
    <col min="3592" max="3593" width="9.109375" style="1828"/>
    <col min="3594" max="3594" width="15.109375" style="1828" customWidth="1"/>
    <col min="3595" max="3840" width="9.109375" style="1828"/>
    <col min="3841" max="3841" width="19.6640625" style="1828" customWidth="1"/>
    <col min="3842" max="3842" width="10.6640625" style="1828" customWidth="1"/>
    <col min="3843" max="3843" width="11.109375" style="1828" customWidth="1"/>
    <col min="3844" max="3844" width="10.88671875" style="1828" customWidth="1"/>
    <col min="3845" max="3845" width="9.6640625" style="1828" customWidth="1"/>
    <col min="3846" max="3846" width="9.109375" style="1828"/>
    <col min="3847" max="3847" width="15" style="1828" customWidth="1"/>
    <col min="3848" max="3849" width="9.109375" style="1828"/>
    <col min="3850" max="3850" width="15.109375" style="1828" customWidth="1"/>
    <col min="3851" max="4096" width="9.109375" style="1828"/>
    <col min="4097" max="4097" width="19.6640625" style="1828" customWidth="1"/>
    <col min="4098" max="4098" width="10.6640625" style="1828" customWidth="1"/>
    <col min="4099" max="4099" width="11.109375" style="1828" customWidth="1"/>
    <col min="4100" max="4100" width="10.88671875" style="1828" customWidth="1"/>
    <col min="4101" max="4101" width="9.6640625" style="1828" customWidth="1"/>
    <col min="4102" max="4102" width="9.109375" style="1828"/>
    <col min="4103" max="4103" width="15" style="1828" customWidth="1"/>
    <col min="4104" max="4105" width="9.109375" style="1828"/>
    <col min="4106" max="4106" width="15.109375" style="1828" customWidth="1"/>
    <col min="4107" max="4352" width="9.109375" style="1828"/>
    <col min="4353" max="4353" width="19.6640625" style="1828" customWidth="1"/>
    <col min="4354" max="4354" width="10.6640625" style="1828" customWidth="1"/>
    <col min="4355" max="4355" width="11.109375" style="1828" customWidth="1"/>
    <col min="4356" max="4356" width="10.88671875" style="1828" customWidth="1"/>
    <col min="4357" max="4357" width="9.6640625" style="1828" customWidth="1"/>
    <col min="4358" max="4358" width="9.109375" style="1828"/>
    <col min="4359" max="4359" width="15" style="1828" customWidth="1"/>
    <col min="4360" max="4361" width="9.109375" style="1828"/>
    <col min="4362" max="4362" width="15.109375" style="1828" customWidth="1"/>
    <col min="4363" max="4608" width="9.109375" style="1828"/>
    <col min="4609" max="4609" width="19.6640625" style="1828" customWidth="1"/>
    <col min="4610" max="4610" width="10.6640625" style="1828" customWidth="1"/>
    <col min="4611" max="4611" width="11.109375" style="1828" customWidth="1"/>
    <col min="4612" max="4612" width="10.88671875" style="1828" customWidth="1"/>
    <col min="4613" max="4613" width="9.6640625" style="1828" customWidth="1"/>
    <col min="4614" max="4614" width="9.109375" style="1828"/>
    <col min="4615" max="4615" width="15" style="1828" customWidth="1"/>
    <col min="4616" max="4617" width="9.109375" style="1828"/>
    <col min="4618" max="4618" width="15.109375" style="1828" customWidth="1"/>
    <col min="4619" max="4864" width="9.109375" style="1828"/>
    <col min="4865" max="4865" width="19.6640625" style="1828" customWidth="1"/>
    <col min="4866" max="4866" width="10.6640625" style="1828" customWidth="1"/>
    <col min="4867" max="4867" width="11.109375" style="1828" customWidth="1"/>
    <col min="4868" max="4868" width="10.88671875" style="1828" customWidth="1"/>
    <col min="4869" max="4869" width="9.6640625" style="1828" customWidth="1"/>
    <col min="4870" max="4870" width="9.109375" style="1828"/>
    <col min="4871" max="4871" width="15" style="1828" customWidth="1"/>
    <col min="4872" max="4873" width="9.109375" style="1828"/>
    <col min="4874" max="4874" width="15.109375" style="1828" customWidth="1"/>
    <col min="4875" max="5120" width="9.109375" style="1828"/>
    <col min="5121" max="5121" width="19.6640625" style="1828" customWidth="1"/>
    <col min="5122" max="5122" width="10.6640625" style="1828" customWidth="1"/>
    <col min="5123" max="5123" width="11.109375" style="1828" customWidth="1"/>
    <col min="5124" max="5124" width="10.88671875" style="1828" customWidth="1"/>
    <col min="5125" max="5125" width="9.6640625" style="1828" customWidth="1"/>
    <col min="5126" max="5126" width="9.109375" style="1828"/>
    <col min="5127" max="5127" width="15" style="1828" customWidth="1"/>
    <col min="5128" max="5129" width="9.109375" style="1828"/>
    <col min="5130" max="5130" width="15.109375" style="1828" customWidth="1"/>
    <col min="5131" max="5376" width="9.109375" style="1828"/>
    <col min="5377" max="5377" width="19.6640625" style="1828" customWidth="1"/>
    <col min="5378" max="5378" width="10.6640625" style="1828" customWidth="1"/>
    <col min="5379" max="5379" width="11.109375" style="1828" customWidth="1"/>
    <col min="5380" max="5380" width="10.88671875" style="1828" customWidth="1"/>
    <col min="5381" max="5381" width="9.6640625" style="1828" customWidth="1"/>
    <col min="5382" max="5382" width="9.109375" style="1828"/>
    <col min="5383" max="5383" width="15" style="1828" customWidth="1"/>
    <col min="5384" max="5385" width="9.109375" style="1828"/>
    <col min="5386" max="5386" width="15.109375" style="1828" customWidth="1"/>
    <col min="5387" max="5632" width="9.109375" style="1828"/>
    <col min="5633" max="5633" width="19.6640625" style="1828" customWidth="1"/>
    <col min="5634" max="5634" width="10.6640625" style="1828" customWidth="1"/>
    <col min="5635" max="5635" width="11.109375" style="1828" customWidth="1"/>
    <col min="5636" max="5636" width="10.88671875" style="1828" customWidth="1"/>
    <col min="5637" max="5637" width="9.6640625" style="1828" customWidth="1"/>
    <col min="5638" max="5638" width="9.109375" style="1828"/>
    <col min="5639" max="5639" width="15" style="1828" customWidth="1"/>
    <col min="5640" max="5641" width="9.109375" style="1828"/>
    <col min="5642" max="5642" width="15.109375" style="1828" customWidth="1"/>
    <col min="5643" max="5888" width="9.109375" style="1828"/>
    <col min="5889" max="5889" width="19.6640625" style="1828" customWidth="1"/>
    <col min="5890" max="5890" width="10.6640625" style="1828" customWidth="1"/>
    <col min="5891" max="5891" width="11.109375" style="1828" customWidth="1"/>
    <col min="5892" max="5892" width="10.88671875" style="1828" customWidth="1"/>
    <col min="5893" max="5893" width="9.6640625" style="1828" customWidth="1"/>
    <col min="5894" max="5894" width="9.109375" style="1828"/>
    <col min="5895" max="5895" width="15" style="1828" customWidth="1"/>
    <col min="5896" max="5897" width="9.109375" style="1828"/>
    <col min="5898" max="5898" width="15.109375" style="1828" customWidth="1"/>
    <col min="5899" max="6144" width="9.109375" style="1828"/>
    <col min="6145" max="6145" width="19.6640625" style="1828" customWidth="1"/>
    <col min="6146" max="6146" width="10.6640625" style="1828" customWidth="1"/>
    <col min="6147" max="6147" width="11.109375" style="1828" customWidth="1"/>
    <col min="6148" max="6148" width="10.88671875" style="1828" customWidth="1"/>
    <col min="6149" max="6149" width="9.6640625" style="1828" customWidth="1"/>
    <col min="6150" max="6150" width="9.109375" style="1828"/>
    <col min="6151" max="6151" width="15" style="1828" customWidth="1"/>
    <col min="6152" max="6153" width="9.109375" style="1828"/>
    <col min="6154" max="6154" width="15.109375" style="1828" customWidth="1"/>
    <col min="6155" max="6400" width="9.109375" style="1828"/>
    <col min="6401" max="6401" width="19.6640625" style="1828" customWidth="1"/>
    <col min="6402" max="6402" width="10.6640625" style="1828" customWidth="1"/>
    <col min="6403" max="6403" width="11.109375" style="1828" customWidth="1"/>
    <col min="6404" max="6404" width="10.88671875" style="1828" customWidth="1"/>
    <col min="6405" max="6405" width="9.6640625" style="1828" customWidth="1"/>
    <col min="6406" max="6406" width="9.109375" style="1828"/>
    <col min="6407" max="6407" width="15" style="1828" customWidth="1"/>
    <col min="6408" max="6409" width="9.109375" style="1828"/>
    <col min="6410" max="6410" width="15.109375" style="1828" customWidth="1"/>
    <col min="6411" max="6656" width="9.109375" style="1828"/>
    <col min="6657" max="6657" width="19.6640625" style="1828" customWidth="1"/>
    <col min="6658" max="6658" width="10.6640625" style="1828" customWidth="1"/>
    <col min="6659" max="6659" width="11.109375" style="1828" customWidth="1"/>
    <col min="6660" max="6660" width="10.88671875" style="1828" customWidth="1"/>
    <col min="6661" max="6661" width="9.6640625" style="1828" customWidth="1"/>
    <col min="6662" max="6662" width="9.109375" style="1828"/>
    <col min="6663" max="6663" width="15" style="1828" customWidth="1"/>
    <col min="6664" max="6665" width="9.109375" style="1828"/>
    <col min="6666" max="6666" width="15.109375" style="1828" customWidth="1"/>
    <col min="6667" max="6912" width="9.109375" style="1828"/>
    <col min="6913" max="6913" width="19.6640625" style="1828" customWidth="1"/>
    <col min="6914" max="6914" width="10.6640625" style="1828" customWidth="1"/>
    <col min="6915" max="6915" width="11.109375" style="1828" customWidth="1"/>
    <col min="6916" max="6916" width="10.88671875" style="1828" customWidth="1"/>
    <col min="6917" max="6917" width="9.6640625" style="1828" customWidth="1"/>
    <col min="6918" max="6918" width="9.109375" style="1828"/>
    <col min="6919" max="6919" width="15" style="1828" customWidth="1"/>
    <col min="6920" max="6921" width="9.109375" style="1828"/>
    <col min="6922" max="6922" width="15.109375" style="1828" customWidth="1"/>
    <col min="6923" max="7168" width="9.109375" style="1828"/>
    <col min="7169" max="7169" width="19.6640625" style="1828" customWidth="1"/>
    <col min="7170" max="7170" width="10.6640625" style="1828" customWidth="1"/>
    <col min="7171" max="7171" width="11.109375" style="1828" customWidth="1"/>
    <col min="7172" max="7172" width="10.88671875" style="1828" customWidth="1"/>
    <col min="7173" max="7173" width="9.6640625" style="1828" customWidth="1"/>
    <col min="7174" max="7174" width="9.109375" style="1828"/>
    <col min="7175" max="7175" width="15" style="1828" customWidth="1"/>
    <col min="7176" max="7177" width="9.109375" style="1828"/>
    <col min="7178" max="7178" width="15.109375" style="1828" customWidth="1"/>
    <col min="7179" max="7424" width="9.109375" style="1828"/>
    <col min="7425" max="7425" width="19.6640625" style="1828" customWidth="1"/>
    <col min="7426" max="7426" width="10.6640625" style="1828" customWidth="1"/>
    <col min="7427" max="7427" width="11.109375" style="1828" customWidth="1"/>
    <col min="7428" max="7428" width="10.88671875" style="1828" customWidth="1"/>
    <col min="7429" max="7429" width="9.6640625" style="1828" customWidth="1"/>
    <col min="7430" max="7430" width="9.109375" style="1828"/>
    <col min="7431" max="7431" width="15" style="1828" customWidth="1"/>
    <col min="7432" max="7433" width="9.109375" style="1828"/>
    <col min="7434" max="7434" width="15.109375" style="1828" customWidth="1"/>
    <col min="7435" max="7680" width="9.109375" style="1828"/>
    <col min="7681" max="7681" width="19.6640625" style="1828" customWidth="1"/>
    <col min="7682" max="7682" width="10.6640625" style="1828" customWidth="1"/>
    <col min="7683" max="7683" width="11.109375" style="1828" customWidth="1"/>
    <col min="7684" max="7684" width="10.88671875" style="1828" customWidth="1"/>
    <col min="7685" max="7685" width="9.6640625" style="1828" customWidth="1"/>
    <col min="7686" max="7686" width="9.109375" style="1828"/>
    <col min="7687" max="7687" width="15" style="1828" customWidth="1"/>
    <col min="7688" max="7689" width="9.109375" style="1828"/>
    <col min="7690" max="7690" width="15.109375" style="1828" customWidth="1"/>
    <col min="7691" max="7936" width="9.109375" style="1828"/>
    <col min="7937" max="7937" width="19.6640625" style="1828" customWidth="1"/>
    <col min="7938" max="7938" width="10.6640625" style="1828" customWidth="1"/>
    <col min="7939" max="7939" width="11.109375" style="1828" customWidth="1"/>
    <col min="7940" max="7940" width="10.88671875" style="1828" customWidth="1"/>
    <col min="7941" max="7941" width="9.6640625" style="1828" customWidth="1"/>
    <col min="7942" max="7942" width="9.109375" style="1828"/>
    <col min="7943" max="7943" width="15" style="1828" customWidth="1"/>
    <col min="7944" max="7945" width="9.109375" style="1828"/>
    <col min="7946" max="7946" width="15.109375" style="1828" customWidth="1"/>
    <col min="7947" max="8192" width="9.109375" style="1828"/>
    <col min="8193" max="8193" width="19.6640625" style="1828" customWidth="1"/>
    <col min="8194" max="8194" width="10.6640625" style="1828" customWidth="1"/>
    <col min="8195" max="8195" width="11.109375" style="1828" customWidth="1"/>
    <col min="8196" max="8196" width="10.88671875" style="1828" customWidth="1"/>
    <col min="8197" max="8197" width="9.6640625" style="1828" customWidth="1"/>
    <col min="8198" max="8198" width="9.109375" style="1828"/>
    <col min="8199" max="8199" width="15" style="1828" customWidth="1"/>
    <col min="8200" max="8201" width="9.109375" style="1828"/>
    <col min="8202" max="8202" width="15.109375" style="1828" customWidth="1"/>
    <col min="8203" max="8448" width="9.109375" style="1828"/>
    <col min="8449" max="8449" width="19.6640625" style="1828" customWidth="1"/>
    <col min="8450" max="8450" width="10.6640625" style="1828" customWidth="1"/>
    <col min="8451" max="8451" width="11.109375" style="1828" customWidth="1"/>
    <col min="8452" max="8452" width="10.88671875" style="1828" customWidth="1"/>
    <col min="8453" max="8453" width="9.6640625" style="1828" customWidth="1"/>
    <col min="8454" max="8454" width="9.109375" style="1828"/>
    <col min="8455" max="8455" width="15" style="1828" customWidth="1"/>
    <col min="8456" max="8457" width="9.109375" style="1828"/>
    <col min="8458" max="8458" width="15.109375" style="1828" customWidth="1"/>
    <col min="8459" max="8704" width="9.109375" style="1828"/>
    <col min="8705" max="8705" width="19.6640625" style="1828" customWidth="1"/>
    <col min="8706" max="8706" width="10.6640625" style="1828" customWidth="1"/>
    <col min="8707" max="8707" width="11.109375" style="1828" customWidth="1"/>
    <col min="8708" max="8708" width="10.88671875" style="1828" customWidth="1"/>
    <col min="8709" max="8709" width="9.6640625" style="1828" customWidth="1"/>
    <col min="8710" max="8710" width="9.109375" style="1828"/>
    <col min="8711" max="8711" width="15" style="1828" customWidth="1"/>
    <col min="8712" max="8713" width="9.109375" style="1828"/>
    <col min="8714" max="8714" width="15.109375" style="1828" customWidth="1"/>
    <col min="8715" max="8960" width="9.109375" style="1828"/>
    <col min="8961" max="8961" width="19.6640625" style="1828" customWidth="1"/>
    <col min="8962" max="8962" width="10.6640625" style="1828" customWidth="1"/>
    <col min="8963" max="8963" width="11.109375" style="1828" customWidth="1"/>
    <col min="8964" max="8964" width="10.88671875" style="1828" customWidth="1"/>
    <col min="8965" max="8965" width="9.6640625" style="1828" customWidth="1"/>
    <col min="8966" max="8966" width="9.109375" style="1828"/>
    <col min="8967" max="8967" width="15" style="1828" customWidth="1"/>
    <col min="8968" max="8969" width="9.109375" style="1828"/>
    <col min="8970" max="8970" width="15.109375" style="1828" customWidth="1"/>
    <col min="8971" max="9216" width="9.109375" style="1828"/>
    <col min="9217" max="9217" width="19.6640625" style="1828" customWidth="1"/>
    <col min="9218" max="9218" width="10.6640625" style="1828" customWidth="1"/>
    <col min="9219" max="9219" width="11.109375" style="1828" customWidth="1"/>
    <col min="9220" max="9220" width="10.88671875" style="1828" customWidth="1"/>
    <col min="9221" max="9221" width="9.6640625" style="1828" customWidth="1"/>
    <col min="9222" max="9222" width="9.109375" style="1828"/>
    <col min="9223" max="9223" width="15" style="1828" customWidth="1"/>
    <col min="9224" max="9225" width="9.109375" style="1828"/>
    <col min="9226" max="9226" width="15.109375" style="1828" customWidth="1"/>
    <col min="9227" max="9472" width="9.109375" style="1828"/>
    <col min="9473" max="9473" width="19.6640625" style="1828" customWidth="1"/>
    <col min="9474" max="9474" width="10.6640625" style="1828" customWidth="1"/>
    <col min="9475" max="9475" width="11.109375" style="1828" customWidth="1"/>
    <col min="9476" max="9476" width="10.88671875" style="1828" customWidth="1"/>
    <col min="9477" max="9477" width="9.6640625" style="1828" customWidth="1"/>
    <col min="9478" max="9478" width="9.109375" style="1828"/>
    <col min="9479" max="9479" width="15" style="1828" customWidth="1"/>
    <col min="9480" max="9481" width="9.109375" style="1828"/>
    <col min="9482" max="9482" width="15.109375" style="1828" customWidth="1"/>
    <col min="9483" max="9728" width="9.109375" style="1828"/>
    <col min="9729" max="9729" width="19.6640625" style="1828" customWidth="1"/>
    <col min="9730" max="9730" width="10.6640625" style="1828" customWidth="1"/>
    <col min="9731" max="9731" width="11.109375" style="1828" customWidth="1"/>
    <col min="9732" max="9732" width="10.88671875" style="1828" customWidth="1"/>
    <col min="9733" max="9733" width="9.6640625" style="1828" customWidth="1"/>
    <col min="9734" max="9734" width="9.109375" style="1828"/>
    <col min="9735" max="9735" width="15" style="1828" customWidth="1"/>
    <col min="9736" max="9737" width="9.109375" style="1828"/>
    <col min="9738" max="9738" width="15.109375" style="1828" customWidth="1"/>
    <col min="9739" max="9984" width="9.109375" style="1828"/>
    <col min="9985" max="9985" width="19.6640625" style="1828" customWidth="1"/>
    <col min="9986" max="9986" width="10.6640625" style="1828" customWidth="1"/>
    <col min="9987" max="9987" width="11.109375" style="1828" customWidth="1"/>
    <col min="9988" max="9988" width="10.88671875" style="1828" customWidth="1"/>
    <col min="9989" max="9989" width="9.6640625" style="1828" customWidth="1"/>
    <col min="9990" max="9990" width="9.109375" style="1828"/>
    <col min="9991" max="9991" width="15" style="1828" customWidth="1"/>
    <col min="9992" max="9993" width="9.109375" style="1828"/>
    <col min="9994" max="9994" width="15.109375" style="1828" customWidth="1"/>
    <col min="9995" max="10240" width="9.109375" style="1828"/>
    <col min="10241" max="10241" width="19.6640625" style="1828" customWidth="1"/>
    <col min="10242" max="10242" width="10.6640625" style="1828" customWidth="1"/>
    <col min="10243" max="10243" width="11.109375" style="1828" customWidth="1"/>
    <col min="10244" max="10244" width="10.88671875" style="1828" customWidth="1"/>
    <col min="10245" max="10245" width="9.6640625" style="1828" customWidth="1"/>
    <col min="10246" max="10246" width="9.109375" style="1828"/>
    <col min="10247" max="10247" width="15" style="1828" customWidth="1"/>
    <col min="10248" max="10249" width="9.109375" style="1828"/>
    <col min="10250" max="10250" width="15.109375" style="1828" customWidth="1"/>
    <col min="10251" max="10496" width="9.109375" style="1828"/>
    <col min="10497" max="10497" width="19.6640625" style="1828" customWidth="1"/>
    <col min="10498" max="10498" width="10.6640625" style="1828" customWidth="1"/>
    <col min="10499" max="10499" width="11.109375" style="1828" customWidth="1"/>
    <col min="10500" max="10500" width="10.88671875" style="1828" customWidth="1"/>
    <col min="10501" max="10501" width="9.6640625" style="1828" customWidth="1"/>
    <col min="10502" max="10502" width="9.109375" style="1828"/>
    <col min="10503" max="10503" width="15" style="1828" customWidth="1"/>
    <col min="10504" max="10505" width="9.109375" style="1828"/>
    <col min="10506" max="10506" width="15.109375" style="1828" customWidth="1"/>
    <col min="10507" max="10752" width="9.109375" style="1828"/>
    <col min="10753" max="10753" width="19.6640625" style="1828" customWidth="1"/>
    <col min="10754" max="10754" width="10.6640625" style="1828" customWidth="1"/>
    <col min="10755" max="10755" width="11.109375" style="1828" customWidth="1"/>
    <col min="10756" max="10756" width="10.88671875" style="1828" customWidth="1"/>
    <col min="10757" max="10757" width="9.6640625" style="1828" customWidth="1"/>
    <col min="10758" max="10758" width="9.109375" style="1828"/>
    <col min="10759" max="10759" width="15" style="1828" customWidth="1"/>
    <col min="10760" max="10761" width="9.109375" style="1828"/>
    <col min="10762" max="10762" width="15.109375" style="1828" customWidth="1"/>
    <col min="10763" max="11008" width="9.109375" style="1828"/>
    <col min="11009" max="11009" width="19.6640625" style="1828" customWidth="1"/>
    <col min="11010" max="11010" width="10.6640625" style="1828" customWidth="1"/>
    <col min="11011" max="11011" width="11.109375" style="1828" customWidth="1"/>
    <col min="11012" max="11012" width="10.88671875" style="1828" customWidth="1"/>
    <col min="11013" max="11013" width="9.6640625" style="1828" customWidth="1"/>
    <col min="11014" max="11014" width="9.109375" style="1828"/>
    <col min="11015" max="11015" width="15" style="1828" customWidth="1"/>
    <col min="11016" max="11017" width="9.109375" style="1828"/>
    <col min="11018" max="11018" width="15.109375" style="1828" customWidth="1"/>
    <col min="11019" max="11264" width="9.109375" style="1828"/>
    <col min="11265" max="11265" width="19.6640625" style="1828" customWidth="1"/>
    <col min="11266" max="11266" width="10.6640625" style="1828" customWidth="1"/>
    <col min="11267" max="11267" width="11.109375" style="1828" customWidth="1"/>
    <col min="11268" max="11268" width="10.88671875" style="1828" customWidth="1"/>
    <col min="11269" max="11269" width="9.6640625" style="1828" customWidth="1"/>
    <col min="11270" max="11270" width="9.109375" style="1828"/>
    <col min="11271" max="11271" width="15" style="1828" customWidth="1"/>
    <col min="11272" max="11273" width="9.109375" style="1828"/>
    <col min="11274" max="11274" width="15.109375" style="1828" customWidth="1"/>
    <col min="11275" max="11520" width="9.109375" style="1828"/>
    <col min="11521" max="11521" width="19.6640625" style="1828" customWidth="1"/>
    <col min="11522" max="11522" width="10.6640625" style="1828" customWidth="1"/>
    <col min="11523" max="11523" width="11.109375" style="1828" customWidth="1"/>
    <col min="11524" max="11524" width="10.88671875" style="1828" customWidth="1"/>
    <col min="11525" max="11525" width="9.6640625" style="1828" customWidth="1"/>
    <col min="11526" max="11526" width="9.109375" style="1828"/>
    <col min="11527" max="11527" width="15" style="1828" customWidth="1"/>
    <col min="11528" max="11529" width="9.109375" style="1828"/>
    <col min="11530" max="11530" width="15.109375" style="1828" customWidth="1"/>
    <col min="11531" max="11776" width="9.109375" style="1828"/>
    <col min="11777" max="11777" width="19.6640625" style="1828" customWidth="1"/>
    <col min="11778" max="11778" width="10.6640625" style="1828" customWidth="1"/>
    <col min="11779" max="11779" width="11.109375" style="1828" customWidth="1"/>
    <col min="11780" max="11780" width="10.88671875" style="1828" customWidth="1"/>
    <col min="11781" max="11781" width="9.6640625" style="1828" customWidth="1"/>
    <col min="11782" max="11782" width="9.109375" style="1828"/>
    <col min="11783" max="11783" width="15" style="1828" customWidth="1"/>
    <col min="11784" max="11785" width="9.109375" style="1828"/>
    <col min="11786" max="11786" width="15.109375" style="1828" customWidth="1"/>
    <col min="11787" max="12032" width="9.109375" style="1828"/>
    <col min="12033" max="12033" width="19.6640625" style="1828" customWidth="1"/>
    <col min="12034" max="12034" width="10.6640625" style="1828" customWidth="1"/>
    <col min="12035" max="12035" width="11.109375" style="1828" customWidth="1"/>
    <col min="12036" max="12036" width="10.88671875" style="1828" customWidth="1"/>
    <col min="12037" max="12037" width="9.6640625" style="1828" customWidth="1"/>
    <col min="12038" max="12038" width="9.109375" style="1828"/>
    <col min="12039" max="12039" width="15" style="1828" customWidth="1"/>
    <col min="12040" max="12041" width="9.109375" style="1828"/>
    <col min="12042" max="12042" width="15.109375" style="1828" customWidth="1"/>
    <col min="12043" max="12288" width="9.109375" style="1828"/>
    <col min="12289" max="12289" width="19.6640625" style="1828" customWidth="1"/>
    <col min="12290" max="12290" width="10.6640625" style="1828" customWidth="1"/>
    <col min="12291" max="12291" width="11.109375" style="1828" customWidth="1"/>
    <col min="12292" max="12292" width="10.88671875" style="1828" customWidth="1"/>
    <col min="12293" max="12293" width="9.6640625" style="1828" customWidth="1"/>
    <col min="12294" max="12294" width="9.109375" style="1828"/>
    <col min="12295" max="12295" width="15" style="1828" customWidth="1"/>
    <col min="12296" max="12297" width="9.109375" style="1828"/>
    <col min="12298" max="12298" width="15.109375" style="1828" customWidth="1"/>
    <col min="12299" max="12544" width="9.109375" style="1828"/>
    <col min="12545" max="12545" width="19.6640625" style="1828" customWidth="1"/>
    <col min="12546" max="12546" width="10.6640625" style="1828" customWidth="1"/>
    <col min="12547" max="12547" width="11.109375" style="1828" customWidth="1"/>
    <col min="12548" max="12548" width="10.88671875" style="1828" customWidth="1"/>
    <col min="12549" max="12549" width="9.6640625" style="1828" customWidth="1"/>
    <col min="12550" max="12550" width="9.109375" style="1828"/>
    <col min="12551" max="12551" width="15" style="1828" customWidth="1"/>
    <col min="12552" max="12553" width="9.109375" style="1828"/>
    <col min="12554" max="12554" width="15.109375" style="1828" customWidth="1"/>
    <col min="12555" max="12800" width="9.109375" style="1828"/>
    <col min="12801" max="12801" width="19.6640625" style="1828" customWidth="1"/>
    <col min="12802" max="12802" width="10.6640625" style="1828" customWidth="1"/>
    <col min="12803" max="12803" width="11.109375" style="1828" customWidth="1"/>
    <col min="12804" max="12804" width="10.88671875" style="1828" customWidth="1"/>
    <col min="12805" max="12805" width="9.6640625" style="1828" customWidth="1"/>
    <col min="12806" max="12806" width="9.109375" style="1828"/>
    <col min="12807" max="12807" width="15" style="1828" customWidth="1"/>
    <col min="12808" max="12809" width="9.109375" style="1828"/>
    <col min="12810" max="12810" width="15.109375" style="1828" customWidth="1"/>
    <col min="12811" max="13056" width="9.109375" style="1828"/>
    <col min="13057" max="13057" width="19.6640625" style="1828" customWidth="1"/>
    <col min="13058" max="13058" width="10.6640625" style="1828" customWidth="1"/>
    <col min="13059" max="13059" width="11.109375" style="1828" customWidth="1"/>
    <col min="13060" max="13060" width="10.88671875" style="1828" customWidth="1"/>
    <col min="13061" max="13061" width="9.6640625" style="1828" customWidth="1"/>
    <col min="13062" max="13062" width="9.109375" style="1828"/>
    <col min="13063" max="13063" width="15" style="1828" customWidth="1"/>
    <col min="13064" max="13065" width="9.109375" style="1828"/>
    <col min="13066" max="13066" width="15.109375" style="1828" customWidth="1"/>
    <col min="13067" max="13312" width="9.109375" style="1828"/>
    <col min="13313" max="13313" width="19.6640625" style="1828" customWidth="1"/>
    <col min="13314" max="13314" width="10.6640625" style="1828" customWidth="1"/>
    <col min="13315" max="13315" width="11.109375" style="1828" customWidth="1"/>
    <col min="13316" max="13316" width="10.88671875" style="1828" customWidth="1"/>
    <col min="13317" max="13317" width="9.6640625" style="1828" customWidth="1"/>
    <col min="13318" max="13318" width="9.109375" style="1828"/>
    <col min="13319" max="13319" width="15" style="1828" customWidth="1"/>
    <col min="13320" max="13321" width="9.109375" style="1828"/>
    <col min="13322" max="13322" width="15.109375" style="1828" customWidth="1"/>
    <col min="13323" max="13568" width="9.109375" style="1828"/>
    <col min="13569" max="13569" width="19.6640625" style="1828" customWidth="1"/>
    <col min="13570" max="13570" width="10.6640625" style="1828" customWidth="1"/>
    <col min="13571" max="13571" width="11.109375" style="1828" customWidth="1"/>
    <col min="13572" max="13572" width="10.88671875" style="1828" customWidth="1"/>
    <col min="13573" max="13573" width="9.6640625" style="1828" customWidth="1"/>
    <col min="13574" max="13574" width="9.109375" style="1828"/>
    <col min="13575" max="13575" width="15" style="1828" customWidth="1"/>
    <col min="13576" max="13577" width="9.109375" style="1828"/>
    <col min="13578" max="13578" width="15.109375" style="1828" customWidth="1"/>
    <col min="13579" max="13824" width="9.109375" style="1828"/>
    <col min="13825" max="13825" width="19.6640625" style="1828" customWidth="1"/>
    <col min="13826" max="13826" width="10.6640625" style="1828" customWidth="1"/>
    <col min="13827" max="13827" width="11.109375" style="1828" customWidth="1"/>
    <col min="13828" max="13828" width="10.88671875" style="1828" customWidth="1"/>
    <col min="13829" max="13829" width="9.6640625" style="1828" customWidth="1"/>
    <col min="13830" max="13830" width="9.109375" style="1828"/>
    <col min="13831" max="13831" width="15" style="1828" customWidth="1"/>
    <col min="13832" max="13833" width="9.109375" style="1828"/>
    <col min="13834" max="13834" width="15.109375" style="1828" customWidth="1"/>
    <col min="13835" max="14080" width="9.109375" style="1828"/>
    <col min="14081" max="14081" width="19.6640625" style="1828" customWidth="1"/>
    <col min="14082" max="14082" width="10.6640625" style="1828" customWidth="1"/>
    <col min="14083" max="14083" width="11.109375" style="1828" customWidth="1"/>
    <col min="14084" max="14084" width="10.88671875" style="1828" customWidth="1"/>
    <col min="14085" max="14085" width="9.6640625" style="1828" customWidth="1"/>
    <col min="14086" max="14086" width="9.109375" style="1828"/>
    <col min="14087" max="14087" width="15" style="1828" customWidth="1"/>
    <col min="14088" max="14089" width="9.109375" style="1828"/>
    <col min="14090" max="14090" width="15.109375" style="1828" customWidth="1"/>
    <col min="14091" max="14336" width="9.109375" style="1828"/>
    <col min="14337" max="14337" width="19.6640625" style="1828" customWidth="1"/>
    <col min="14338" max="14338" width="10.6640625" style="1828" customWidth="1"/>
    <col min="14339" max="14339" width="11.109375" style="1828" customWidth="1"/>
    <col min="14340" max="14340" width="10.88671875" style="1828" customWidth="1"/>
    <col min="14341" max="14341" width="9.6640625" style="1828" customWidth="1"/>
    <col min="14342" max="14342" width="9.109375" style="1828"/>
    <col min="14343" max="14343" width="15" style="1828" customWidth="1"/>
    <col min="14344" max="14345" width="9.109375" style="1828"/>
    <col min="14346" max="14346" width="15.109375" style="1828" customWidth="1"/>
    <col min="14347" max="14592" width="9.109375" style="1828"/>
    <col min="14593" max="14593" width="19.6640625" style="1828" customWidth="1"/>
    <col min="14594" max="14594" width="10.6640625" style="1828" customWidth="1"/>
    <col min="14595" max="14595" width="11.109375" style="1828" customWidth="1"/>
    <col min="14596" max="14596" width="10.88671875" style="1828" customWidth="1"/>
    <col min="14597" max="14597" width="9.6640625" style="1828" customWidth="1"/>
    <col min="14598" max="14598" width="9.109375" style="1828"/>
    <col min="14599" max="14599" width="15" style="1828" customWidth="1"/>
    <col min="14600" max="14601" width="9.109375" style="1828"/>
    <col min="14602" max="14602" width="15.109375" style="1828" customWidth="1"/>
    <col min="14603" max="14848" width="9.109375" style="1828"/>
    <col min="14849" max="14849" width="19.6640625" style="1828" customWidth="1"/>
    <col min="14850" max="14850" width="10.6640625" style="1828" customWidth="1"/>
    <col min="14851" max="14851" width="11.109375" style="1828" customWidth="1"/>
    <col min="14852" max="14852" width="10.88671875" style="1828" customWidth="1"/>
    <col min="14853" max="14853" width="9.6640625" style="1828" customWidth="1"/>
    <col min="14854" max="14854" width="9.109375" style="1828"/>
    <col min="14855" max="14855" width="15" style="1828" customWidth="1"/>
    <col min="14856" max="14857" width="9.109375" style="1828"/>
    <col min="14858" max="14858" width="15.109375" style="1828" customWidth="1"/>
    <col min="14859" max="15104" width="9.109375" style="1828"/>
    <col min="15105" max="15105" width="19.6640625" style="1828" customWidth="1"/>
    <col min="15106" max="15106" width="10.6640625" style="1828" customWidth="1"/>
    <col min="15107" max="15107" width="11.109375" style="1828" customWidth="1"/>
    <col min="15108" max="15108" width="10.88671875" style="1828" customWidth="1"/>
    <col min="15109" max="15109" width="9.6640625" style="1828" customWidth="1"/>
    <col min="15110" max="15110" width="9.109375" style="1828"/>
    <col min="15111" max="15111" width="15" style="1828" customWidth="1"/>
    <col min="15112" max="15113" width="9.109375" style="1828"/>
    <col min="15114" max="15114" width="15.109375" style="1828" customWidth="1"/>
    <col min="15115" max="15360" width="9.109375" style="1828"/>
    <col min="15361" max="15361" width="19.6640625" style="1828" customWidth="1"/>
    <col min="15362" max="15362" width="10.6640625" style="1828" customWidth="1"/>
    <col min="15363" max="15363" width="11.109375" style="1828" customWidth="1"/>
    <col min="15364" max="15364" width="10.88671875" style="1828" customWidth="1"/>
    <col min="15365" max="15365" width="9.6640625" style="1828" customWidth="1"/>
    <col min="15366" max="15366" width="9.109375" style="1828"/>
    <col min="15367" max="15367" width="15" style="1828" customWidth="1"/>
    <col min="15368" max="15369" width="9.109375" style="1828"/>
    <col min="15370" max="15370" width="15.109375" style="1828" customWidth="1"/>
    <col min="15371" max="15616" width="9.109375" style="1828"/>
    <col min="15617" max="15617" width="19.6640625" style="1828" customWidth="1"/>
    <col min="15618" max="15618" width="10.6640625" style="1828" customWidth="1"/>
    <col min="15619" max="15619" width="11.109375" style="1828" customWidth="1"/>
    <col min="15620" max="15620" width="10.88671875" style="1828" customWidth="1"/>
    <col min="15621" max="15621" width="9.6640625" style="1828" customWidth="1"/>
    <col min="15622" max="15622" width="9.109375" style="1828"/>
    <col min="15623" max="15623" width="15" style="1828" customWidth="1"/>
    <col min="15624" max="15625" width="9.109375" style="1828"/>
    <col min="15626" max="15626" width="15.109375" style="1828" customWidth="1"/>
    <col min="15627" max="15872" width="9.109375" style="1828"/>
    <col min="15873" max="15873" width="19.6640625" style="1828" customWidth="1"/>
    <col min="15874" max="15874" width="10.6640625" style="1828" customWidth="1"/>
    <col min="15875" max="15875" width="11.109375" style="1828" customWidth="1"/>
    <col min="15876" max="15876" width="10.88671875" style="1828" customWidth="1"/>
    <col min="15877" max="15877" width="9.6640625" style="1828" customWidth="1"/>
    <col min="15878" max="15878" width="9.109375" style="1828"/>
    <col min="15879" max="15879" width="15" style="1828" customWidth="1"/>
    <col min="15880" max="15881" width="9.109375" style="1828"/>
    <col min="15882" max="15882" width="15.109375" style="1828" customWidth="1"/>
    <col min="15883" max="16128" width="9.109375" style="1828"/>
    <col min="16129" max="16129" width="19.6640625" style="1828" customWidth="1"/>
    <col min="16130" max="16130" width="10.6640625" style="1828" customWidth="1"/>
    <col min="16131" max="16131" width="11.109375" style="1828" customWidth="1"/>
    <col min="16132" max="16132" width="10.88671875" style="1828" customWidth="1"/>
    <col min="16133" max="16133" width="9.6640625" style="1828" customWidth="1"/>
    <col min="16134" max="16134" width="9.109375" style="1828"/>
    <col min="16135" max="16135" width="15" style="1828" customWidth="1"/>
    <col min="16136" max="16137" width="9.109375" style="1828"/>
    <col min="16138" max="16138" width="15.109375" style="1828" customWidth="1"/>
    <col min="16139" max="16384" width="9.109375" style="1828"/>
  </cols>
  <sheetData>
    <row r="1" spans="1:12" ht="61.2" customHeight="1" x14ac:dyDescent="0.25">
      <c r="D1" s="2535" t="s">
        <v>1050</v>
      </c>
      <c r="E1" s="2535"/>
      <c r="F1" s="2535"/>
    </row>
    <row r="2" spans="1:12" ht="31.5" customHeight="1" x14ac:dyDescent="0.3">
      <c r="A2" s="2541" t="s">
        <v>991</v>
      </c>
      <c r="B2" s="2541"/>
      <c r="C2" s="2541"/>
      <c r="D2" s="2541"/>
      <c r="E2" s="2541"/>
      <c r="F2" s="2541"/>
      <c r="G2" s="1827"/>
      <c r="H2" s="1827"/>
      <c r="I2"/>
      <c r="J2"/>
      <c r="K2"/>
      <c r="L2"/>
    </row>
    <row r="3" spans="1:12" ht="30.75" customHeight="1" x14ac:dyDescent="0.3">
      <c r="A3" s="2541" t="s">
        <v>383</v>
      </c>
      <c r="B3" s="2541"/>
      <c r="C3" s="2541"/>
      <c r="D3" s="2541"/>
      <c r="E3" s="2541"/>
      <c r="F3" s="2541"/>
      <c r="G3" s="1827"/>
      <c r="H3" s="1827"/>
      <c r="I3"/>
      <c r="J3"/>
      <c r="K3"/>
      <c r="L3"/>
    </row>
    <row r="4" spans="1:12" ht="53.25" customHeight="1" x14ac:dyDescent="0.3">
      <c r="A4" s="2542" t="s">
        <v>388</v>
      </c>
      <c r="B4" s="2542"/>
      <c r="C4" s="2542"/>
      <c r="D4" s="2542"/>
      <c r="E4" s="2542"/>
      <c r="F4" s="2542"/>
      <c r="G4" s="1829"/>
      <c r="H4" s="1829"/>
      <c r="I4"/>
      <c r="J4"/>
      <c r="K4"/>
      <c r="L4"/>
    </row>
    <row r="5" spans="1:12" ht="72" customHeight="1" x14ac:dyDescent="0.3">
      <c r="A5" s="2543" t="s">
        <v>384</v>
      </c>
      <c r="B5" s="2543"/>
      <c r="C5" s="2543"/>
      <c r="D5" s="2543"/>
      <c r="E5" s="2543"/>
      <c r="F5" s="2543"/>
      <c r="G5" s="1827"/>
      <c r="H5" s="1827"/>
      <c r="I5"/>
      <c r="J5"/>
      <c r="K5"/>
      <c r="L5"/>
    </row>
    <row r="6" spans="1:12" ht="36.75" customHeight="1" x14ac:dyDescent="0.3">
      <c r="A6" s="2544" t="s">
        <v>993</v>
      </c>
      <c r="B6" s="2544"/>
      <c r="C6" s="2544"/>
      <c r="D6" s="2544"/>
      <c r="E6" s="2544"/>
      <c r="F6" s="2544"/>
      <c r="G6" s="1830"/>
      <c r="H6" s="1831"/>
      <c r="I6"/>
      <c r="J6"/>
      <c r="K6"/>
      <c r="L6"/>
    </row>
    <row r="7" spans="1:12" ht="15.6" x14ac:dyDescent="0.3">
      <c r="A7" s="1832" t="s">
        <v>385</v>
      </c>
      <c r="B7" s="1833">
        <v>49</v>
      </c>
      <c r="C7" s="2545" t="s">
        <v>386</v>
      </c>
      <c r="D7" s="2545"/>
      <c r="E7" s="2545"/>
      <c r="F7" s="2545"/>
      <c r="G7" s="1834"/>
      <c r="H7" s="1835"/>
      <c r="I7"/>
      <c r="J7"/>
      <c r="K7"/>
      <c r="L7"/>
    </row>
    <row r="8" spans="1:12" ht="15.6" x14ac:dyDescent="0.3">
      <c r="A8" s="1832" t="s">
        <v>387</v>
      </c>
      <c r="B8" s="1833">
        <v>4</v>
      </c>
      <c r="C8" s="2545" t="s">
        <v>1048</v>
      </c>
      <c r="D8" s="2545"/>
      <c r="E8" s="1834"/>
      <c r="F8" s="1834"/>
      <c r="G8" s="1834"/>
      <c r="H8" s="1835"/>
      <c r="I8"/>
      <c r="J8" s="1836"/>
      <c r="K8" s="1836"/>
      <c r="L8" s="1836"/>
    </row>
    <row r="9" spans="1:12" ht="15.6" x14ac:dyDescent="0.3">
      <c r="A9" s="1832" t="s">
        <v>992</v>
      </c>
      <c r="B9" s="1833" t="s">
        <v>1049</v>
      </c>
      <c r="C9" s="2177"/>
      <c r="D9" s="2177"/>
      <c r="E9" s="1834"/>
      <c r="F9" s="1834"/>
      <c r="G9" s="1834"/>
      <c r="H9" s="1835"/>
      <c r="I9"/>
      <c r="J9" s="1836"/>
      <c r="K9" s="1836"/>
      <c r="L9" s="1836"/>
    </row>
    <row r="10" spans="1:12" ht="15.6" x14ac:dyDescent="0.3">
      <c r="A10" s="2534"/>
      <c r="B10" s="2534"/>
      <c r="C10" s="1833"/>
      <c r="D10" s="1837"/>
      <c r="E10" s="1835"/>
      <c r="F10" s="1835"/>
      <c r="G10" s="1835"/>
      <c r="H10" s="1835"/>
      <c r="I10"/>
      <c r="J10" s="1836"/>
      <c r="K10" s="1836"/>
      <c r="L10" s="1836"/>
    </row>
    <row r="11" spans="1:12" ht="15.6" x14ac:dyDescent="0.3">
      <c r="A11" s="1835"/>
      <c r="B11" s="1835"/>
      <c r="C11" s="1835"/>
      <c r="D11" s="1835"/>
      <c r="E11" s="1835"/>
      <c r="F11" s="1835"/>
      <c r="G11" s="1835"/>
      <c r="H11" s="1835"/>
      <c r="I11"/>
      <c r="J11"/>
      <c r="K11"/>
      <c r="L11"/>
    </row>
    <row r="12" spans="1:12" ht="15.6" x14ac:dyDescent="0.3">
      <c r="A12" s="1838"/>
      <c r="B12" s="1839"/>
      <c r="C12" s="1839"/>
      <c r="D12" s="1839"/>
      <c r="E12" s="1839"/>
      <c r="F12" s="1839"/>
      <c r="G12" s="1839"/>
      <c r="H12" s="1839"/>
      <c r="I12"/>
      <c r="J12"/>
      <c r="K12"/>
      <c r="L12"/>
    </row>
    <row r="13" spans="1:12" ht="15.6" x14ac:dyDescent="0.3">
      <c r="A13" s="1840"/>
      <c r="B13" s="1840"/>
      <c r="C13" s="1840"/>
      <c r="D13" s="1840"/>
      <c r="E13" s="1840"/>
      <c r="F13" s="1840"/>
      <c r="G13" s="1840"/>
      <c r="H13" s="1841"/>
      <c r="I13"/>
      <c r="J13"/>
      <c r="K13"/>
      <c r="L13"/>
    </row>
    <row r="14" spans="1:12" ht="15.6" x14ac:dyDescent="0.3">
      <c r="A14" s="1840"/>
      <c r="B14" s="1840"/>
      <c r="C14" s="1840"/>
      <c r="D14" s="1840"/>
      <c r="E14" s="1840"/>
      <c r="F14" s="1840"/>
      <c r="G14" s="1840"/>
      <c r="H14" s="1842"/>
      <c r="I14"/>
      <c r="J14"/>
      <c r="K14"/>
      <c r="L14"/>
    </row>
    <row r="15" spans="1:12" ht="15.6" x14ac:dyDescent="0.3">
      <c r="A15" s="2535"/>
      <c r="B15" s="2535"/>
      <c r="C15" s="2535"/>
      <c r="D15" s="2535"/>
      <c r="E15" s="2535"/>
      <c r="F15" s="2535"/>
      <c r="G15" s="2535"/>
      <c r="H15" s="1841"/>
      <c r="I15"/>
      <c r="J15"/>
      <c r="K15"/>
      <c r="L15"/>
    </row>
    <row r="16" spans="1:12" ht="15.6" x14ac:dyDescent="0.3">
      <c r="A16" s="2536"/>
      <c r="B16" s="2536"/>
      <c r="C16" s="2536"/>
      <c r="D16" s="2536"/>
      <c r="E16" s="2536"/>
      <c r="F16" s="2536"/>
      <c r="G16" s="2536"/>
      <c r="H16" s="1842"/>
      <c r="I16"/>
      <c r="J16"/>
      <c r="K16"/>
      <c r="L16"/>
    </row>
    <row r="17" spans="1:13" ht="15.6" x14ac:dyDescent="0.3">
      <c r="A17" s="2537"/>
      <c r="B17" s="2537"/>
      <c r="C17" s="2537"/>
      <c r="D17" s="2537"/>
      <c r="E17" s="2537"/>
      <c r="F17" s="2537"/>
      <c r="G17" s="2537"/>
      <c r="H17" s="2537"/>
      <c r="I17"/>
      <c r="J17"/>
      <c r="K17"/>
      <c r="L17"/>
    </row>
    <row r="18" spans="1:13" ht="15.6" x14ac:dyDescent="0.3">
      <c r="A18" s="1843"/>
      <c r="B18" s="1839"/>
      <c r="C18" s="1839"/>
      <c r="D18" s="1839"/>
      <c r="E18" s="1839"/>
      <c r="F18" s="1839"/>
      <c r="G18" s="1839"/>
      <c r="H18" s="1839"/>
      <c r="I18"/>
      <c r="J18"/>
      <c r="K18"/>
      <c r="L18"/>
      <c r="M18"/>
    </row>
    <row r="19" spans="1:13" ht="15.6" x14ac:dyDescent="0.3">
      <c r="A19" s="1843"/>
      <c r="B19" s="1839"/>
      <c r="C19" s="1839"/>
      <c r="D19" s="1839"/>
      <c r="E19" s="1839"/>
      <c r="F19" s="1839"/>
      <c r="G19" s="1839"/>
      <c r="H19" s="1839"/>
      <c r="I19"/>
      <c r="J19"/>
      <c r="K19"/>
      <c r="L19"/>
      <c r="M19"/>
    </row>
    <row r="20" spans="1:13" ht="15.6" x14ac:dyDescent="0.3">
      <c r="A20" s="1843"/>
      <c r="B20" s="1839"/>
      <c r="C20" s="1839"/>
      <c r="D20" s="1839"/>
      <c r="E20" s="1839"/>
      <c r="F20" s="1839"/>
      <c r="G20" s="1839"/>
      <c r="H20" s="1839"/>
      <c r="I20"/>
      <c r="J20"/>
      <c r="K20"/>
      <c r="L20"/>
      <c r="M20"/>
    </row>
    <row r="21" spans="1:13" ht="15.6" x14ac:dyDescent="0.3">
      <c r="A21" s="2536"/>
      <c r="B21" s="2536"/>
      <c r="C21" s="2536"/>
      <c r="D21" s="2536"/>
      <c r="E21" s="2536"/>
      <c r="F21" s="2536"/>
      <c r="G21" s="2536"/>
      <c r="H21" s="2536"/>
      <c r="I21"/>
      <c r="J21"/>
      <c r="K21"/>
      <c r="L21"/>
      <c r="M21"/>
    </row>
    <row r="22" spans="1:13" ht="15.6" x14ac:dyDescent="0.3">
      <c r="A22" s="2536"/>
      <c r="B22" s="2536"/>
      <c r="C22" s="2536"/>
      <c r="D22" s="2536"/>
      <c r="E22" s="2536"/>
      <c r="F22" s="2536"/>
      <c r="G22" s="2536"/>
      <c r="H22" s="1841"/>
      <c r="I22"/>
      <c r="J22"/>
      <c r="K22"/>
      <c r="L22"/>
      <c r="M22"/>
    </row>
    <row r="26" spans="1:13" ht="16.2" customHeight="1" x14ac:dyDescent="0.25"/>
    <row r="27" spans="1:13" ht="37.5" customHeight="1" x14ac:dyDescent="0.25">
      <c r="A27" s="2539" t="s">
        <v>392</v>
      </c>
      <c r="B27" s="2539"/>
      <c r="C27" s="2539"/>
      <c r="D27" s="2539"/>
      <c r="E27" s="2539"/>
      <c r="F27" s="2539"/>
      <c r="G27" s="1844"/>
      <c r="H27" s="1844"/>
      <c r="I27" s="1844"/>
      <c r="J27" s="1844"/>
      <c r="K27" s="1844"/>
      <c r="L27" s="1844"/>
      <c r="M27" s="1844"/>
    </row>
    <row r="28" spans="1:13" ht="33" customHeight="1" x14ac:dyDescent="0.25">
      <c r="A28" s="2540" t="s">
        <v>391</v>
      </c>
      <c r="B28" s="2540"/>
      <c r="C28" s="2540"/>
      <c r="D28" s="2540"/>
      <c r="E28" s="2540"/>
      <c r="F28" s="2540"/>
      <c r="G28" s="1845"/>
      <c r="H28" s="1845"/>
      <c r="I28" s="1845"/>
      <c r="J28" s="1845"/>
      <c r="K28" s="1845"/>
      <c r="L28" s="1845"/>
      <c r="M28" s="1845"/>
    </row>
    <row r="29" spans="1:13" ht="32.25" customHeight="1" x14ac:dyDescent="0.25">
      <c r="A29" s="2540" t="s">
        <v>389</v>
      </c>
      <c r="B29" s="2540"/>
      <c r="C29" s="2540"/>
      <c r="D29" s="2540"/>
      <c r="E29" s="2540"/>
      <c r="F29" s="2540"/>
      <c r="G29" s="1845"/>
      <c r="H29" s="1845"/>
      <c r="I29" s="1845"/>
      <c r="J29" s="1845"/>
      <c r="K29" s="1845"/>
      <c r="L29" s="1845"/>
      <c r="M29" s="1845"/>
    </row>
    <row r="30" spans="1:13" ht="30" customHeight="1" x14ac:dyDescent="0.25">
      <c r="A30" s="2540" t="s">
        <v>390</v>
      </c>
      <c r="B30" s="2540"/>
      <c r="C30" s="2540"/>
      <c r="D30" s="2540"/>
      <c r="E30" s="2540"/>
      <c r="F30" s="2540"/>
      <c r="G30" s="1845"/>
      <c r="H30" s="1845"/>
      <c r="I30" s="1845"/>
      <c r="J30" s="1845"/>
      <c r="K30" s="1845"/>
      <c r="L30" s="1845"/>
      <c r="M30" s="1845"/>
    </row>
    <row r="31" spans="1:13" ht="126" customHeight="1" x14ac:dyDescent="0.3">
      <c r="A31" s="2538"/>
      <c r="B31" s="2538"/>
      <c r="C31" s="2538"/>
      <c r="D31" s="2538"/>
      <c r="E31" s="2538"/>
      <c r="F31" s="2538"/>
      <c r="G31" s="1847"/>
      <c r="H31" s="1847"/>
    </row>
  </sheetData>
  <mergeCells count="19">
    <mergeCell ref="A21:H21"/>
    <mergeCell ref="A2:F2"/>
    <mergeCell ref="A3:F3"/>
    <mergeCell ref="A4:F4"/>
    <mergeCell ref="A5:F5"/>
    <mergeCell ref="A6:F6"/>
    <mergeCell ref="C7:F7"/>
    <mergeCell ref="C8:D8"/>
    <mergeCell ref="A31:F31"/>
    <mergeCell ref="A22:G22"/>
    <mergeCell ref="A27:F27"/>
    <mergeCell ref="A28:F28"/>
    <mergeCell ref="A29:F29"/>
    <mergeCell ref="A30:F30"/>
    <mergeCell ref="A10:B10"/>
    <mergeCell ref="A15:G15"/>
    <mergeCell ref="A16:G16"/>
    <mergeCell ref="A17:H17"/>
    <mergeCell ref="D1:F1"/>
  </mergeCells>
  <printOptions horizontalCentered="1"/>
  <pageMargins left="0.70866141732283472" right="0.11811023622047245"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6"/>
  <sheetViews>
    <sheetView zoomScaleNormal="100" zoomScaleSheetLayoutView="50" workbookViewId="0">
      <selection activeCell="A7" sqref="A7:Q7"/>
    </sheetView>
  </sheetViews>
  <sheetFormatPr defaultColWidth="9.109375" defaultRowHeight="14.4" x14ac:dyDescent="0.3"/>
  <cols>
    <col min="1" max="4" width="3.33203125" style="1205" customWidth="1"/>
    <col min="5" max="5" width="27.5546875" style="1043" customWidth="1"/>
    <col min="6" max="6" width="3.33203125" style="2522" customWidth="1"/>
    <col min="7" max="7" width="3.109375" style="1902" customWidth="1"/>
    <col min="8" max="8" width="14.109375" style="1902" hidden="1" customWidth="1"/>
    <col min="9" max="9" width="8.5546875" style="1043" customWidth="1"/>
    <col min="10" max="12" width="8.33203125" style="1205" customWidth="1"/>
    <col min="13" max="13" width="30" style="1043" customWidth="1"/>
    <col min="14" max="15" width="6" style="1893" customWidth="1"/>
    <col min="16" max="17" width="24.109375" style="1893" customWidth="1"/>
    <col min="18" max="16384" width="9.109375" style="1043"/>
  </cols>
  <sheetData>
    <row r="1" spans="1:22" s="1033" customFormat="1" ht="16.5" customHeight="1" x14ac:dyDescent="0.3">
      <c r="A1" s="2852" t="s">
        <v>1045</v>
      </c>
      <c r="B1" s="2852"/>
      <c r="C1" s="2852"/>
      <c r="D1" s="2852"/>
      <c r="E1" s="2852"/>
      <c r="F1" s="2852"/>
      <c r="G1" s="2852"/>
      <c r="H1" s="2852"/>
      <c r="I1" s="2852"/>
      <c r="J1" s="2852"/>
      <c r="K1" s="2852"/>
      <c r="L1" s="2852"/>
      <c r="M1" s="2852"/>
      <c r="N1" s="2852"/>
      <c r="O1" s="2852"/>
      <c r="P1" s="2852"/>
      <c r="Q1" s="2852"/>
    </row>
    <row r="2" spans="1:22" s="1034" customFormat="1" ht="16.5" customHeight="1" x14ac:dyDescent="0.3">
      <c r="A2" s="2853" t="s">
        <v>1046</v>
      </c>
      <c r="B2" s="2853"/>
      <c r="C2" s="2853"/>
      <c r="D2" s="2853"/>
      <c r="E2" s="2853"/>
      <c r="F2" s="2853"/>
      <c r="G2" s="2853"/>
      <c r="H2" s="2853"/>
      <c r="I2" s="2853"/>
      <c r="J2" s="2853"/>
      <c r="K2" s="2853"/>
      <c r="L2" s="2853"/>
      <c r="M2" s="2853"/>
      <c r="N2" s="2853"/>
      <c r="O2" s="2853"/>
      <c r="P2" s="2853"/>
      <c r="Q2" s="2853"/>
    </row>
    <row r="3" spans="1:22" s="2" customFormat="1" ht="17.399999999999999" customHeight="1" thickBot="1" x14ac:dyDescent="0.3">
      <c r="A3" s="2854"/>
      <c r="B3" s="2854"/>
      <c r="C3" s="2854"/>
      <c r="D3" s="2854"/>
      <c r="E3" s="2854"/>
      <c r="F3" s="2854"/>
      <c r="G3" s="2854"/>
      <c r="H3" s="2854"/>
      <c r="I3" s="2854"/>
      <c r="J3" s="2854"/>
      <c r="K3" s="2854"/>
      <c r="L3" s="2854"/>
      <c r="M3" s="2854"/>
      <c r="N3" s="2854"/>
      <c r="O3" s="2854"/>
      <c r="P3" s="2854"/>
      <c r="Q3" s="2854"/>
    </row>
    <row r="4" spans="1:22" s="3" customFormat="1" ht="17.25" customHeight="1" x14ac:dyDescent="0.3">
      <c r="A4" s="2866" t="s">
        <v>4</v>
      </c>
      <c r="B4" s="2869" t="s">
        <v>5</v>
      </c>
      <c r="C4" s="2872" t="s">
        <v>6</v>
      </c>
      <c r="D4" s="2872" t="s">
        <v>488</v>
      </c>
      <c r="E4" s="2875" t="s">
        <v>7</v>
      </c>
      <c r="F4" s="2878" t="s">
        <v>8</v>
      </c>
      <c r="G4" s="2855" t="s">
        <v>10</v>
      </c>
      <c r="H4" s="2858" t="s">
        <v>489</v>
      </c>
      <c r="I4" s="2861" t="s">
        <v>11</v>
      </c>
      <c r="J4" s="2885" t="s">
        <v>423</v>
      </c>
      <c r="K4" s="2886"/>
      <c r="L4" s="2895"/>
      <c r="M4" s="2885" t="s">
        <v>15</v>
      </c>
      <c r="N4" s="2886"/>
      <c r="O4" s="2886"/>
      <c r="P4" s="2887" t="s">
        <v>380</v>
      </c>
      <c r="Q4" s="2890" t="s">
        <v>381</v>
      </c>
    </row>
    <row r="5" spans="1:22" s="3" customFormat="1" ht="17.25" customHeight="1" x14ac:dyDescent="0.3">
      <c r="A5" s="2867"/>
      <c r="B5" s="2870"/>
      <c r="C5" s="2873"/>
      <c r="D5" s="2873"/>
      <c r="E5" s="2876"/>
      <c r="F5" s="2879"/>
      <c r="G5" s="2856"/>
      <c r="H5" s="2859"/>
      <c r="I5" s="2862"/>
      <c r="J5" s="2893" t="s">
        <v>461</v>
      </c>
      <c r="K5" s="2894" t="s">
        <v>462</v>
      </c>
      <c r="L5" s="2896" t="s">
        <v>463</v>
      </c>
      <c r="M5" s="2864" t="s">
        <v>7</v>
      </c>
      <c r="N5" s="2897" t="s">
        <v>16</v>
      </c>
      <c r="O5" s="2898"/>
      <c r="P5" s="2888"/>
      <c r="Q5" s="2891"/>
    </row>
    <row r="6" spans="1:22" s="3" customFormat="1" ht="76.5" customHeight="1" thickBot="1" x14ac:dyDescent="0.35">
      <c r="A6" s="2868"/>
      <c r="B6" s="2871"/>
      <c r="C6" s="2874"/>
      <c r="D6" s="2874"/>
      <c r="E6" s="2877"/>
      <c r="F6" s="2880"/>
      <c r="G6" s="2857"/>
      <c r="H6" s="2860"/>
      <c r="I6" s="2863"/>
      <c r="J6" s="2641"/>
      <c r="K6" s="2643"/>
      <c r="L6" s="2645"/>
      <c r="M6" s="2865"/>
      <c r="N6" s="2265" t="s">
        <v>994</v>
      </c>
      <c r="O6" s="2263" t="s">
        <v>382</v>
      </c>
      <c r="P6" s="2889"/>
      <c r="Q6" s="2892"/>
    </row>
    <row r="7" spans="1:22" s="2" customFormat="1" ht="17.25" customHeight="1" x14ac:dyDescent="0.3">
      <c r="A7" s="2908" t="s">
        <v>20</v>
      </c>
      <c r="B7" s="2909"/>
      <c r="C7" s="2909"/>
      <c r="D7" s="2909"/>
      <c r="E7" s="2909"/>
      <c r="F7" s="2909"/>
      <c r="G7" s="2909"/>
      <c r="H7" s="2909"/>
      <c r="I7" s="2909"/>
      <c r="J7" s="2909"/>
      <c r="K7" s="2909"/>
      <c r="L7" s="2909"/>
      <c r="M7" s="2909"/>
      <c r="N7" s="2909"/>
      <c r="O7" s="2909"/>
      <c r="P7" s="2909"/>
      <c r="Q7" s="2910"/>
      <c r="V7" s="3"/>
    </row>
    <row r="8" spans="1:22" s="2" customFormat="1" ht="16.5" customHeight="1" x14ac:dyDescent="0.3">
      <c r="A8" s="2911" t="s">
        <v>21</v>
      </c>
      <c r="B8" s="2912"/>
      <c r="C8" s="2912"/>
      <c r="D8" s="2912"/>
      <c r="E8" s="2912"/>
      <c r="F8" s="2912"/>
      <c r="G8" s="2912"/>
      <c r="H8" s="2912"/>
      <c r="I8" s="2912"/>
      <c r="J8" s="2912"/>
      <c r="K8" s="2912"/>
      <c r="L8" s="2912"/>
      <c r="M8" s="2912"/>
      <c r="N8" s="2912"/>
      <c r="O8" s="2912"/>
      <c r="P8" s="2912"/>
      <c r="Q8" s="2913"/>
      <c r="R8" s="3"/>
    </row>
    <row r="9" spans="1:22" s="3" customFormat="1" ht="42.6" customHeight="1" x14ac:dyDescent="0.3">
      <c r="A9" s="2906" t="s">
        <v>22</v>
      </c>
      <c r="B9" s="2904" t="s">
        <v>23</v>
      </c>
      <c r="C9" s="2904"/>
      <c r="D9" s="2904"/>
      <c r="E9" s="2904"/>
      <c r="F9" s="2904"/>
      <c r="G9" s="2904"/>
      <c r="H9" s="2904"/>
      <c r="I9" s="2904"/>
      <c r="J9" s="2904"/>
      <c r="K9" s="2904"/>
      <c r="L9" s="2905"/>
      <c r="M9" s="1906" t="s">
        <v>393</v>
      </c>
      <c r="N9" s="1907">
        <v>14.5</v>
      </c>
      <c r="O9" s="2366">
        <v>13.3</v>
      </c>
      <c r="P9" s="2368"/>
      <c r="Q9" s="2266"/>
    </row>
    <row r="10" spans="1:22" s="3" customFormat="1" ht="64.95" customHeight="1" x14ac:dyDescent="0.3">
      <c r="A10" s="2907"/>
      <c r="B10" s="2904"/>
      <c r="C10" s="2904"/>
      <c r="D10" s="2904"/>
      <c r="E10" s="2904"/>
      <c r="F10" s="2904"/>
      <c r="G10" s="2904"/>
      <c r="H10" s="2904"/>
      <c r="I10" s="2904"/>
      <c r="J10" s="2904"/>
      <c r="K10" s="2904"/>
      <c r="L10" s="2905"/>
      <c r="M10" s="1906" t="s">
        <v>394</v>
      </c>
      <c r="N10" s="1867">
        <v>46</v>
      </c>
      <c r="O10" s="2367">
        <v>58</v>
      </c>
      <c r="P10" s="2368"/>
      <c r="Q10" s="2266"/>
    </row>
    <row r="11" spans="1:22" s="3" customFormat="1" ht="57" customHeight="1" x14ac:dyDescent="0.3">
      <c r="A11" s="2907"/>
      <c r="B11" s="2904"/>
      <c r="C11" s="2904"/>
      <c r="D11" s="2904"/>
      <c r="E11" s="2904"/>
      <c r="F11" s="2904"/>
      <c r="G11" s="2904"/>
      <c r="H11" s="2904"/>
      <c r="I11" s="2904"/>
      <c r="J11" s="2904"/>
      <c r="K11" s="2904"/>
      <c r="L11" s="2905"/>
      <c r="M11" s="1906" t="s">
        <v>395</v>
      </c>
      <c r="N11" s="1867">
        <v>45</v>
      </c>
      <c r="O11" s="2367">
        <v>59</v>
      </c>
      <c r="P11" s="2368"/>
      <c r="Q11" s="2266"/>
    </row>
    <row r="12" spans="1:22" s="3" customFormat="1" ht="55.5" customHeight="1" x14ac:dyDescent="0.3">
      <c r="A12" s="2907"/>
      <c r="B12" s="2904"/>
      <c r="C12" s="2904"/>
      <c r="D12" s="2904"/>
      <c r="E12" s="2904"/>
      <c r="F12" s="2904"/>
      <c r="G12" s="2904"/>
      <c r="H12" s="2904"/>
      <c r="I12" s="2904"/>
      <c r="J12" s="2904"/>
      <c r="K12" s="2904"/>
      <c r="L12" s="2905"/>
      <c r="M12" s="1906" t="s">
        <v>424</v>
      </c>
      <c r="N12" s="1867">
        <v>96</v>
      </c>
      <c r="O12" s="2367">
        <v>120</v>
      </c>
      <c r="P12" s="2368"/>
      <c r="Q12" s="2266"/>
    </row>
    <row r="13" spans="1:22" s="3" customFormat="1" ht="81.75" customHeight="1" x14ac:dyDescent="0.3">
      <c r="A13" s="2907"/>
      <c r="B13" s="2904"/>
      <c r="C13" s="2904"/>
      <c r="D13" s="2904"/>
      <c r="E13" s="2904"/>
      <c r="F13" s="2904"/>
      <c r="G13" s="2904"/>
      <c r="H13" s="2904"/>
      <c r="I13" s="2904"/>
      <c r="J13" s="2904"/>
      <c r="K13" s="2904"/>
      <c r="L13" s="2905"/>
      <c r="M13" s="1906" t="s">
        <v>425</v>
      </c>
      <c r="N13" s="1867">
        <v>2</v>
      </c>
      <c r="O13" s="2367">
        <v>1</v>
      </c>
      <c r="P13" s="2368"/>
      <c r="Q13" s="2266"/>
    </row>
    <row r="14" spans="1:22" s="3" customFormat="1" ht="81" customHeight="1" x14ac:dyDescent="0.3">
      <c r="A14" s="2907"/>
      <c r="B14" s="2904"/>
      <c r="C14" s="2904"/>
      <c r="D14" s="2904"/>
      <c r="E14" s="2904"/>
      <c r="F14" s="2904"/>
      <c r="G14" s="2904"/>
      <c r="H14" s="2904"/>
      <c r="I14" s="2904"/>
      <c r="J14" s="2904"/>
      <c r="K14" s="2904"/>
      <c r="L14" s="2905"/>
      <c r="M14" s="1906" t="s">
        <v>426</v>
      </c>
      <c r="N14" s="1867">
        <v>169</v>
      </c>
      <c r="O14" s="2367">
        <v>134</v>
      </c>
      <c r="P14" s="2368"/>
      <c r="Q14" s="2266"/>
    </row>
    <row r="15" spans="1:22" s="3" customFormat="1" ht="95.25" customHeight="1" x14ac:dyDescent="0.3">
      <c r="A15" s="2907"/>
      <c r="B15" s="2904"/>
      <c r="C15" s="2904"/>
      <c r="D15" s="2904"/>
      <c r="E15" s="2904"/>
      <c r="F15" s="2904"/>
      <c r="G15" s="2904"/>
      <c r="H15" s="2904"/>
      <c r="I15" s="2904"/>
      <c r="J15" s="2904"/>
      <c r="K15" s="2904"/>
      <c r="L15" s="2905"/>
      <c r="M15" s="1906" t="s">
        <v>396</v>
      </c>
      <c r="N15" s="1867">
        <v>30</v>
      </c>
      <c r="O15" s="2367">
        <v>92</v>
      </c>
      <c r="P15" s="2584" t="s">
        <v>1018</v>
      </c>
      <c r="Q15" s="2585"/>
    </row>
    <row r="16" spans="1:22" s="3" customFormat="1" ht="54.75" customHeight="1" x14ac:dyDescent="0.3">
      <c r="A16" s="2907"/>
      <c r="B16" s="2904"/>
      <c r="C16" s="2904"/>
      <c r="D16" s="2904"/>
      <c r="E16" s="2904"/>
      <c r="F16" s="2904"/>
      <c r="G16" s="2904"/>
      <c r="H16" s="2904"/>
      <c r="I16" s="2904"/>
      <c r="J16" s="2904"/>
      <c r="K16" s="2904"/>
      <c r="L16" s="2905"/>
      <c r="M16" s="1906" t="s">
        <v>975</v>
      </c>
      <c r="N16" s="1867">
        <v>69</v>
      </c>
      <c r="O16" s="2367">
        <v>58</v>
      </c>
      <c r="P16" s="2368"/>
      <c r="Q16" s="2266"/>
    </row>
    <row r="17" spans="1:18" s="3" customFormat="1" ht="17.25" customHeight="1" thickBot="1" x14ac:dyDescent="0.35">
      <c r="A17" s="2439" t="s">
        <v>22</v>
      </c>
      <c r="B17" s="1908" t="s">
        <v>22</v>
      </c>
      <c r="C17" s="2914" t="s">
        <v>24</v>
      </c>
      <c r="D17" s="2915"/>
      <c r="E17" s="2915"/>
      <c r="F17" s="2915"/>
      <c r="G17" s="2915"/>
      <c r="H17" s="2915"/>
      <c r="I17" s="2915"/>
      <c r="J17" s="2915"/>
      <c r="K17" s="2915"/>
      <c r="L17" s="2915"/>
      <c r="M17" s="2915"/>
      <c r="N17" s="2915"/>
      <c r="O17" s="2915"/>
      <c r="P17" s="2915"/>
      <c r="Q17" s="2916"/>
    </row>
    <row r="18" spans="1:18" s="3" customFormat="1" ht="21" customHeight="1" x14ac:dyDescent="0.3">
      <c r="A18" s="2197" t="s">
        <v>22</v>
      </c>
      <c r="B18" s="9" t="s">
        <v>22</v>
      </c>
      <c r="C18" s="19" t="s">
        <v>22</v>
      </c>
      <c r="D18" s="2008"/>
      <c r="E18" s="2752" t="s">
        <v>25</v>
      </c>
      <c r="F18" s="2483"/>
      <c r="G18" s="2210" t="s">
        <v>27</v>
      </c>
      <c r="H18" s="2917" t="s">
        <v>490</v>
      </c>
      <c r="I18" s="621" t="s">
        <v>31</v>
      </c>
      <c r="J18" s="1302">
        <v>1171</v>
      </c>
      <c r="K18" s="1494">
        <v>945.4</v>
      </c>
      <c r="L18" s="2254">
        <v>753.2</v>
      </c>
      <c r="M18" s="2578" t="s">
        <v>33</v>
      </c>
      <c r="N18" s="2850">
        <v>946</v>
      </c>
      <c r="O18" s="2900">
        <v>857</v>
      </c>
      <c r="P18" s="2548" t="s">
        <v>970</v>
      </c>
      <c r="Q18" s="2549"/>
    </row>
    <row r="19" spans="1:18" s="3" customFormat="1" ht="21" customHeight="1" x14ac:dyDescent="0.3">
      <c r="A19" s="2193"/>
      <c r="B19" s="2244"/>
      <c r="C19" s="19"/>
      <c r="D19" s="2009"/>
      <c r="E19" s="2752"/>
      <c r="F19" s="2483"/>
      <c r="G19" s="2210"/>
      <c r="H19" s="2918"/>
      <c r="I19" s="1910" t="s">
        <v>176</v>
      </c>
      <c r="J19" s="1849">
        <v>200</v>
      </c>
      <c r="K19" s="1915">
        <v>200</v>
      </c>
      <c r="L19" s="2335">
        <v>200.6</v>
      </c>
      <c r="M19" s="2849"/>
      <c r="N19" s="2851"/>
      <c r="O19" s="2901"/>
      <c r="P19" s="2550"/>
      <c r="Q19" s="2551"/>
    </row>
    <row r="20" spans="1:18" s="3" customFormat="1" ht="21" customHeight="1" x14ac:dyDescent="0.3">
      <c r="A20" s="2193"/>
      <c r="B20" s="2244"/>
      <c r="C20" s="19"/>
      <c r="D20" s="2009"/>
      <c r="E20" s="2752"/>
      <c r="F20" s="2483"/>
      <c r="G20" s="2210"/>
      <c r="H20" s="2918"/>
      <c r="I20" s="811" t="s">
        <v>31</v>
      </c>
      <c r="J20" s="2162">
        <v>1354.9</v>
      </c>
      <c r="K20" s="1557">
        <v>1014.3</v>
      </c>
      <c r="L20" s="2126">
        <v>530.5</v>
      </c>
      <c r="M20" s="2719" t="s">
        <v>34</v>
      </c>
      <c r="N20" s="2881">
        <v>4135</v>
      </c>
      <c r="O20" s="2902" t="s">
        <v>969</v>
      </c>
      <c r="P20" s="2570" t="s">
        <v>1021</v>
      </c>
      <c r="Q20" s="2571"/>
    </row>
    <row r="21" spans="1:18" s="3" customFormat="1" ht="21" customHeight="1" x14ac:dyDescent="0.3">
      <c r="A21" s="2193"/>
      <c r="B21" s="2244"/>
      <c r="C21" s="19"/>
      <c r="D21" s="2009"/>
      <c r="E21" s="2752"/>
      <c r="F21" s="2483"/>
      <c r="G21" s="2210"/>
      <c r="H21" s="21"/>
      <c r="I21" s="811" t="s">
        <v>176</v>
      </c>
      <c r="J21" s="1897">
        <v>124.5</v>
      </c>
      <c r="K21" s="1491">
        <v>124.5</v>
      </c>
      <c r="L21" s="1352">
        <v>123.9</v>
      </c>
      <c r="M21" s="2723"/>
      <c r="N21" s="2851"/>
      <c r="O21" s="2901"/>
      <c r="P21" s="2550"/>
      <c r="Q21" s="2551"/>
    </row>
    <row r="22" spans="1:18" s="3" customFormat="1" ht="43.5" customHeight="1" x14ac:dyDescent="0.3">
      <c r="A22" s="2193"/>
      <c r="B22" s="2244"/>
      <c r="C22" s="19"/>
      <c r="D22" s="2009"/>
      <c r="E22" s="2752"/>
      <c r="F22" s="2483"/>
      <c r="G22" s="2210"/>
      <c r="H22" s="21"/>
      <c r="I22" s="621" t="s">
        <v>31</v>
      </c>
      <c r="J22" s="1897">
        <v>185.1</v>
      </c>
      <c r="K22" s="1491">
        <v>185.1</v>
      </c>
      <c r="L22" s="1352">
        <v>166</v>
      </c>
      <c r="M22" s="162" t="s">
        <v>35</v>
      </c>
      <c r="N22" s="498">
        <v>90</v>
      </c>
      <c r="O22" s="419">
        <v>120</v>
      </c>
      <c r="P22" s="2605" t="s">
        <v>1020</v>
      </c>
      <c r="Q22" s="2606"/>
    </row>
    <row r="23" spans="1:18" s="3" customFormat="1" ht="42.75" customHeight="1" x14ac:dyDescent="0.3">
      <c r="A23" s="2193"/>
      <c r="B23" s="2244"/>
      <c r="C23" s="19"/>
      <c r="D23" s="2010" t="s">
        <v>22</v>
      </c>
      <c r="E23" s="2669" t="s">
        <v>30</v>
      </c>
      <c r="F23" s="2483"/>
      <c r="G23" s="2210"/>
      <c r="H23" s="21"/>
      <c r="I23" s="1324" t="s">
        <v>28</v>
      </c>
      <c r="J23" s="2174">
        <v>2.2000000000000002</v>
      </c>
      <c r="K23" s="1557">
        <v>2.2000000000000002</v>
      </c>
      <c r="L23" s="2126">
        <v>1.8</v>
      </c>
      <c r="M23" s="162" t="s">
        <v>267</v>
      </c>
      <c r="N23" s="498">
        <v>5</v>
      </c>
      <c r="O23" s="419">
        <v>4</v>
      </c>
      <c r="P23" s="1971"/>
      <c r="Q23" s="2369" t="s">
        <v>1002</v>
      </c>
      <c r="R23" s="1909"/>
    </row>
    <row r="24" spans="1:18" s="3" customFormat="1" ht="27.75" customHeight="1" x14ac:dyDescent="0.3">
      <c r="A24" s="2193"/>
      <c r="B24" s="2244"/>
      <c r="C24" s="19"/>
      <c r="D24" s="2009"/>
      <c r="E24" s="2670"/>
      <c r="F24" s="2483"/>
      <c r="G24" s="2210"/>
      <c r="H24" s="21"/>
      <c r="I24" s="1324" t="s">
        <v>28</v>
      </c>
      <c r="J24" s="2162">
        <v>808.6</v>
      </c>
      <c r="K24" s="2336">
        <v>808.6</v>
      </c>
      <c r="L24" s="2126">
        <v>635.1</v>
      </c>
      <c r="M24" s="241" t="s">
        <v>266</v>
      </c>
      <c r="N24" s="545">
        <v>185</v>
      </c>
      <c r="O24" s="2231">
        <v>172</v>
      </c>
      <c r="P24" s="515"/>
      <c r="Q24" s="1951"/>
    </row>
    <row r="25" spans="1:18" s="3" customFormat="1" ht="24" customHeight="1" x14ac:dyDescent="0.3">
      <c r="A25" s="2193"/>
      <c r="B25" s="2244"/>
      <c r="C25" s="19"/>
      <c r="D25" s="2009"/>
      <c r="E25" s="2670"/>
      <c r="F25" s="2483"/>
      <c r="G25" s="2210"/>
      <c r="H25" s="21"/>
      <c r="I25" s="1324" t="s">
        <v>28</v>
      </c>
      <c r="J25" s="2162">
        <v>52.6</v>
      </c>
      <c r="K25" s="1482">
        <v>51.1</v>
      </c>
      <c r="L25" s="2126">
        <v>51.1</v>
      </c>
      <c r="M25" s="2847" t="s">
        <v>270</v>
      </c>
      <c r="N25" s="545">
        <v>45</v>
      </c>
      <c r="O25" s="2231">
        <v>117</v>
      </c>
      <c r="P25" s="515"/>
      <c r="Q25" s="1951"/>
    </row>
    <row r="26" spans="1:18" s="3" customFormat="1" ht="17.25" customHeight="1" x14ac:dyDescent="0.3">
      <c r="A26" s="2193"/>
      <c r="B26" s="2244"/>
      <c r="C26" s="19"/>
      <c r="D26" s="2011"/>
      <c r="E26" s="2223"/>
      <c r="F26" s="2483"/>
      <c r="G26" s="2210"/>
      <c r="H26" s="21"/>
      <c r="I26" s="397" t="s">
        <v>36</v>
      </c>
      <c r="J26" s="1526">
        <f>SUM(J18:J25)</f>
        <v>3898.8999999999996</v>
      </c>
      <c r="K26" s="1470">
        <f>SUM(K18:K25)</f>
        <v>3331.1999999999994</v>
      </c>
      <c r="L26" s="2133">
        <f>SUM(L18:L25)</f>
        <v>2462.2000000000003</v>
      </c>
      <c r="M26" s="2848"/>
      <c r="N26" s="496"/>
      <c r="O26" s="2243"/>
      <c r="P26" s="1900"/>
      <c r="Q26" s="1274"/>
    </row>
    <row r="27" spans="1:18" s="3" customFormat="1" ht="55.5" customHeight="1" x14ac:dyDescent="0.3">
      <c r="A27" s="2193"/>
      <c r="B27" s="2244"/>
      <c r="C27" s="19"/>
      <c r="D27" s="2009" t="s">
        <v>50</v>
      </c>
      <c r="E27" s="1851" t="s">
        <v>37</v>
      </c>
      <c r="F27" s="2603" t="s">
        <v>319</v>
      </c>
      <c r="G27" s="2210"/>
      <c r="H27" s="21"/>
      <c r="I27" s="30" t="s">
        <v>28</v>
      </c>
      <c r="J27" s="1387">
        <v>635.6</v>
      </c>
      <c r="K27" s="1915">
        <v>2038.1</v>
      </c>
      <c r="L27" s="2335">
        <v>2274.3000000000002</v>
      </c>
      <c r="M27" s="2202" t="s">
        <v>163</v>
      </c>
      <c r="N27" s="675">
        <v>440</v>
      </c>
      <c r="O27" s="2217">
        <v>448</v>
      </c>
      <c r="P27" s="1949"/>
      <c r="Q27" s="2370"/>
    </row>
    <row r="28" spans="1:18" s="3" customFormat="1" ht="55.5" customHeight="1" x14ac:dyDescent="0.3">
      <c r="A28" s="2193"/>
      <c r="B28" s="2244"/>
      <c r="C28" s="19"/>
      <c r="D28" s="2009"/>
      <c r="E28" s="1851"/>
      <c r="F28" s="2774"/>
      <c r="G28" s="2210"/>
      <c r="H28" s="21"/>
      <c r="I28" s="30" t="s">
        <v>28</v>
      </c>
      <c r="J28" s="273">
        <v>239.4</v>
      </c>
      <c r="K28" s="1557">
        <v>239.4</v>
      </c>
      <c r="L28" s="2126">
        <v>239.3</v>
      </c>
      <c r="M28" s="2202" t="s">
        <v>1019</v>
      </c>
      <c r="N28" s="691">
        <v>55</v>
      </c>
      <c r="O28" s="688">
        <v>60</v>
      </c>
      <c r="P28" s="690"/>
      <c r="Q28" s="116"/>
    </row>
    <row r="29" spans="1:18" s="3" customFormat="1" ht="55.5" customHeight="1" x14ac:dyDescent="0.3">
      <c r="A29" s="2193"/>
      <c r="B29" s="2244"/>
      <c r="C29" s="19"/>
      <c r="D29" s="2009"/>
      <c r="E29" s="1851"/>
      <c r="F29" s="2774"/>
      <c r="G29" s="2210"/>
      <c r="H29" s="21"/>
      <c r="I29" s="30" t="s">
        <v>28</v>
      </c>
      <c r="J29" s="1639">
        <v>613.70000000000005</v>
      </c>
      <c r="K29" s="1491">
        <v>613.70000000000005</v>
      </c>
      <c r="L29" s="1352">
        <v>615.29999999999995</v>
      </c>
      <c r="M29" s="2213" t="s">
        <v>164</v>
      </c>
      <c r="N29" s="760">
        <v>85</v>
      </c>
      <c r="O29" s="2215">
        <v>89</v>
      </c>
      <c r="P29" s="758"/>
      <c r="Q29" s="1911"/>
    </row>
    <row r="30" spans="1:18" s="3" customFormat="1" ht="42" customHeight="1" x14ac:dyDescent="0.3">
      <c r="A30" s="2193"/>
      <c r="B30" s="2244"/>
      <c r="C30" s="19"/>
      <c r="D30" s="2009"/>
      <c r="E30" s="1851"/>
      <c r="F30" s="2774"/>
      <c r="G30" s="2210"/>
      <c r="H30" s="21"/>
      <c r="I30" s="1324" t="s">
        <v>28</v>
      </c>
      <c r="J30" s="1639">
        <v>151.69999999999999</v>
      </c>
      <c r="K30" s="1491">
        <v>151.69999999999999</v>
      </c>
      <c r="L30" s="1352">
        <v>151.6</v>
      </c>
      <c r="M30" s="2213" t="s">
        <v>166</v>
      </c>
      <c r="N30" s="760">
        <v>29</v>
      </c>
      <c r="O30" s="2215">
        <v>40</v>
      </c>
      <c r="P30" s="758"/>
      <c r="Q30" s="1911"/>
    </row>
    <row r="31" spans="1:18" s="3" customFormat="1" ht="42.75" customHeight="1" x14ac:dyDescent="0.3">
      <c r="A31" s="2193"/>
      <c r="B31" s="2244"/>
      <c r="C31" s="19"/>
      <c r="D31" s="2009"/>
      <c r="E31" s="1851"/>
      <c r="F31" s="2484"/>
      <c r="G31" s="2210"/>
      <c r="H31" s="21"/>
      <c r="I31" s="416" t="s">
        <v>28</v>
      </c>
      <c r="J31" s="273">
        <v>290.2</v>
      </c>
      <c r="K31" s="1557">
        <v>259.2</v>
      </c>
      <c r="L31" s="2126">
        <v>251.1</v>
      </c>
      <c r="M31" s="2213" t="s">
        <v>1022</v>
      </c>
      <c r="N31" s="760">
        <v>35</v>
      </c>
      <c r="O31" s="2215">
        <v>34</v>
      </c>
      <c r="P31" s="1949"/>
      <c r="Q31" s="2370"/>
    </row>
    <row r="32" spans="1:18" s="3" customFormat="1" ht="40.5" customHeight="1" x14ac:dyDescent="0.3">
      <c r="A32" s="2193"/>
      <c r="B32" s="2244"/>
      <c r="C32" s="19"/>
      <c r="D32" s="2009"/>
      <c r="E32" s="1851"/>
      <c r="F32" s="2484"/>
      <c r="G32" s="2210"/>
      <c r="H32" s="21"/>
      <c r="I32" s="39" t="s">
        <v>28</v>
      </c>
      <c r="J32" s="1639">
        <v>28.4</v>
      </c>
      <c r="K32" s="1491">
        <v>28.4</v>
      </c>
      <c r="L32" s="1352">
        <v>28.4</v>
      </c>
      <c r="M32" s="2580" t="s">
        <v>1023</v>
      </c>
      <c r="N32" s="763">
        <v>8</v>
      </c>
      <c r="O32" s="2214">
        <v>8</v>
      </c>
      <c r="P32" s="762"/>
      <c r="Q32" s="1914"/>
      <c r="R32" s="1909"/>
    </row>
    <row r="33" spans="1:18" s="3" customFormat="1" ht="16.5" customHeight="1" x14ac:dyDescent="0.3">
      <c r="A33" s="2193"/>
      <c r="B33" s="2244"/>
      <c r="C33" s="19"/>
      <c r="D33" s="2009"/>
      <c r="E33" s="700"/>
      <c r="F33" s="2485"/>
      <c r="G33" s="2210"/>
      <c r="H33" s="21"/>
      <c r="I33" s="424" t="s">
        <v>36</v>
      </c>
      <c r="J33" s="1526">
        <f>SUM(J27:J32)</f>
        <v>1959.0000000000002</v>
      </c>
      <c r="K33" s="1470">
        <f>SUM(K27:K32)</f>
        <v>3330.4999999999995</v>
      </c>
      <c r="L33" s="2133">
        <f>SUM(L27:L32)</f>
        <v>3560.0000000000005</v>
      </c>
      <c r="M33" s="2849"/>
      <c r="N33" s="760"/>
      <c r="O33" s="2215"/>
      <c r="P33" s="758"/>
      <c r="Q33" s="1911"/>
    </row>
    <row r="34" spans="1:18" s="3" customFormat="1" ht="15" customHeight="1" x14ac:dyDescent="0.3">
      <c r="A34" s="2193"/>
      <c r="B34" s="2244"/>
      <c r="C34" s="19"/>
      <c r="D34" s="2010" t="s">
        <v>54</v>
      </c>
      <c r="E34" s="2572" t="s">
        <v>39</v>
      </c>
      <c r="F34" s="2486"/>
      <c r="G34" s="2210"/>
      <c r="H34" s="21"/>
      <c r="I34" s="416" t="s">
        <v>28</v>
      </c>
      <c r="J34" s="176">
        <v>768</v>
      </c>
      <c r="K34" s="1471">
        <v>768</v>
      </c>
      <c r="L34" s="2334">
        <v>651.70000000000005</v>
      </c>
      <c r="M34" s="2580" t="s">
        <v>40</v>
      </c>
      <c r="N34" s="2899">
        <v>51</v>
      </c>
      <c r="O34" s="2903">
        <v>51</v>
      </c>
      <c r="P34" s="762"/>
      <c r="Q34" s="1914"/>
    </row>
    <row r="35" spans="1:18" s="3" customFormat="1" ht="15" customHeight="1" x14ac:dyDescent="0.3">
      <c r="A35" s="2193"/>
      <c r="B35" s="2244"/>
      <c r="C35" s="19"/>
      <c r="D35" s="2011"/>
      <c r="E35" s="2550"/>
      <c r="F35" s="2487"/>
      <c r="G35" s="2210"/>
      <c r="H35" s="21"/>
      <c r="I35" s="424" t="s">
        <v>36</v>
      </c>
      <c r="J35" s="1526">
        <f>+J34</f>
        <v>768</v>
      </c>
      <c r="K35" s="1470">
        <f>+K34</f>
        <v>768</v>
      </c>
      <c r="L35" s="2133">
        <f>+L34</f>
        <v>651.70000000000005</v>
      </c>
      <c r="M35" s="2849"/>
      <c r="N35" s="2851"/>
      <c r="O35" s="2901"/>
      <c r="P35" s="758"/>
      <c r="Q35" s="1911"/>
    </row>
    <row r="36" spans="1:18" s="3" customFormat="1" ht="15.6" customHeight="1" x14ac:dyDescent="0.3">
      <c r="A36" s="2193"/>
      <c r="B36" s="2244"/>
      <c r="C36" s="19"/>
      <c r="D36" s="2009" t="s">
        <v>56</v>
      </c>
      <c r="E36" s="2572" t="s">
        <v>41</v>
      </c>
      <c r="F36" s="2843" t="s">
        <v>311</v>
      </c>
      <c r="G36" s="2210"/>
      <c r="H36" s="21"/>
      <c r="I36" s="416" t="s">
        <v>28</v>
      </c>
      <c r="J36" s="1639">
        <v>380.3</v>
      </c>
      <c r="K36" s="1491">
        <v>368.8</v>
      </c>
      <c r="L36" s="1352">
        <v>360.1</v>
      </c>
      <c r="M36" s="2580" t="s">
        <v>42</v>
      </c>
      <c r="N36" s="1799" t="s">
        <v>464</v>
      </c>
      <c r="O36" s="54" t="s">
        <v>971</v>
      </c>
      <c r="P36" s="52"/>
      <c r="Q36" s="2371"/>
    </row>
    <row r="37" spans="1:18" s="3" customFormat="1" ht="52.5" customHeight="1" x14ac:dyDescent="0.3">
      <c r="A37" s="2193"/>
      <c r="B37" s="2244"/>
      <c r="C37" s="19"/>
      <c r="D37" s="2009"/>
      <c r="E37" s="2572"/>
      <c r="F37" s="2844"/>
      <c r="G37" s="2210"/>
      <c r="H37" s="21"/>
      <c r="I37" s="424" t="s">
        <v>36</v>
      </c>
      <c r="J37" s="37">
        <f>+J36</f>
        <v>380.3</v>
      </c>
      <c r="K37" s="1472">
        <f>+K36</f>
        <v>368.8</v>
      </c>
      <c r="L37" s="1182">
        <f>+L36</f>
        <v>360.1</v>
      </c>
      <c r="M37" s="2580"/>
      <c r="N37" s="1916" t="s">
        <v>465</v>
      </c>
      <c r="O37" s="57" t="s">
        <v>972</v>
      </c>
      <c r="P37" s="2607" t="s">
        <v>1003</v>
      </c>
      <c r="Q37" s="2608"/>
    </row>
    <row r="38" spans="1:18" s="3" customFormat="1" ht="36.75" customHeight="1" x14ac:dyDescent="0.3">
      <c r="A38" s="2754"/>
      <c r="B38" s="2756"/>
      <c r="C38" s="2187"/>
      <c r="D38" s="2012" t="s">
        <v>59</v>
      </c>
      <c r="E38" s="2570" t="s">
        <v>45</v>
      </c>
      <c r="F38" s="2845" t="s">
        <v>311</v>
      </c>
      <c r="G38" s="2188"/>
      <c r="H38" s="926"/>
      <c r="I38" s="416" t="s">
        <v>31</v>
      </c>
      <c r="J38" s="273">
        <v>71.099999999999994</v>
      </c>
      <c r="K38" s="1557">
        <v>80.099999999999994</v>
      </c>
      <c r="L38" s="2126">
        <v>70.8</v>
      </c>
      <c r="M38" s="2203" t="s">
        <v>271</v>
      </c>
      <c r="N38" s="1304">
        <v>989</v>
      </c>
      <c r="O38" s="1866">
        <v>1071</v>
      </c>
      <c r="P38" s="1823"/>
      <c r="Q38" s="2236"/>
    </row>
    <row r="39" spans="1:18" s="3" customFormat="1" ht="21" customHeight="1" x14ac:dyDescent="0.3">
      <c r="A39" s="2754"/>
      <c r="B39" s="2756"/>
      <c r="C39" s="2187"/>
      <c r="D39" s="2013"/>
      <c r="E39" s="2550"/>
      <c r="F39" s="2846"/>
      <c r="G39" s="2188"/>
      <c r="H39" s="926"/>
      <c r="I39" s="669" t="s">
        <v>36</v>
      </c>
      <c r="J39" s="1526">
        <f>+J38</f>
        <v>71.099999999999994</v>
      </c>
      <c r="K39" s="1470">
        <f>+K38</f>
        <v>80.099999999999994</v>
      </c>
      <c r="L39" s="2133">
        <f>+L38</f>
        <v>70.8</v>
      </c>
      <c r="M39" s="436"/>
      <c r="N39" s="540"/>
      <c r="O39" s="68"/>
      <c r="P39" s="66"/>
      <c r="Q39" s="491"/>
    </row>
    <row r="40" spans="1:18" s="2" customFormat="1" ht="17.399999999999999" customHeight="1" x14ac:dyDescent="0.3">
      <c r="A40" s="2193"/>
      <c r="B40" s="2194"/>
      <c r="C40" s="2187"/>
      <c r="D40" s="2014" t="s">
        <v>97</v>
      </c>
      <c r="E40" s="2572" t="s">
        <v>427</v>
      </c>
      <c r="F40" s="2838" t="s">
        <v>323</v>
      </c>
      <c r="G40" s="2749"/>
      <c r="H40" s="926"/>
      <c r="I40" s="785" t="s">
        <v>28</v>
      </c>
      <c r="J40" s="1894">
        <v>397.6</v>
      </c>
      <c r="K40" s="1917">
        <v>397.6</v>
      </c>
      <c r="L40" s="1945">
        <v>397.3</v>
      </c>
      <c r="M40" s="2546" t="s">
        <v>398</v>
      </c>
      <c r="N40" s="496">
        <v>108</v>
      </c>
      <c r="O40" s="2243">
        <v>108</v>
      </c>
      <c r="P40" s="339"/>
      <c r="Q40" s="1274"/>
    </row>
    <row r="41" spans="1:18" s="2" customFormat="1" ht="17.399999999999999" customHeight="1" x14ac:dyDescent="0.3">
      <c r="A41" s="2193"/>
      <c r="B41" s="2194"/>
      <c r="C41" s="2187"/>
      <c r="D41" s="2014"/>
      <c r="E41" s="2572"/>
      <c r="F41" s="2838"/>
      <c r="G41" s="2749"/>
      <c r="H41" s="926"/>
      <c r="I41" s="1918" t="s">
        <v>334</v>
      </c>
      <c r="J41" s="71">
        <f>230.3-207</f>
        <v>23.300000000000011</v>
      </c>
      <c r="K41" s="1477">
        <v>93.1</v>
      </c>
      <c r="L41" s="1414">
        <v>63.6</v>
      </c>
      <c r="M41" s="2842"/>
      <c r="N41" s="496"/>
      <c r="O41" s="2243"/>
      <c r="P41" s="339"/>
      <c r="Q41" s="1274"/>
      <c r="R41" s="3"/>
    </row>
    <row r="42" spans="1:18" s="2" customFormat="1" ht="17.399999999999999" customHeight="1" x14ac:dyDescent="0.3">
      <c r="A42" s="2193"/>
      <c r="B42" s="2194"/>
      <c r="C42" s="2187"/>
      <c r="D42" s="2014"/>
      <c r="E42" s="2572"/>
      <c r="F42" s="2838"/>
      <c r="G42" s="2749"/>
      <c r="H42" s="926"/>
      <c r="I42" s="1918" t="s">
        <v>399</v>
      </c>
      <c r="J42" s="71">
        <v>207</v>
      </c>
      <c r="K42" s="1477">
        <v>207</v>
      </c>
      <c r="L42" s="1414">
        <v>205.2</v>
      </c>
      <c r="M42" s="2842"/>
      <c r="N42" s="496"/>
      <c r="O42" s="2243"/>
      <c r="P42" s="339"/>
      <c r="Q42" s="1274"/>
      <c r="R42" s="3"/>
    </row>
    <row r="43" spans="1:18" s="2" customFormat="1" ht="17.399999999999999" customHeight="1" x14ac:dyDescent="0.3">
      <c r="A43" s="2193"/>
      <c r="B43" s="2194"/>
      <c r="C43" s="2187"/>
      <c r="D43" s="2014"/>
      <c r="E43" s="2550"/>
      <c r="F43" s="2839"/>
      <c r="G43" s="2749"/>
      <c r="H43" s="926"/>
      <c r="I43" s="424" t="s">
        <v>36</v>
      </c>
      <c r="J43" s="37">
        <f>SUM(J40:J42)</f>
        <v>627.90000000000009</v>
      </c>
      <c r="K43" s="1472">
        <f>SUM(K40:K42)</f>
        <v>697.7</v>
      </c>
      <c r="L43" s="1182">
        <f>SUM(L40:L42)</f>
        <v>666.1</v>
      </c>
      <c r="M43" s="2212"/>
      <c r="N43" s="1919"/>
      <c r="O43" s="1826"/>
      <c r="P43" s="1899"/>
      <c r="Q43" s="48"/>
      <c r="R43" s="3"/>
    </row>
    <row r="44" spans="1:18" s="2" customFormat="1" ht="41.25" customHeight="1" x14ac:dyDescent="0.3">
      <c r="A44" s="2193"/>
      <c r="B44" s="2194"/>
      <c r="C44" s="2187"/>
      <c r="D44" s="2012" t="s">
        <v>100</v>
      </c>
      <c r="E44" s="2572" t="s">
        <v>466</v>
      </c>
      <c r="F44" s="2838"/>
      <c r="G44" s="2749"/>
      <c r="H44" s="926"/>
      <c r="I44" s="785" t="s">
        <v>31</v>
      </c>
      <c r="J44" s="1886">
        <v>28.2</v>
      </c>
      <c r="K44" s="1647">
        <v>28.2</v>
      </c>
      <c r="L44" s="2333">
        <v>28.1</v>
      </c>
      <c r="M44" s="2015" t="s">
        <v>495</v>
      </c>
      <c r="N44" s="689">
        <v>3</v>
      </c>
      <c r="O44" s="713">
        <v>2</v>
      </c>
      <c r="P44" s="1932"/>
      <c r="Q44" s="2375"/>
    </row>
    <row r="45" spans="1:18" s="2" customFormat="1" ht="25.5" customHeight="1" x14ac:dyDescent="0.3">
      <c r="A45" s="2193"/>
      <c r="B45" s="2194"/>
      <c r="C45" s="2187"/>
      <c r="D45" s="2014"/>
      <c r="E45" s="2572"/>
      <c r="F45" s="2838"/>
      <c r="G45" s="2749"/>
      <c r="H45" s="926"/>
      <c r="I45" s="785" t="s">
        <v>31</v>
      </c>
      <c r="J45" s="273">
        <v>82.9</v>
      </c>
      <c r="K45" s="1557">
        <v>70.900000000000006</v>
      </c>
      <c r="L45" s="2126">
        <v>67.7</v>
      </c>
      <c r="M45" s="2840" t="s">
        <v>976</v>
      </c>
      <c r="N45" s="1920">
        <v>4</v>
      </c>
      <c r="O45" s="573">
        <v>8</v>
      </c>
      <c r="P45" s="1921"/>
      <c r="Q45" s="1926"/>
    </row>
    <row r="46" spans="1:18" s="2" customFormat="1" ht="16.5" customHeight="1" x14ac:dyDescent="0.3">
      <c r="A46" s="2193"/>
      <c r="B46" s="2194"/>
      <c r="C46" s="2187"/>
      <c r="D46" s="2013"/>
      <c r="E46" s="2550"/>
      <c r="F46" s="2838"/>
      <c r="G46" s="2749"/>
      <c r="H46" s="926"/>
      <c r="I46" s="424" t="s">
        <v>36</v>
      </c>
      <c r="J46" s="1868">
        <f>SUM(J44:J45)</f>
        <v>111.10000000000001</v>
      </c>
      <c r="K46" s="1923">
        <f>SUM(K44:K45)</f>
        <v>99.100000000000009</v>
      </c>
      <c r="L46" s="2175">
        <f>SUM(L44:L45)</f>
        <v>95.800000000000011</v>
      </c>
      <c r="M46" s="2841"/>
      <c r="N46" s="1924"/>
      <c r="O46" s="2016"/>
      <c r="P46" s="1925"/>
      <c r="Q46" s="2376"/>
    </row>
    <row r="47" spans="1:18" s="2" customFormat="1" ht="24.75" customHeight="1" x14ac:dyDescent="0.3">
      <c r="A47" s="2193"/>
      <c r="B47" s="2194"/>
      <c r="C47" s="2187"/>
      <c r="D47" s="2014" t="s">
        <v>211</v>
      </c>
      <c r="E47" s="2570" t="s">
        <v>400</v>
      </c>
      <c r="F47" s="2838"/>
      <c r="G47" s="2749"/>
      <c r="H47" s="926"/>
      <c r="I47" s="531" t="s">
        <v>52</v>
      </c>
      <c r="J47" s="1886">
        <v>157.4</v>
      </c>
      <c r="K47" s="1647">
        <v>109.1</v>
      </c>
      <c r="L47" s="2333">
        <v>100.9</v>
      </c>
      <c r="M47" s="2609" t="s">
        <v>401</v>
      </c>
      <c r="N47" s="1920">
        <v>30</v>
      </c>
      <c r="O47" s="573">
        <v>24</v>
      </c>
      <c r="P47" s="2609" t="s">
        <v>973</v>
      </c>
      <c r="Q47" s="2610"/>
    </row>
    <row r="48" spans="1:18" s="2" customFormat="1" ht="17.25" customHeight="1" x14ac:dyDescent="0.3">
      <c r="A48" s="2193"/>
      <c r="B48" s="2194"/>
      <c r="C48" s="2187"/>
      <c r="D48" s="2014"/>
      <c r="E48" s="2572"/>
      <c r="F48" s="2838"/>
      <c r="G48" s="2749"/>
      <c r="H48" s="926"/>
      <c r="I48" s="397" t="s">
        <v>36</v>
      </c>
      <c r="J48" s="1869">
        <f>SUM(J47:J47)</f>
        <v>157.4</v>
      </c>
      <c r="K48" s="1927">
        <f>SUM(K47:K47)</f>
        <v>109.1</v>
      </c>
      <c r="L48" s="2134">
        <f>SUM(L47:L47)</f>
        <v>100.9</v>
      </c>
      <c r="M48" s="2735"/>
      <c r="N48" s="1929"/>
      <c r="O48" s="2017"/>
      <c r="P48" s="2611"/>
      <c r="Q48" s="2612"/>
    </row>
    <row r="49" spans="1:21" s="2" customFormat="1" ht="69" customHeight="1" x14ac:dyDescent="0.3">
      <c r="A49" s="2193"/>
      <c r="B49" s="2194"/>
      <c r="C49" s="2187"/>
      <c r="D49" s="2018" t="s">
        <v>214</v>
      </c>
      <c r="E49" s="257" t="s">
        <v>428</v>
      </c>
      <c r="F49" s="2484"/>
      <c r="G49" s="957"/>
      <c r="H49" s="2019"/>
      <c r="I49" s="1930"/>
      <c r="J49" s="1870"/>
      <c r="K49" s="1931"/>
      <c r="L49" s="2135"/>
      <c r="M49" s="1871" t="s">
        <v>429</v>
      </c>
      <c r="N49" s="1989">
        <v>2500</v>
      </c>
      <c r="O49" s="2465">
        <v>2898</v>
      </c>
      <c r="P49" s="1872"/>
      <c r="Q49" s="826"/>
    </row>
    <row r="50" spans="1:21" s="2" customFormat="1" ht="53.25" customHeight="1" x14ac:dyDescent="0.3">
      <c r="A50" s="2193"/>
      <c r="B50" s="2194"/>
      <c r="C50" s="2187"/>
      <c r="D50" s="2014" t="s">
        <v>26</v>
      </c>
      <c r="E50" s="2679" t="s">
        <v>430</v>
      </c>
      <c r="F50" s="2488"/>
      <c r="G50" s="957"/>
      <c r="H50" s="2019"/>
      <c r="I50" s="1930"/>
      <c r="J50" s="1870"/>
      <c r="K50" s="1931"/>
      <c r="L50" s="2135"/>
      <c r="M50" s="1871" t="s">
        <v>429</v>
      </c>
      <c r="N50" s="1989">
        <v>2500</v>
      </c>
      <c r="O50" s="2465">
        <v>2898</v>
      </c>
      <c r="P50" s="1872"/>
      <c r="Q50" s="826"/>
    </row>
    <row r="51" spans="1:21" s="2" customFormat="1" ht="17.25" customHeight="1" thickBot="1" x14ac:dyDescent="0.35">
      <c r="A51" s="2206"/>
      <c r="B51" s="2207"/>
      <c r="C51" s="2191"/>
      <c r="D51" s="2020"/>
      <c r="E51" s="2758"/>
      <c r="F51" s="2687" t="s">
        <v>49</v>
      </c>
      <c r="G51" s="2688"/>
      <c r="H51" s="2688"/>
      <c r="I51" s="2688"/>
      <c r="J51" s="75">
        <f>J43+J39+J37+J35+J33+J26+J46+J48</f>
        <v>7973.7</v>
      </c>
      <c r="K51" s="1478">
        <f>K43+K39+K37+K35+K33+K26+K46+K48</f>
        <v>8784.5</v>
      </c>
      <c r="L51" s="2136">
        <f>L43+L39+L37+L35+L33+L26+L46+L48</f>
        <v>7967.6000000000013</v>
      </c>
      <c r="M51" s="2021"/>
      <c r="N51" s="1933"/>
      <c r="O51" s="2022"/>
      <c r="P51" s="1873"/>
      <c r="Q51" s="208"/>
      <c r="R51" s="3"/>
    </row>
    <row r="52" spans="1:21" s="3" customFormat="1" ht="54.6" customHeight="1" x14ac:dyDescent="0.3">
      <c r="A52" s="2754" t="s">
        <v>22</v>
      </c>
      <c r="B52" s="2756" t="s">
        <v>22</v>
      </c>
      <c r="C52" s="2832" t="s">
        <v>50</v>
      </c>
      <c r="D52" s="2023"/>
      <c r="E52" s="2680" t="s">
        <v>51</v>
      </c>
      <c r="F52" s="2834"/>
      <c r="G52" s="2836" t="s">
        <v>27</v>
      </c>
      <c r="H52" s="1928" t="s">
        <v>490</v>
      </c>
      <c r="I52" s="39" t="s">
        <v>52</v>
      </c>
      <c r="J52" s="2176">
        <v>8767.5</v>
      </c>
      <c r="K52" s="1517">
        <v>8767.5</v>
      </c>
      <c r="L52" s="2332">
        <v>2759</v>
      </c>
      <c r="M52" s="95" t="s">
        <v>53</v>
      </c>
      <c r="N52" s="496">
        <v>4300</v>
      </c>
      <c r="O52" s="2243" t="s">
        <v>974</v>
      </c>
      <c r="P52" s="339"/>
      <c r="Q52" s="1274"/>
    </row>
    <row r="53" spans="1:21" s="3" customFormat="1" ht="16.5" customHeight="1" thickBot="1" x14ac:dyDescent="0.35">
      <c r="A53" s="2819"/>
      <c r="B53" s="2820"/>
      <c r="C53" s="2833"/>
      <c r="D53" s="454"/>
      <c r="E53" s="2758"/>
      <c r="F53" s="2835"/>
      <c r="G53" s="2837"/>
      <c r="H53" s="2241"/>
      <c r="I53" s="455" t="s">
        <v>36</v>
      </c>
      <c r="J53" s="143">
        <f>+J52</f>
        <v>8767.5</v>
      </c>
      <c r="K53" s="1489">
        <f>+K52</f>
        <v>8767.5</v>
      </c>
      <c r="L53" s="2131">
        <f>+L52</f>
        <v>2759</v>
      </c>
      <c r="M53" s="505"/>
      <c r="N53" s="554"/>
      <c r="O53" s="97"/>
      <c r="P53" s="1898"/>
      <c r="Q53" s="2237"/>
    </row>
    <row r="54" spans="1:21" s="3" customFormat="1" ht="21.75" customHeight="1" x14ac:dyDescent="0.3">
      <c r="A54" s="2197" t="s">
        <v>22</v>
      </c>
      <c r="B54" s="9" t="s">
        <v>22</v>
      </c>
      <c r="C54" s="2239" t="s">
        <v>54</v>
      </c>
      <c r="D54" s="451"/>
      <c r="E54" s="2757" t="s">
        <v>55</v>
      </c>
      <c r="F54" s="2489"/>
      <c r="G54" s="606" t="s">
        <v>27</v>
      </c>
      <c r="H54" s="2690" t="s">
        <v>490</v>
      </c>
      <c r="I54" s="2240" t="s">
        <v>52</v>
      </c>
      <c r="J54" s="2176">
        <v>17720.599999999999</v>
      </c>
      <c r="K54" s="1978">
        <v>17720.599999999999</v>
      </c>
      <c r="L54" s="2332">
        <v>19997.3</v>
      </c>
      <c r="M54" s="2828" t="s">
        <v>53</v>
      </c>
      <c r="N54" s="2442">
        <v>32000</v>
      </c>
      <c r="O54" s="2443">
        <v>31417</v>
      </c>
      <c r="P54" s="656"/>
      <c r="Q54" s="155"/>
    </row>
    <row r="55" spans="1:21" s="3" customFormat="1" ht="16.5" customHeight="1" thickBot="1" x14ac:dyDescent="0.35">
      <c r="A55" s="2206"/>
      <c r="B55" s="2245"/>
      <c r="C55" s="2209"/>
      <c r="D55" s="454"/>
      <c r="E55" s="2758"/>
      <c r="F55" s="2490"/>
      <c r="G55" s="2211"/>
      <c r="H55" s="2750"/>
      <c r="I55" s="455" t="s">
        <v>36</v>
      </c>
      <c r="J55" s="75">
        <f>+J54</f>
        <v>17720.599999999999</v>
      </c>
      <c r="K55" s="1478">
        <f>+K54</f>
        <v>17720.599999999999</v>
      </c>
      <c r="L55" s="2136">
        <f>+L54</f>
        <v>19997.3</v>
      </c>
      <c r="M55" s="2829"/>
      <c r="N55" s="2267"/>
      <c r="O55" s="2024"/>
      <c r="P55" s="2374"/>
      <c r="Q55" s="2372"/>
    </row>
    <row r="56" spans="1:21" s="2" customFormat="1" ht="39.75" customHeight="1" x14ac:dyDescent="0.3">
      <c r="A56" s="2753" t="s">
        <v>22</v>
      </c>
      <c r="B56" s="2755" t="s">
        <v>22</v>
      </c>
      <c r="C56" s="2821" t="s">
        <v>56</v>
      </c>
      <c r="D56" s="464"/>
      <c r="E56" s="2757" t="s">
        <v>402</v>
      </c>
      <c r="F56" s="2489"/>
      <c r="G56" s="2200" t="s">
        <v>27</v>
      </c>
      <c r="H56" s="2025" t="s">
        <v>490</v>
      </c>
      <c r="I56" s="1935" t="s">
        <v>31</v>
      </c>
      <c r="J56" s="1936">
        <v>500</v>
      </c>
      <c r="K56" s="1937">
        <v>600</v>
      </c>
      <c r="L56" s="2255">
        <v>531.9</v>
      </c>
      <c r="M56" s="2578" t="s">
        <v>403</v>
      </c>
      <c r="N56" s="628">
        <v>450</v>
      </c>
      <c r="O56" s="376">
        <v>531</v>
      </c>
      <c r="P56" s="2831" t="s">
        <v>1004</v>
      </c>
      <c r="Q56" s="109"/>
      <c r="R56" s="495"/>
    </row>
    <row r="57" spans="1:21" s="3" customFormat="1" ht="16.5" customHeight="1" thickBot="1" x14ac:dyDescent="0.35">
      <c r="A57" s="2819"/>
      <c r="B57" s="2820"/>
      <c r="C57" s="2823"/>
      <c r="D57" s="2026"/>
      <c r="E57" s="2758"/>
      <c r="F57" s="2490"/>
      <c r="G57" s="2211"/>
      <c r="H57" s="2241"/>
      <c r="I57" s="455" t="s">
        <v>36</v>
      </c>
      <c r="J57" s="75">
        <f>+J56</f>
        <v>500</v>
      </c>
      <c r="K57" s="1478">
        <f>+K56</f>
        <v>600</v>
      </c>
      <c r="L57" s="2136">
        <f>+L56</f>
        <v>531.9</v>
      </c>
      <c r="M57" s="2582"/>
      <c r="N57" s="2268"/>
      <c r="O57" s="2027"/>
      <c r="P57" s="2547"/>
      <c r="Q57" s="2373"/>
    </row>
    <row r="58" spans="1:21" s="2" customFormat="1" ht="27" customHeight="1" x14ac:dyDescent="0.3">
      <c r="A58" s="2753" t="s">
        <v>22</v>
      </c>
      <c r="B58" s="2755" t="s">
        <v>22</v>
      </c>
      <c r="C58" s="2821" t="s">
        <v>59</v>
      </c>
      <c r="D58" s="464"/>
      <c r="E58" s="2757" t="s">
        <v>413</v>
      </c>
      <c r="F58" s="2489"/>
      <c r="G58" s="2200" t="s">
        <v>27</v>
      </c>
      <c r="H58" s="2025" t="s">
        <v>490</v>
      </c>
      <c r="I58" s="1935" t="s">
        <v>28</v>
      </c>
      <c r="J58" s="1856">
        <v>210.6</v>
      </c>
      <c r="K58" s="1938">
        <v>210.6</v>
      </c>
      <c r="L58" s="2256">
        <v>162.80000000000001</v>
      </c>
      <c r="M58" s="2529" t="s">
        <v>414</v>
      </c>
      <c r="N58" s="2269">
        <v>200</v>
      </c>
      <c r="O58" s="2028">
        <v>87</v>
      </c>
      <c r="P58" s="2613" t="s">
        <v>977</v>
      </c>
      <c r="Q58" s="2614"/>
      <c r="R58" s="3"/>
    </row>
    <row r="59" spans="1:21" s="2" customFormat="1" ht="90.75" customHeight="1" x14ac:dyDescent="0.3">
      <c r="A59" s="2754"/>
      <c r="B59" s="2756"/>
      <c r="C59" s="2822"/>
      <c r="D59" s="269"/>
      <c r="E59" s="2680"/>
      <c r="F59" s="2491"/>
      <c r="G59" s="2251"/>
      <c r="H59" s="502"/>
      <c r="I59" s="982"/>
      <c r="J59" s="188"/>
      <c r="K59" s="1913"/>
      <c r="L59" s="189"/>
      <c r="M59" s="2691" t="s">
        <v>415</v>
      </c>
      <c r="N59" s="2270">
        <v>50</v>
      </c>
      <c r="O59" s="914">
        <v>4</v>
      </c>
      <c r="P59" s="2609" t="s">
        <v>1024</v>
      </c>
      <c r="Q59" s="2610"/>
      <c r="T59" s="3"/>
    </row>
    <row r="60" spans="1:21" s="3" customFormat="1" ht="16.5" customHeight="1" thickBot="1" x14ac:dyDescent="0.35">
      <c r="A60" s="2819"/>
      <c r="B60" s="2820"/>
      <c r="C60" s="2823"/>
      <c r="D60" s="2026"/>
      <c r="E60" s="2758"/>
      <c r="F60" s="2490"/>
      <c r="G60" s="2211"/>
      <c r="H60" s="2241"/>
      <c r="I60" s="455" t="s">
        <v>36</v>
      </c>
      <c r="J60" s="75">
        <f>+J58</f>
        <v>210.6</v>
      </c>
      <c r="K60" s="1478">
        <f>+K58</f>
        <v>210.6</v>
      </c>
      <c r="L60" s="2136">
        <f>+L58</f>
        <v>162.80000000000001</v>
      </c>
      <c r="M60" s="2824"/>
      <c r="N60" s="2271"/>
      <c r="O60" s="2029"/>
      <c r="P60" s="2736"/>
      <c r="Q60" s="2830"/>
    </row>
    <row r="61" spans="1:21" s="2" customFormat="1" ht="16.5" customHeight="1" thickBot="1" x14ac:dyDescent="0.35">
      <c r="A61" s="1848" t="s">
        <v>22</v>
      </c>
      <c r="B61" s="8" t="s">
        <v>22</v>
      </c>
      <c r="C61" s="2825" t="s">
        <v>62</v>
      </c>
      <c r="D61" s="2825"/>
      <c r="E61" s="2826"/>
      <c r="F61" s="2826"/>
      <c r="G61" s="2826"/>
      <c r="H61" s="2827"/>
      <c r="I61" s="2827"/>
      <c r="J61" s="1875">
        <f>J57+J55+J53+J51+J60</f>
        <v>35172.399999999994</v>
      </c>
      <c r="K61" s="1939">
        <f>K57+K55+K53+K51+K60</f>
        <v>36083.199999999997</v>
      </c>
      <c r="L61" s="2137">
        <f>L57+L55+L53+L51+L60</f>
        <v>31418.600000000002</v>
      </c>
      <c r="M61" s="2672"/>
      <c r="N61" s="2673"/>
      <c r="O61" s="2673"/>
      <c r="P61" s="2673"/>
      <c r="Q61" s="2674"/>
    </row>
    <row r="62" spans="1:21" s="2" customFormat="1" ht="16.5" customHeight="1" thickBot="1" x14ac:dyDescent="0.35">
      <c r="A62" s="1850" t="s">
        <v>22</v>
      </c>
      <c r="B62" s="8" t="s">
        <v>50</v>
      </c>
      <c r="C62" s="2707" t="s">
        <v>63</v>
      </c>
      <c r="D62" s="2707"/>
      <c r="E62" s="2707"/>
      <c r="F62" s="2707"/>
      <c r="G62" s="2707"/>
      <c r="H62" s="2799"/>
      <c r="I62" s="2799"/>
      <c r="J62" s="2799"/>
      <c r="K62" s="2799"/>
      <c r="L62" s="2799"/>
      <c r="M62" s="2707"/>
      <c r="N62" s="2707"/>
      <c r="O62" s="2707"/>
      <c r="P62" s="2707"/>
      <c r="Q62" s="2708"/>
    </row>
    <row r="63" spans="1:21" s="3" customFormat="1" ht="30" customHeight="1" x14ac:dyDescent="0.3">
      <c r="A63" s="2197" t="s">
        <v>22</v>
      </c>
      <c r="B63" s="2198" t="s">
        <v>50</v>
      </c>
      <c r="C63" s="2199" t="s">
        <v>22</v>
      </c>
      <c r="D63" s="2030"/>
      <c r="E63" s="2218" t="s">
        <v>64</v>
      </c>
      <c r="F63" s="2801" t="s">
        <v>320</v>
      </c>
      <c r="G63" s="1690">
        <v>3</v>
      </c>
      <c r="H63" s="2181" t="s">
        <v>490</v>
      </c>
      <c r="I63" s="581" t="s">
        <v>178</v>
      </c>
      <c r="J63" s="1856"/>
      <c r="K63" s="2031">
        <v>60.9</v>
      </c>
      <c r="L63" s="2254">
        <v>60.9</v>
      </c>
      <c r="M63" s="2032"/>
      <c r="N63" s="1940"/>
      <c r="O63" s="580"/>
      <c r="P63" s="2469"/>
      <c r="Q63" s="2468"/>
    </row>
    <row r="64" spans="1:21" s="3" customFormat="1" ht="18" customHeight="1" x14ac:dyDescent="0.3">
      <c r="A64" s="2193"/>
      <c r="B64" s="2194"/>
      <c r="C64" s="2187"/>
      <c r="D64" s="2012" t="s">
        <v>22</v>
      </c>
      <c r="E64" s="2669" t="s">
        <v>173</v>
      </c>
      <c r="F64" s="2802"/>
      <c r="G64" s="1876"/>
      <c r="H64" s="2033"/>
      <c r="I64" s="811" t="s">
        <v>31</v>
      </c>
      <c r="J64" s="273">
        <v>439.9</v>
      </c>
      <c r="K64" s="1557">
        <v>468.3</v>
      </c>
      <c r="L64" s="1991">
        <v>467.8</v>
      </c>
      <c r="M64" s="162" t="s">
        <v>174</v>
      </c>
      <c r="N64" s="691">
        <v>82</v>
      </c>
      <c r="O64" s="688">
        <v>82</v>
      </c>
      <c r="P64" s="690"/>
      <c r="Q64" s="116"/>
      <c r="R64" s="1857"/>
      <c r="S64" s="1857"/>
      <c r="T64" s="1857"/>
      <c r="U64" s="495"/>
    </row>
    <row r="65" spans="1:21" s="3" customFormat="1" ht="18.75" customHeight="1" x14ac:dyDescent="0.3">
      <c r="A65" s="2193"/>
      <c r="B65" s="2194"/>
      <c r="C65" s="2187"/>
      <c r="D65" s="2014"/>
      <c r="E65" s="2670"/>
      <c r="F65" s="2802"/>
      <c r="G65" s="1876"/>
      <c r="H65" s="2033"/>
      <c r="I65" s="1910" t="s">
        <v>68</v>
      </c>
      <c r="J65" s="1387">
        <v>360</v>
      </c>
      <c r="K65" s="1915">
        <v>360</v>
      </c>
      <c r="L65" s="2257">
        <v>355.9</v>
      </c>
      <c r="M65" s="2201" t="s">
        <v>468</v>
      </c>
      <c r="N65" s="2450">
        <v>1</v>
      </c>
      <c r="O65" s="2451">
        <v>1</v>
      </c>
      <c r="P65" s="1949"/>
      <c r="Q65" s="2370"/>
      <c r="R65" s="1857"/>
      <c r="S65" s="495"/>
      <c r="T65" s="495"/>
      <c r="U65" s="495"/>
    </row>
    <row r="66" spans="1:21" s="3" customFormat="1" ht="26.25" customHeight="1" x14ac:dyDescent="0.3">
      <c r="A66" s="2193"/>
      <c r="B66" s="2194"/>
      <c r="C66" s="2187"/>
      <c r="D66" s="2014"/>
      <c r="E66" s="2669" t="s">
        <v>405</v>
      </c>
      <c r="F66" s="2802"/>
      <c r="G66" s="1876"/>
      <c r="H66" s="2033"/>
      <c r="I66" s="531" t="s">
        <v>28</v>
      </c>
      <c r="J66" s="273">
        <v>0.9</v>
      </c>
      <c r="K66" s="1557">
        <v>0.9</v>
      </c>
      <c r="L66" s="1991">
        <v>0.2</v>
      </c>
      <c r="M66" s="2800" t="s">
        <v>406</v>
      </c>
      <c r="N66" s="2453">
        <v>60</v>
      </c>
      <c r="O66" s="2452">
        <v>54</v>
      </c>
      <c r="P66" s="2570" t="s">
        <v>1005</v>
      </c>
      <c r="Q66" s="2571"/>
    </row>
    <row r="67" spans="1:21" s="3" customFormat="1" ht="26.25" customHeight="1" x14ac:dyDescent="0.3">
      <c r="A67" s="2193"/>
      <c r="B67" s="2194"/>
      <c r="C67" s="2187"/>
      <c r="D67" s="2014"/>
      <c r="E67" s="2670"/>
      <c r="F67" s="2802"/>
      <c r="G67" s="1876"/>
      <c r="H67" s="2033"/>
      <c r="I67" s="531" t="s">
        <v>31</v>
      </c>
      <c r="J67" s="273">
        <v>1</v>
      </c>
      <c r="K67" s="1557">
        <v>1</v>
      </c>
      <c r="L67" s="1991">
        <v>0.6</v>
      </c>
      <c r="M67" s="2792"/>
      <c r="N67" s="1941"/>
      <c r="O67" s="914"/>
      <c r="P67" s="2572"/>
      <c r="Q67" s="2573"/>
    </row>
    <row r="68" spans="1:21" s="3" customFormat="1" ht="26.25" customHeight="1" x14ac:dyDescent="0.3">
      <c r="A68" s="2193"/>
      <c r="B68" s="2194"/>
      <c r="C68" s="2187"/>
      <c r="D68" s="2014"/>
      <c r="E68" s="2712"/>
      <c r="F68" s="2802"/>
      <c r="G68" s="1876"/>
      <c r="H68" s="2033"/>
      <c r="I68" s="531" t="s">
        <v>103</v>
      </c>
      <c r="J68" s="273">
        <v>9.4</v>
      </c>
      <c r="K68" s="1557">
        <v>9.4</v>
      </c>
      <c r="L68" s="1991"/>
      <c r="M68" s="2034"/>
      <c r="N68" s="772"/>
      <c r="O68" s="757"/>
      <c r="P68" s="2550"/>
      <c r="Q68" s="2551"/>
    </row>
    <row r="69" spans="1:21" s="3" customFormat="1" ht="16.5" customHeight="1" x14ac:dyDescent="0.3">
      <c r="A69" s="2193"/>
      <c r="B69" s="2194"/>
      <c r="C69" s="2187"/>
      <c r="D69" s="2012" t="s">
        <v>50</v>
      </c>
      <c r="E69" s="2669" t="s">
        <v>179</v>
      </c>
      <c r="F69" s="2802"/>
      <c r="G69" s="1876"/>
      <c r="H69" s="2033"/>
      <c r="I69" s="1918" t="s">
        <v>31</v>
      </c>
      <c r="J69" s="1387">
        <v>855.9</v>
      </c>
      <c r="K69" s="1915">
        <v>900.4</v>
      </c>
      <c r="L69" s="2257">
        <v>895.8</v>
      </c>
      <c r="M69" s="2035" t="s">
        <v>496</v>
      </c>
      <c r="N69" s="2351">
        <v>160</v>
      </c>
      <c r="O69" s="2036">
        <v>272</v>
      </c>
      <c r="P69" s="2471"/>
      <c r="Q69" s="2470"/>
    </row>
    <row r="70" spans="1:21" s="3" customFormat="1" ht="42" customHeight="1" x14ac:dyDescent="0.3">
      <c r="A70" s="2193"/>
      <c r="B70" s="2194"/>
      <c r="C70" s="2187"/>
      <c r="D70" s="2014"/>
      <c r="E70" s="2670"/>
      <c r="F70" s="2802"/>
      <c r="G70" s="1876"/>
      <c r="H70" s="2033"/>
      <c r="I70" s="621"/>
      <c r="J70" s="188"/>
      <c r="K70" s="1486"/>
      <c r="L70" s="1992"/>
      <c r="M70" s="2037" t="s">
        <v>497</v>
      </c>
      <c r="N70" s="2351">
        <v>3</v>
      </c>
      <c r="O70" s="2036">
        <v>0</v>
      </c>
      <c r="P70" s="2815" t="s">
        <v>1027</v>
      </c>
      <c r="Q70" s="2816"/>
    </row>
    <row r="71" spans="1:21" s="3" customFormat="1" ht="16.5" customHeight="1" x14ac:dyDescent="0.3">
      <c r="A71" s="2193"/>
      <c r="B71" s="2194"/>
      <c r="C71" s="2187"/>
      <c r="D71" s="2014"/>
      <c r="E71" s="2179"/>
      <c r="F71" s="2802"/>
      <c r="G71" s="1876"/>
      <c r="H71" s="2033"/>
      <c r="I71" s="465"/>
      <c r="J71" s="1897"/>
      <c r="K71" s="1491"/>
      <c r="L71" s="1645"/>
      <c r="M71" s="2037" t="s">
        <v>498</v>
      </c>
      <c r="N71" s="2351">
        <v>2</v>
      </c>
      <c r="O71" s="2036">
        <v>2</v>
      </c>
      <c r="P71" s="2471"/>
      <c r="Q71" s="2470"/>
    </row>
    <row r="72" spans="1:21" s="3" customFormat="1" ht="28.95" customHeight="1" x14ac:dyDescent="0.3">
      <c r="A72" s="2193"/>
      <c r="B72" s="2194"/>
      <c r="C72" s="2187"/>
      <c r="D72" s="2014"/>
      <c r="E72" s="2179"/>
      <c r="F72" s="2802"/>
      <c r="G72" s="1876"/>
      <c r="H72" s="2033"/>
      <c r="I72" s="1910" t="s">
        <v>68</v>
      </c>
      <c r="J72" s="1849">
        <v>87.8</v>
      </c>
      <c r="K72" s="1915">
        <v>110.2</v>
      </c>
      <c r="L72" s="2257">
        <v>95.7</v>
      </c>
      <c r="M72" s="2037" t="s">
        <v>1025</v>
      </c>
      <c r="N72" s="1943" t="s">
        <v>469</v>
      </c>
      <c r="O72" s="1944" t="s">
        <v>979</v>
      </c>
      <c r="P72" s="2476"/>
      <c r="Q72" s="2472"/>
    </row>
    <row r="73" spans="1:21" s="3" customFormat="1" ht="32.25" customHeight="1" x14ac:dyDescent="0.3">
      <c r="A73" s="2193"/>
      <c r="B73" s="2194"/>
      <c r="C73" s="2187"/>
      <c r="D73" s="2014"/>
      <c r="E73" s="2179"/>
      <c r="F73" s="2492"/>
      <c r="G73" s="1876"/>
      <c r="H73" s="2033"/>
      <c r="I73" s="811" t="s">
        <v>71</v>
      </c>
      <c r="J73" s="2162">
        <v>5</v>
      </c>
      <c r="K73" s="1557">
        <v>10.4</v>
      </c>
      <c r="L73" s="1991">
        <v>9.6999999999999993</v>
      </c>
      <c r="M73" s="2038" t="s">
        <v>431</v>
      </c>
      <c r="N73" s="1038">
        <v>280</v>
      </c>
      <c r="O73" s="729">
        <v>824</v>
      </c>
      <c r="P73" s="615"/>
      <c r="Q73" s="2473"/>
    </row>
    <row r="74" spans="1:21" s="3" customFormat="1" ht="46.2" customHeight="1" thickBot="1" x14ac:dyDescent="0.35">
      <c r="A74" s="2193"/>
      <c r="B74" s="2194"/>
      <c r="C74" s="2187"/>
      <c r="D74" s="2014"/>
      <c r="E74" s="2183"/>
      <c r="F74" s="2492"/>
      <c r="G74" s="1876"/>
      <c r="H74" s="2033"/>
      <c r="I74" s="2039" t="s">
        <v>52</v>
      </c>
      <c r="J74" s="2163">
        <v>23</v>
      </c>
      <c r="K74" s="1915">
        <v>23</v>
      </c>
      <c r="L74" s="2257">
        <v>17.8</v>
      </c>
      <c r="M74" s="2205" t="s">
        <v>499</v>
      </c>
      <c r="N74" s="2445" t="s">
        <v>432</v>
      </c>
      <c r="O74" s="2377" t="s">
        <v>978</v>
      </c>
      <c r="P74" s="2477"/>
      <c r="Q74" s="2474"/>
    </row>
    <row r="75" spans="1:21" s="3" customFormat="1" ht="43.5" customHeight="1" x14ac:dyDescent="0.3">
      <c r="A75" s="2193"/>
      <c r="B75" s="2194"/>
      <c r="C75" s="2187"/>
      <c r="D75" s="2014"/>
      <c r="E75" s="2178" t="s">
        <v>407</v>
      </c>
      <c r="F75" s="2492"/>
      <c r="G75" s="1876"/>
      <c r="H75" s="2033"/>
      <c r="I75" s="814" t="s">
        <v>52</v>
      </c>
      <c r="J75" s="971">
        <v>6</v>
      </c>
      <c r="K75" s="1937">
        <v>6</v>
      </c>
      <c r="L75" s="2326">
        <v>5.2</v>
      </c>
      <c r="M75" s="2040" t="s">
        <v>1026</v>
      </c>
      <c r="N75" s="2352">
        <v>0.5</v>
      </c>
      <c r="O75" s="2466">
        <v>0.5</v>
      </c>
      <c r="P75" s="2478"/>
      <c r="Q75" s="2475"/>
    </row>
    <row r="76" spans="1:21" s="3" customFormat="1" ht="31.2" customHeight="1" thickBot="1" x14ac:dyDescent="0.35">
      <c r="A76" s="2193"/>
      <c r="B76" s="2194"/>
      <c r="C76" s="2187"/>
      <c r="D76" s="2014"/>
      <c r="E76" s="2183"/>
      <c r="F76" s="2492"/>
      <c r="G76" s="1876"/>
      <c r="H76" s="2033"/>
      <c r="I76" s="882" t="s">
        <v>103</v>
      </c>
      <c r="J76" s="2164">
        <v>43.1</v>
      </c>
      <c r="K76" s="2327">
        <v>43.1</v>
      </c>
      <c r="L76" s="2328">
        <v>0</v>
      </c>
      <c r="M76" s="2041" t="s">
        <v>342</v>
      </c>
      <c r="N76" s="2353" t="s">
        <v>234</v>
      </c>
      <c r="O76" s="2042" t="s">
        <v>27</v>
      </c>
      <c r="P76" s="2817" t="s">
        <v>1006</v>
      </c>
      <c r="Q76" s="2818"/>
    </row>
    <row r="77" spans="1:21" s="3" customFormat="1" ht="30" customHeight="1" x14ac:dyDescent="0.3">
      <c r="A77" s="2193"/>
      <c r="B77" s="2194"/>
      <c r="C77" s="2187"/>
      <c r="D77" s="2014"/>
      <c r="E77" s="2179" t="s">
        <v>500</v>
      </c>
      <c r="F77" s="2492"/>
      <c r="G77" s="1876"/>
      <c r="H77" s="2033"/>
      <c r="I77" s="2043" t="s">
        <v>103</v>
      </c>
      <c r="J77" s="1887">
        <v>29.1</v>
      </c>
      <c r="K77" s="1644">
        <v>29.1</v>
      </c>
      <c r="L77" s="2258">
        <v>0</v>
      </c>
      <c r="M77" s="2044" t="s">
        <v>342</v>
      </c>
      <c r="N77" s="2354" t="s">
        <v>27</v>
      </c>
      <c r="O77" s="2045" t="s">
        <v>999</v>
      </c>
      <c r="P77" s="2882" t="s">
        <v>1000</v>
      </c>
      <c r="Q77" s="2883"/>
    </row>
    <row r="78" spans="1:21" s="3" customFormat="1" ht="13.5" customHeight="1" x14ac:dyDescent="0.3">
      <c r="A78" s="2193"/>
      <c r="B78" s="2194"/>
      <c r="C78" s="2187"/>
      <c r="D78" s="2014"/>
      <c r="E78" s="2669" t="s">
        <v>433</v>
      </c>
      <c r="F78" s="2492"/>
      <c r="G78" s="1876"/>
      <c r="H78" s="2033"/>
      <c r="I78" s="1982" t="s">
        <v>31</v>
      </c>
      <c r="J78" s="1547">
        <v>1.9</v>
      </c>
      <c r="K78" s="1980">
        <v>1.9</v>
      </c>
      <c r="L78" s="2140">
        <v>1.9</v>
      </c>
      <c r="M78" s="2813" t="s">
        <v>434</v>
      </c>
      <c r="N78" s="2378" t="s">
        <v>27</v>
      </c>
      <c r="O78" s="799" t="s">
        <v>234</v>
      </c>
      <c r="P78" s="2803" t="s">
        <v>1028</v>
      </c>
      <c r="Q78" s="2479"/>
    </row>
    <row r="79" spans="1:21" s="3" customFormat="1" ht="13.5" customHeight="1" x14ac:dyDescent="0.3">
      <c r="A79" s="2193"/>
      <c r="B79" s="2194"/>
      <c r="C79" s="2187"/>
      <c r="D79" s="2014"/>
      <c r="E79" s="2670"/>
      <c r="F79" s="2492"/>
      <c r="G79" s="1876"/>
      <c r="H79" s="2033"/>
      <c r="I79" s="1982" t="s">
        <v>28</v>
      </c>
      <c r="J79" s="1547">
        <v>1.9</v>
      </c>
      <c r="K79" s="1980">
        <v>1.9</v>
      </c>
      <c r="L79" s="2140">
        <v>1.8</v>
      </c>
      <c r="M79" s="2686"/>
      <c r="N79" s="1946"/>
      <c r="O79" s="1877"/>
      <c r="P79" s="2804"/>
      <c r="Q79" s="2480"/>
    </row>
    <row r="80" spans="1:21" s="3" customFormat="1" ht="13.5" customHeight="1" thickBot="1" x14ac:dyDescent="0.35">
      <c r="A80" s="2193"/>
      <c r="B80" s="2194"/>
      <c r="C80" s="2187"/>
      <c r="D80" s="2013"/>
      <c r="E80" s="2712"/>
      <c r="F80" s="2492"/>
      <c r="G80" s="1876"/>
      <c r="H80" s="2033"/>
      <c r="I80" s="1984" t="s">
        <v>103</v>
      </c>
      <c r="J80" s="1886">
        <v>21.6</v>
      </c>
      <c r="K80" s="1647">
        <v>21.6</v>
      </c>
      <c r="L80" s="2139"/>
      <c r="M80" s="2814"/>
      <c r="N80" s="1948"/>
      <c r="O80" s="984"/>
      <c r="P80" s="2481"/>
      <c r="Q80" s="72"/>
      <c r="R80" s="1909"/>
    </row>
    <row r="81" spans="1:21" s="3" customFormat="1" ht="49.5" customHeight="1" x14ac:dyDescent="0.3">
      <c r="A81" s="2193"/>
      <c r="B81" s="2194"/>
      <c r="C81" s="2187"/>
      <c r="D81" s="2014" t="s">
        <v>54</v>
      </c>
      <c r="E81" s="2252" t="s">
        <v>170</v>
      </c>
      <c r="F81" s="2492"/>
      <c r="G81" s="1876"/>
      <c r="H81" s="2033"/>
      <c r="I81" s="814" t="s">
        <v>31</v>
      </c>
      <c r="J81" s="1936">
        <v>516.79999999999995</v>
      </c>
      <c r="K81" s="1937">
        <v>555.79999999999995</v>
      </c>
      <c r="L81" s="2326">
        <v>554.4</v>
      </c>
      <c r="M81" s="2047" t="s">
        <v>435</v>
      </c>
      <c r="N81" s="2355" t="s">
        <v>436</v>
      </c>
      <c r="O81" s="2048" t="s">
        <v>980</v>
      </c>
      <c r="P81" s="2805" t="s">
        <v>1008</v>
      </c>
      <c r="Q81" s="2806"/>
    </row>
    <row r="82" spans="1:21" s="3" customFormat="1" ht="29.4" customHeight="1" x14ac:dyDescent="0.3">
      <c r="A82" s="2193"/>
      <c r="B82" s="2194"/>
      <c r="C82" s="2187"/>
      <c r="D82" s="2014"/>
      <c r="E82" s="1322"/>
      <c r="F82" s="2492"/>
      <c r="G82" s="1876"/>
      <c r="H82" s="2033"/>
      <c r="I82" s="1910" t="s">
        <v>68</v>
      </c>
      <c r="J82" s="1387">
        <v>107.4</v>
      </c>
      <c r="K82" s="1915">
        <v>107.4</v>
      </c>
      <c r="L82" s="2257">
        <v>105.9</v>
      </c>
      <c r="M82" s="2219" t="s">
        <v>437</v>
      </c>
      <c r="N82" s="2356" t="s">
        <v>438</v>
      </c>
      <c r="O82" s="2050" t="s">
        <v>981</v>
      </c>
      <c r="P82" s="2607" t="s">
        <v>1007</v>
      </c>
      <c r="Q82" s="2608"/>
    </row>
    <row r="83" spans="1:21" s="3" customFormat="1" ht="30.75" customHeight="1" thickBot="1" x14ac:dyDescent="0.35">
      <c r="A83" s="2193"/>
      <c r="B83" s="2194"/>
      <c r="C83" s="2187"/>
      <c r="D83" s="2014"/>
      <c r="E83" s="1322"/>
      <c r="F83" s="2492"/>
      <c r="G83" s="1876"/>
      <c r="H83" s="2033"/>
      <c r="I83" s="621"/>
      <c r="J83" s="2440"/>
      <c r="K83" s="2145"/>
      <c r="L83" s="2441"/>
      <c r="M83" s="2196" t="s">
        <v>1029</v>
      </c>
      <c r="N83" s="2357" t="s">
        <v>439</v>
      </c>
      <c r="O83" s="2051" t="s">
        <v>980</v>
      </c>
      <c r="P83" s="2807" t="s">
        <v>982</v>
      </c>
      <c r="Q83" s="2808"/>
    </row>
    <row r="84" spans="1:21" s="3" customFormat="1" ht="28.5" customHeight="1" x14ac:dyDescent="0.3">
      <c r="A84" s="2193"/>
      <c r="B84" s="2194"/>
      <c r="C84" s="2187"/>
      <c r="D84" s="2012" t="s">
        <v>56</v>
      </c>
      <c r="E84" s="1236" t="s">
        <v>74</v>
      </c>
      <c r="F84" s="2492"/>
      <c r="G84" s="2204"/>
      <c r="H84" s="2052"/>
      <c r="I84" s="814" t="s">
        <v>31</v>
      </c>
      <c r="J84" s="1936">
        <v>912.2</v>
      </c>
      <c r="K84" s="1937">
        <v>957.8</v>
      </c>
      <c r="L84" s="2326">
        <v>943</v>
      </c>
      <c r="M84" s="539" t="s">
        <v>440</v>
      </c>
      <c r="N84" s="2358" t="s">
        <v>441</v>
      </c>
      <c r="O84" s="2053" t="s">
        <v>983</v>
      </c>
      <c r="P84" s="2809" t="s">
        <v>759</v>
      </c>
      <c r="Q84" s="2810"/>
      <c r="R84" s="1857"/>
    </row>
    <row r="85" spans="1:21" s="3" customFormat="1" ht="42.75" customHeight="1" x14ac:dyDescent="0.3">
      <c r="A85" s="2193"/>
      <c r="B85" s="2194"/>
      <c r="C85" s="2187"/>
      <c r="D85" s="2014"/>
      <c r="E85" s="998" t="s">
        <v>501</v>
      </c>
      <c r="F85" s="2492"/>
      <c r="G85" s="2204"/>
      <c r="H85" s="2052"/>
      <c r="I85" s="2054" t="s">
        <v>502</v>
      </c>
      <c r="J85" s="2165">
        <v>0.6</v>
      </c>
      <c r="K85" s="2143">
        <v>0.6</v>
      </c>
      <c r="L85" s="2329">
        <v>0.2</v>
      </c>
      <c r="M85" s="1986" t="s">
        <v>470</v>
      </c>
      <c r="N85" s="772">
        <v>5</v>
      </c>
      <c r="O85" s="757">
        <v>15</v>
      </c>
      <c r="P85" s="2482" t="s">
        <v>751</v>
      </c>
      <c r="Q85" s="822"/>
    </row>
    <row r="86" spans="1:21" s="3" customFormat="1" ht="30.75" customHeight="1" x14ac:dyDescent="0.3">
      <c r="A86" s="2193"/>
      <c r="B86" s="2194"/>
      <c r="C86" s="2187"/>
      <c r="D86" s="2014"/>
      <c r="E86" s="2680" t="s">
        <v>408</v>
      </c>
      <c r="F86" s="2492"/>
      <c r="G86" s="2204"/>
      <c r="H86" s="2052"/>
      <c r="I86" s="2055" t="s">
        <v>502</v>
      </c>
      <c r="J86" s="2166">
        <v>2.8</v>
      </c>
      <c r="K86" s="2144">
        <v>2.8</v>
      </c>
      <c r="L86" s="2330">
        <v>2.5</v>
      </c>
      <c r="M86" s="1987" t="s">
        <v>1030</v>
      </c>
      <c r="N86" s="689">
        <v>30</v>
      </c>
      <c r="O86" s="713">
        <v>50</v>
      </c>
      <c r="P86" s="2811" t="s">
        <v>753</v>
      </c>
      <c r="Q86" s="2812"/>
    </row>
    <row r="87" spans="1:21" s="3" customFormat="1" ht="30.75" customHeight="1" x14ac:dyDescent="0.3">
      <c r="A87" s="2193"/>
      <c r="B87" s="2194"/>
      <c r="C87" s="2187"/>
      <c r="D87" s="2014"/>
      <c r="E87" s="2680"/>
      <c r="F87" s="2492"/>
      <c r="G87" s="2204"/>
      <c r="H87" s="2052"/>
      <c r="I87" s="1958"/>
      <c r="J87" s="1894"/>
      <c r="K87" s="1917"/>
      <c r="L87" s="2125"/>
      <c r="M87" s="1889" t="s">
        <v>442</v>
      </c>
      <c r="N87" s="543">
        <v>12</v>
      </c>
      <c r="O87" s="2234">
        <v>12</v>
      </c>
      <c r="P87" s="2460"/>
      <c r="Q87" s="2463"/>
    </row>
    <row r="88" spans="1:21" s="3" customFormat="1" ht="30.75" customHeight="1" x14ac:dyDescent="0.3">
      <c r="A88" s="2193"/>
      <c r="B88" s="2194"/>
      <c r="C88" s="2187"/>
      <c r="D88" s="2014"/>
      <c r="E88" s="2680"/>
      <c r="F88" s="2492"/>
      <c r="G88" s="2204"/>
      <c r="H88" s="2052"/>
      <c r="I88" s="1958"/>
      <c r="J88" s="1894"/>
      <c r="K88" s="1917"/>
      <c r="L88" s="2125"/>
      <c r="M88" s="1889" t="s">
        <v>471</v>
      </c>
      <c r="N88" s="543">
        <v>12</v>
      </c>
      <c r="O88" s="2234">
        <v>12</v>
      </c>
      <c r="P88" s="2460"/>
      <c r="Q88" s="2463"/>
    </row>
    <row r="89" spans="1:21" s="3" customFormat="1" ht="30.75" customHeight="1" x14ac:dyDescent="0.3">
      <c r="A89" s="2193"/>
      <c r="B89" s="2194"/>
      <c r="C89" s="2187"/>
      <c r="D89" s="2014"/>
      <c r="E89" s="2680"/>
      <c r="F89" s="2492"/>
      <c r="G89" s="2204"/>
      <c r="H89" s="2052"/>
      <c r="I89" s="1985"/>
      <c r="J89" s="1887"/>
      <c r="K89" s="1644"/>
      <c r="L89" s="2258"/>
      <c r="M89" s="1889" t="s">
        <v>1031</v>
      </c>
      <c r="N89" s="543">
        <v>3</v>
      </c>
      <c r="O89" s="2234">
        <v>3</v>
      </c>
      <c r="P89" s="411"/>
      <c r="Q89" s="2463"/>
    </row>
    <row r="90" spans="1:21" s="3" customFormat="1" ht="42" customHeight="1" x14ac:dyDescent="0.3">
      <c r="A90" s="2193"/>
      <c r="B90" s="2194"/>
      <c r="C90" s="2187"/>
      <c r="D90" s="2014"/>
      <c r="E90" s="2680"/>
      <c r="F90" s="2492"/>
      <c r="G90" s="2204"/>
      <c r="H90" s="2052"/>
      <c r="I90" s="1982" t="s">
        <v>68</v>
      </c>
      <c r="J90" s="1547">
        <v>1</v>
      </c>
      <c r="K90" s="1980">
        <v>1.9</v>
      </c>
      <c r="L90" s="2140">
        <v>1.9</v>
      </c>
      <c r="M90" s="2182" t="s">
        <v>1032</v>
      </c>
      <c r="N90" s="1304">
        <v>130</v>
      </c>
      <c r="O90" s="1866">
        <v>279</v>
      </c>
      <c r="P90" s="2574" t="s">
        <v>1009</v>
      </c>
      <c r="Q90" s="2575"/>
    </row>
    <row r="91" spans="1:21" s="3" customFormat="1" ht="15" customHeight="1" x14ac:dyDescent="0.3">
      <c r="A91" s="2193"/>
      <c r="B91" s="2194"/>
      <c r="C91" s="2187"/>
      <c r="D91" s="2014"/>
      <c r="E91" s="2680" t="s">
        <v>503</v>
      </c>
      <c r="F91" s="2492"/>
      <c r="G91" s="2204"/>
      <c r="H91" s="2052"/>
      <c r="I91" s="531" t="s">
        <v>404</v>
      </c>
      <c r="J91" s="273">
        <v>14.7</v>
      </c>
      <c r="K91" s="1557">
        <v>14.7</v>
      </c>
      <c r="L91" s="1991">
        <v>13.5</v>
      </c>
      <c r="M91" s="2574" t="s">
        <v>443</v>
      </c>
      <c r="N91" s="545">
        <v>104</v>
      </c>
      <c r="O91" s="2455">
        <v>16</v>
      </c>
      <c r="P91" s="2570" t="s">
        <v>1001</v>
      </c>
      <c r="Q91" s="2571"/>
    </row>
    <row r="92" spans="1:21" s="3" customFormat="1" ht="15" customHeight="1" x14ac:dyDescent="0.3">
      <c r="A92" s="2193"/>
      <c r="B92" s="2194"/>
      <c r="C92" s="2187"/>
      <c r="D92" s="2014"/>
      <c r="E92" s="2680"/>
      <c r="F92" s="2492"/>
      <c r="G92" s="2204"/>
      <c r="H92" s="2052"/>
      <c r="I92" s="531" t="s">
        <v>28</v>
      </c>
      <c r="J92" s="273">
        <v>1.3</v>
      </c>
      <c r="K92" s="1557">
        <v>1.3</v>
      </c>
      <c r="L92" s="1991">
        <v>0.9</v>
      </c>
      <c r="M92" s="2796"/>
      <c r="N92" s="496"/>
      <c r="O92" s="2456"/>
      <c r="P92" s="2572"/>
      <c r="Q92" s="2573"/>
    </row>
    <row r="93" spans="1:21" s="3" customFormat="1" ht="15" customHeight="1" x14ac:dyDescent="0.3">
      <c r="A93" s="2193"/>
      <c r="B93" s="2194"/>
      <c r="C93" s="2187"/>
      <c r="D93" s="2014"/>
      <c r="E93" s="2680"/>
      <c r="F93" s="2492"/>
      <c r="G93" s="2204"/>
      <c r="H93" s="2052"/>
      <c r="I93" s="1918" t="s">
        <v>31</v>
      </c>
      <c r="J93" s="1387">
        <v>1.3</v>
      </c>
      <c r="K93" s="1915">
        <v>1.3</v>
      </c>
      <c r="L93" s="2257">
        <v>0.9</v>
      </c>
      <c r="M93" s="2796"/>
      <c r="N93" s="496"/>
      <c r="O93" s="2456"/>
      <c r="P93" s="2550"/>
      <c r="Q93" s="2551"/>
    </row>
    <row r="94" spans="1:21" s="2" customFormat="1" ht="21.75" customHeight="1" x14ac:dyDescent="0.3">
      <c r="A94" s="2726"/>
      <c r="B94" s="2729"/>
      <c r="C94" s="2732"/>
      <c r="D94" s="2014"/>
      <c r="E94" s="2797" t="s">
        <v>504</v>
      </c>
      <c r="F94" s="2747"/>
      <c r="G94" s="2798"/>
      <c r="H94" s="2052"/>
      <c r="I94" s="383" t="s">
        <v>334</v>
      </c>
      <c r="J94" s="1387">
        <v>77.5</v>
      </c>
      <c r="K94" s="1915">
        <v>77.5</v>
      </c>
      <c r="L94" s="2257">
        <v>0</v>
      </c>
      <c r="M94" s="2057" t="s">
        <v>472</v>
      </c>
      <c r="N94" s="545">
        <v>1</v>
      </c>
      <c r="O94" s="2231">
        <v>1</v>
      </c>
      <c r="P94" s="515"/>
      <c r="Q94" s="1951"/>
      <c r="R94" s="1922"/>
    </row>
    <row r="95" spans="1:21" s="2" customFormat="1" ht="47.25" customHeight="1" x14ac:dyDescent="0.3">
      <c r="A95" s="2726"/>
      <c r="B95" s="2729"/>
      <c r="C95" s="2732"/>
      <c r="D95" s="2014"/>
      <c r="E95" s="2752"/>
      <c r="F95" s="2747"/>
      <c r="G95" s="2798"/>
      <c r="H95" s="2052"/>
      <c r="I95" s="413" t="s">
        <v>404</v>
      </c>
      <c r="J95" s="1387">
        <v>25.9</v>
      </c>
      <c r="K95" s="1915">
        <v>25.9</v>
      </c>
      <c r="L95" s="2257">
        <v>0</v>
      </c>
      <c r="M95" s="2058" t="s">
        <v>473</v>
      </c>
      <c r="N95" s="498">
        <v>6</v>
      </c>
      <c r="O95" s="419">
        <v>6</v>
      </c>
      <c r="P95" s="403"/>
      <c r="Q95" s="643"/>
      <c r="U95" s="3"/>
    </row>
    <row r="96" spans="1:21" s="3" customFormat="1" ht="28.95" customHeight="1" x14ac:dyDescent="0.3">
      <c r="A96" s="2193"/>
      <c r="B96" s="2194"/>
      <c r="C96" s="2187"/>
      <c r="D96" s="2012" t="s">
        <v>59</v>
      </c>
      <c r="E96" s="2679" t="s">
        <v>200</v>
      </c>
      <c r="F96" s="2492"/>
      <c r="G96" s="2204"/>
      <c r="H96" s="2052"/>
      <c r="I96" s="811" t="s">
        <v>31</v>
      </c>
      <c r="J96" s="273">
        <v>567.29999999999995</v>
      </c>
      <c r="K96" s="1557">
        <v>582.4</v>
      </c>
      <c r="L96" s="1991">
        <v>518.29999999999995</v>
      </c>
      <c r="M96" s="436" t="s">
        <v>174</v>
      </c>
      <c r="N96" s="540">
        <v>187</v>
      </c>
      <c r="O96" s="68">
        <v>117</v>
      </c>
      <c r="P96" s="2574" t="s">
        <v>1035</v>
      </c>
      <c r="Q96" s="2575"/>
    </row>
    <row r="97" spans="1:18" s="3" customFormat="1" ht="41.25" customHeight="1" x14ac:dyDescent="0.3">
      <c r="A97" s="2193"/>
      <c r="B97" s="2194"/>
      <c r="C97" s="2187"/>
      <c r="D97" s="2014"/>
      <c r="E97" s="2680"/>
      <c r="F97" s="2492"/>
      <c r="G97" s="2204"/>
      <c r="H97" s="2052"/>
      <c r="I97" s="1910" t="s">
        <v>68</v>
      </c>
      <c r="J97" s="1387">
        <v>22</v>
      </c>
      <c r="K97" s="1915">
        <v>22</v>
      </c>
      <c r="L97" s="2257">
        <v>21.8</v>
      </c>
      <c r="M97" s="162" t="s">
        <v>1033</v>
      </c>
      <c r="N97" s="543">
        <v>45</v>
      </c>
      <c r="O97" s="2234">
        <v>30</v>
      </c>
      <c r="P97" s="2574" t="s">
        <v>997</v>
      </c>
      <c r="Q97" s="2575"/>
    </row>
    <row r="98" spans="1:18" s="3" customFormat="1" ht="30" customHeight="1" thickBot="1" x14ac:dyDescent="0.35">
      <c r="A98" s="2193"/>
      <c r="B98" s="2194"/>
      <c r="C98" s="2187"/>
      <c r="D98" s="2014"/>
      <c r="E98" s="2680"/>
      <c r="F98" s="2492"/>
      <c r="G98" s="2204"/>
      <c r="H98" s="2052"/>
      <c r="I98" s="621"/>
      <c r="J98" s="1947"/>
      <c r="K98" s="1486"/>
      <c r="L98" s="1992"/>
      <c r="M98" s="1988" t="s">
        <v>1034</v>
      </c>
      <c r="N98" s="1304">
        <v>159</v>
      </c>
      <c r="O98" s="1866">
        <v>232</v>
      </c>
      <c r="P98" s="2576" t="s">
        <v>1036</v>
      </c>
      <c r="Q98" s="2577"/>
    </row>
    <row r="99" spans="1:18" s="3" customFormat="1" ht="18" customHeight="1" x14ac:dyDescent="0.3">
      <c r="A99" s="2193"/>
      <c r="B99" s="2194"/>
      <c r="C99" s="2187"/>
      <c r="D99" s="2012" t="s">
        <v>97</v>
      </c>
      <c r="E99" s="2790" t="s">
        <v>205</v>
      </c>
      <c r="F99" s="2492"/>
      <c r="G99" s="2204"/>
      <c r="H99" s="2052"/>
      <c r="I99" s="814" t="s">
        <v>31</v>
      </c>
      <c r="J99" s="1936">
        <f>447.1+3.5</f>
        <v>450.6</v>
      </c>
      <c r="K99" s="1937">
        <v>464</v>
      </c>
      <c r="L99" s="2326">
        <v>423.7</v>
      </c>
      <c r="M99" s="2208" t="s">
        <v>444</v>
      </c>
      <c r="N99" s="548">
        <v>30</v>
      </c>
      <c r="O99" s="79">
        <v>24</v>
      </c>
      <c r="P99" s="2578" t="s">
        <v>1037</v>
      </c>
      <c r="Q99" s="2579"/>
    </row>
    <row r="100" spans="1:18" s="3" customFormat="1" ht="18" customHeight="1" x14ac:dyDescent="0.3">
      <c r="A100" s="2193"/>
      <c r="B100" s="2194"/>
      <c r="C100" s="2187"/>
      <c r="D100" s="2014"/>
      <c r="E100" s="2791"/>
      <c r="F100" s="2493"/>
      <c r="G100" s="2204"/>
      <c r="H100" s="2052"/>
      <c r="I100" s="811" t="s">
        <v>28</v>
      </c>
      <c r="J100" s="273">
        <v>53</v>
      </c>
      <c r="K100" s="1557">
        <v>53</v>
      </c>
      <c r="L100" s="1991">
        <v>53</v>
      </c>
      <c r="M100" s="2792"/>
      <c r="N100" s="542"/>
      <c r="O100" s="84"/>
      <c r="P100" s="2580"/>
      <c r="Q100" s="2581"/>
    </row>
    <row r="101" spans="1:18" s="3" customFormat="1" ht="18" customHeight="1" thickBot="1" x14ac:dyDescent="0.35">
      <c r="A101" s="2193"/>
      <c r="B101" s="2194"/>
      <c r="C101" s="2187"/>
      <c r="D101" s="2013"/>
      <c r="E101" s="2791"/>
      <c r="F101" s="2493"/>
      <c r="G101" s="2204"/>
      <c r="H101" s="2052"/>
      <c r="I101" s="2060" t="s">
        <v>52</v>
      </c>
      <c r="J101" s="2167">
        <v>45.6</v>
      </c>
      <c r="K101" s="2132">
        <v>45.6</v>
      </c>
      <c r="L101" s="2331">
        <v>26</v>
      </c>
      <c r="M101" s="2588"/>
      <c r="N101" s="554"/>
      <c r="O101" s="97"/>
      <c r="P101" s="2582"/>
      <c r="Q101" s="2583"/>
    </row>
    <row r="102" spans="1:18" s="3" customFormat="1" ht="15.75" customHeight="1" x14ac:dyDescent="0.3">
      <c r="A102" s="2193"/>
      <c r="B102" s="2194"/>
      <c r="C102" s="2187"/>
      <c r="D102" s="2014" t="s">
        <v>100</v>
      </c>
      <c r="E102" s="2679" t="s">
        <v>207</v>
      </c>
      <c r="F102" s="2493"/>
      <c r="G102" s="2204"/>
      <c r="H102" s="2052"/>
      <c r="I102" s="465" t="s">
        <v>31</v>
      </c>
      <c r="J102" s="1639">
        <v>401.3</v>
      </c>
      <c r="K102" s="1491">
        <v>405.2</v>
      </c>
      <c r="L102" s="1645">
        <v>389.1</v>
      </c>
      <c r="M102" s="436" t="s">
        <v>443</v>
      </c>
      <c r="N102" s="540">
        <v>40</v>
      </c>
      <c r="O102" s="68">
        <v>40</v>
      </c>
      <c r="P102" s="68"/>
      <c r="Q102" s="68"/>
    </row>
    <row r="103" spans="1:18" s="3" customFormat="1" ht="15.75" customHeight="1" x14ac:dyDescent="0.3">
      <c r="A103" s="2193"/>
      <c r="B103" s="2194"/>
      <c r="C103" s="2187"/>
      <c r="D103" s="2014"/>
      <c r="E103" s="2680"/>
      <c r="F103" s="2493"/>
      <c r="G103" s="2204"/>
      <c r="H103" s="2052"/>
      <c r="I103" s="811" t="s">
        <v>68</v>
      </c>
      <c r="J103" s="273">
        <v>54.2</v>
      </c>
      <c r="K103" s="1557">
        <v>54.2</v>
      </c>
      <c r="L103" s="1991">
        <v>49.6</v>
      </c>
      <c r="M103" s="2061" t="s">
        <v>984</v>
      </c>
      <c r="N103" s="543">
        <v>3</v>
      </c>
      <c r="O103" s="2234">
        <v>3</v>
      </c>
      <c r="P103" s="2234"/>
      <c r="Q103" s="2234"/>
    </row>
    <row r="104" spans="1:18" s="3" customFormat="1" ht="15" customHeight="1" x14ac:dyDescent="0.3">
      <c r="A104" s="2193"/>
      <c r="B104" s="2194"/>
      <c r="C104" s="2187"/>
      <c r="D104" s="2014"/>
      <c r="E104" s="2680"/>
      <c r="F104" s="2493"/>
      <c r="G104" s="2204"/>
      <c r="H104" s="2052"/>
      <c r="I104" s="811" t="s">
        <v>52</v>
      </c>
      <c r="J104" s="273">
        <v>32.799999999999997</v>
      </c>
      <c r="K104" s="1557">
        <v>32.799999999999997</v>
      </c>
      <c r="L104" s="1991">
        <v>22.6</v>
      </c>
      <c r="M104" s="2793" t="s">
        <v>445</v>
      </c>
      <c r="N104" s="1304">
        <v>20</v>
      </c>
      <c r="O104" s="2455">
        <v>19</v>
      </c>
      <c r="P104" s="1866"/>
      <c r="Q104" s="1866"/>
    </row>
    <row r="105" spans="1:18" s="3" customFormat="1" ht="15" customHeight="1" x14ac:dyDescent="0.3">
      <c r="A105" s="2193"/>
      <c r="B105" s="2194"/>
      <c r="C105" s="2187"/>
      <c r="D105" s="2014"/>
      <c r="E105" s="2680"/>
      <c r="F105" s="2493"/>
      <c r="G105" s="2204"/>
      <c r="H105" s="2052"/>
      <c r="I105" s="811" t="s">
        <v>31</v>
      </c>
      <c r="J105" s="273">
        <f>295.6-22</f>
        <v>273.60000000000002</v>
      </c>
      <c r="K105" s="1557">
        <v>281.7</v>
      </c>
      <c r="L105" s="1991">
        <v>293.10000000000002</v>
      </c>
      <c r="M105" s="2794"/>
      <c r="N105" s="542"/>
      <c r="O105" s="84"/>
      <c r="P105" s="84"/>
      <c r="Q105" s="84"/>
    </row>
    <row r="106" spans="1:18" s="3" customFormat="1" ht="15" customHeight="1" x14ac:dyDescent="0.3">
      <c r="A106" s="2193"/>
      <c r="B106" s="2194"/>
      <c r="C106" s="2187"/>
      <c r="D106" s="2014"/>
      <c r="E106" s="2680"/>
      <c r="F106" s="2493"/>
      <c r="G106" s="2204"/>
      <c r="H106" s="2052"/>
      <c r="I106" s="811" t="s">
        <v>28</v>
      </c>
      <c r="J106" s="273">
        <v>33</v>
      </c>
      <c r="K106" s="1557">
        <v>33</v>
      </c>
      <c r="L106" s="1991">
        <v>32.6</v>
      </c>
      <c r="M106" s="2795"/>
      <c r="N106" s="2359"/>
      <c r="O106" s="2062"/>
      <c r="P106" s="2062"/>
      <c r="Q106" s="2062"/>
    </row>
    <row r="107" spans="1:18" s="3" customFormat="1" ht="17.25" customHeight="1" x14ac:dyDescent="0.3">
      <c r="A107" s="2193"/>
      <c r="B107" s="2194"/>
      <c r="C107" s="2187"/>
      <c r="D107" s="2012" t="s">
        <v>211</v>
      </c>
      <c r="E107" s="2679" t="s">
        <v>80</v>
      </c>
      <c r="F107" s="2494"/>
      <c r="G107" s="2204"/>
      <c r="H107" s="2052"/>
      <c r="I107" s="811" t="s">
        <v>31</v>
      </c>
      <c r="J107" s="273">
        <v>754.7</v>
      </c>
      <c r="K107" s="1557">
        <v>773.4</v>
      </c>
      <c r="L107" s="1991">
        <v>703.2</v>
      </c>
      <c r="M107" s="436" t="s">
        <v>444</v>
      </c>
      <c r="N107" s="540">
        <v>48</v>
      </c>
      <c r="O107" s="2232">
        <v>48</v>
      </c>
      <c r="P107" s="68"/>
      <c r="Q107" s="68"/>
      <c r="R107" s="1909"/>
    </row>
    <row r="108" spans="1:18" s="3" customFormat="1" ht="27.75" customHeight="1" x14ac:dyDescent="0.3">
      <c r="A108" s="1859"/>
      <c r="B108" s="2194"/>
      <c r="C108" s="2187"/>
      <c r="D108" s="2014"/>
      <c r="E108" s="2680"/>
      <c r="F108" s="2494"/>
      <c r="G108" s="2204"/>
      <c r="H108" s="2052"/>
      <c r="I108" s="1324" t="s">
        <v>28</v>
      </c>
      <c r="J108" s="273">
        <v>32</v>
      </c>
      <c r="K108" s="1557">
        <v>32</v>
      </c>
      <c r="L108" s="1991">
        <v>32</v>
      </c>
      <c r="M108" s="2379" t="s">
        <v>474</v>
      </c>
      <c r="N108" s="2380">
        <v>2</v>
      </c>
      <c r="O108" s="2381">
        <v>1</v>
      </c>
      <c r="P108" s="2382"/>
      <c r="Q108" s="2382" t="s">
        <v>795</v>
      </c>
    </row>
    <row r="109" spans="1:18" s="3" customFormat="1" ht="27.75" customHeight="1" x14ac:dyDescent="0.3">
      <c r="A109" s="1859"/>
      <c r="B109" s="2194"/>
      <c r="C109" s="2187"/>
      <c r="D109" s="2014"/>
      <c r="E109" s="2180"/>
      <c r="F109" s="2494"/>
      <c r="G109" s="2204"/>
      <c r="H109" s="2052"/>
      <c r="I109" s="1324" t="s">
        <v>68</v>
      </c>
      <c r="J109" s="44">
        <v>14.5</v>
      </c>
      <c r="K109" s="1510">
        <v>14.5</v>
      </c>
      <c r="L109" s="1530">
        <v>5.8</v>
      </c>
      <c r="M109" s="2379" t="s">
        <v>475</v>
      </c>
      <c r="N109" s="2380">
        <v>2</v>
      </c>
      <c r="O109" s="2381">
        <v>1</v>
      </c>
      <c r="P109" s="2382"/>
      <c r="Q109" s="2382" t="s">
        <v>795</v>
      </c>
    </row>
    <row r="110" spans="1:18" s="3" customFormat="1" ht="27.75" customHeight="1" x14ac:dyDescent="0.3">
      <c r="A110" s="1859"/>
      <c r="B110" s="2194"/>
      <c r="C110" s="2187"/>
      <c r="D110" s="2013"/>
      <c r="E110" s="2180"/>
      <c r="F110" s="2494"/>
      <c r="G110" s="2204"/>
      <c r="H110" s="2052"/>
      <c r="I110" s="1324" t="s">
        <v>52</v>
      </c>
      <c r="J110" s="44">
        <v>44.6</v>
      </c>
      <c r="K110" s="1510">
        <v>44.6</v>
      </c>
      <c r="L110" s="1530">
        <v>29</v>
      </c>
      <c r="M110" s="2379" t="s">
        <v>476</v>
      </c>
      <c r="N110" s="2380">
        <v>74</v>
      </c>
      <c r="O110" s="2381">
        <v>37</v>
      </c>
      <c r="P110" s="2584" t="s">
        <v>985</v>
      </c>
      <c r="Q110" s="2585"/>
    </row>
    <row r="111" spans="1:18" s="131" customFormat="1" ht="44.25" customHeight="1" x14ac:dyDescent="0.3">
      <c r="A111" s="1859"/>
      <c r="B111" s="2194"/>
      <c r="C111" s="129"/>
      <c r="D111" s="57" t="s">
        <v>214</v>
      </c>
      <c r="E111" s="1236" t="s">
        <v>446</v>
      </c>
      <c r="F111" s="2495"/>
      <c r="G111" s="1733"/>
      <c r="H111" s="2063"/>
      <c r="I111" s="1324" t="s">
        <v>31</v>
      </c>
      <c r="J111" s="338">
        <v>2.6</v>
      </c>
      <c r="K111" s="1475">
        <v>2.6</v>
      </c>
      <c r="L111" s="1530">
        <v>1.8</v>
      </c>
      <c r="M111" s="2383" t="s">
        <v>447</v>
      </c>
      <c r="N111" s="1304">
        <v>5</v>
      </c>
      <c r="O111" s="1866">
        <v>5</v>
      </c>
      <c r="P111" s="1866"/>
      <c r="Q111" s="1866"/>
    </row>
    <row r="112" spans="1:18" s="131" customFormat="1" ht="17.25" customHeight="1" thickBot="1" x14ac:dyDescent="0.35">
      <c r="A112" s="1846"/>
      <c r="B112" s="2207"/>
      <c r="C112" s="1238"/>
      <c r="D112" s="197"/>
      <c r="E112" s="2775" t="s">
        <v>49</v>
      </c>
      <c r="F112" s="2776"/>
      <c r="G112" s="2776"/>
      <c r="H112" s="2776"/>
      <c r="I112" s="2776"/>
      <c r="J112" s="1878">
        <f>SUM(J63:J111)-J85-J86</f>
        <v>6326.4000000000015</v>
      </c>
      <c r="K112" s="1953">
        <f>SUM(K63:K111)-K85-K86</f>
        <v>6632.7000000000007</v>
      </c>
      <c r="L112" s="2168">
        <f>SUM(L63:L111)-L85-L86</f>
        <v>6135.4000000000024</v>
      </c>
      <c r="M112" s="2064"/>
      <c r="N112" s="554"/>
      <c r="O112" s="97"/>
      <c r="P112" s="97"/>
      <c r="Q112" s="97"/>
    </row>
    <row r="113" spans="1:23" s="141" customFormat="1" ht="35.4" customHeight="1" x14ac:dyDescent="0.3">
      <c r="A113" s="2777" t="s">
        <v>22</v>
      </c>
      <c r="B113" s="2779" t="s">
        <v>50</v>
      </c>
      <c r="C113" s="2781" t="s">
        <v>50</v>
      </c>
      <c r="D113" s="2030"/>
      <c r="E113" s="2763" t="s">
        <v>81</v>
      </c>
      <c r="F113" s="2784" t="s">
        <v>321</v>
      </c>
      <c r="G113" s="2786" t="s">
        <v>27</v>
      </c>
      <c r="H113" s="2690" t="s">
        <v>490</v>
      </c>
      <c r="I113" s="864" t="s">
        <v>31</v>
      </c>
      <c r="J113" s="1302">
        <v>445.7</v>
      </c>
      <c r="K113" s="1494">
        <v>491.7</v>
      </c>
      <c r="L113" s="2254">
        <v>491.7</v>
      </c>
      <c r="M113" s="2586" t="s">
        <v>275</v>
      </c>
      <c r="N113" s="1954">
        <v>110</v>
      </c>
      <c r="O113" s="2065">
        <v>138</v>
      </c>
      <c r="P113" s="2586" t="s">
        <v>1010</v>
      </c>
      <c r="Q113" s="2587"/>
      <c r="R113" s="147"/>
    </row>
    <row r="114" spans="1:23" s="147" customFormat="1" ht="21.75" customHeight="1" thickBot="1" x14ac:dyDescent="0.35">
      <c r="A114" s="2778"/>
      <c r="B114" s="2780"/>
      <c r="C114" s="2782"/>
      <c r="D114" s="2066"/>
      <c r="E114" s="2783"/>
      <c r="F114" s="2785"/>
      <c r="G114" s="2787"/>
      <c r="H114" s="2750"/>
      <c r="I114" s="469" t="s">
        <v>36</v>
      </c>
      <c r="J114" s="143">
        <f>SUM(J113)</f>
        <v>445.7</v>
      </c>
      <c r="K114" s="1489">
        <f>SUM(K113)</f>
        <v>491.7</v>
      </c>
      <c r="L114" s="1583">
        <f>SUM(L113)</f>
        <v>491.7</v>
      </c>
      <c r="M114" s="2588"/>
      <c r="N114" s="1995"/>
      <c r="O114" s="2067"/>
      <c r="P114" s="2588"/>
      <c r="Q114" s="2589"/>
    </row>
    <row r="115" spans="1:23" s="2" customFormat="1" ht="42" customHeight="1" x14ac:dyDescent="0.3">
      <c r="A115" s="1852" t="s">
        <v>22</v>
      </c>
      <c r="B115" s="149" t="s">
        <v>50</v>
      </c>
      <c r="C115" s="10" t="s">
        <v>54</v>
      </c>
      <c r="D115" s="2008"/>
      <c r="E115" s="2601" t="s">
        <v>82</v>
      </c>
      <c r="F115" s="2496"/>
      <c r="G115" s="606" t="s">
        <v>27</v>
      </c>
      <c r="H115" s="2025" t="s">
        <v>490</v>
      </c>
      <c r="I115" s="864"/>
      <c r="J115" s="1853"/>
      <c r="K115" s="1955"/>
      <c r="L115" s="2169"/>
      <c r="M115" s="2190"/>
      <c r="N115" s="1934"/>
      <c r="O115" s="2216"/>
      <c r="P115" s="656"/>
      <c r="Q115" s="155"/>
    </row>
    <row r="116" spans="1:23" s="2" customFormat="1" ht="40.200000000000003" customHeight="1" x14ac:dyDescent="0.3">
      <c r="A116" s="1854"/>
      <c r="B116" s="157"/>
      <c r="C116" s="19"/>
      <c r="D116" s="2009"/>
      <c r="E116" s="2602"/>
      <c r="F116" s="2497"/>
      <c r="G116" s="187"/>
      <c r="H116" s="591"/>
      <c r="I116" s="2068"/>
      <c r="J116" s="70"/>
      <c r="K116" s="1503"/>
      <c r="L116" s="2170"/>
      <c r="M116" s="436"/>
      <c r="N116" s="2253"/>
      <c r="O116" s="2242"/>
      <c r="P116" s="2462"/>
      <c r="Q116" s="2464"/>
    </row>
    <row r="117" spans="1:23" s="2" customFormat="1" ht="82.95" customHeight="1" x14ac:dyDescent="0.3">
      <c r="A117" s="1854"/>
      <c r="B117" s="157"/>
      <c r="C117" s="19"/>
      <c r="D117" s="2069" t="s">
        <v>22</v>
      </c>
      <c r="E117" s="65" t="s">
        <v>217</v>
      </c>
      <c r="F117" s="1880"/>
      <c r="G117" s="187"/>
      <c r="H117" s="2070"/>
      <c r="I117" s="2071" t="s">
        <v>31</v>
      </c>
      <c r="J117" s="359">
        <v>79.599999999999994</v>
      </c>
      <c r="K117" s="1621">
        <v>68.599999999999994</v>
      </c>
      <c r="L117" s="2140">
        <v>65.7</v>
      </c>
      <c r="M117" s="2213" t="s">
        <v>1038</v>
      </c>
      <c r="N117" s="1799" t="s">
        <v>506</v>
      </c>
      <c r="O117" s="54" t="s">
        <v>986</v>
      </c>
      <c r="P117" s="52"/>
      <c r="Q117" s="2371"/>
      <c r="R117" s="1957"/>
      <c r="U117" s="3"/>
    </row>
    <row r="118" spans="1:23" s="2" customFormat="1" ht="62.25" customHeight="1" x14ac:dyDescent="0.3">
      <c r="A118" s="1854"/>
      <c r="B118" s="157"/>
      <c r="C118" s="19"/>
      <c r="D118" s="2009" t="s">
        <v>50</v>
      </c>
      <c r="E118" s="65" t="s">
        <v>219</v>
      </c>
      <c r="F118" s="1880" t="s">
        <v>324</v>
      </c>
      <c r="G118" s="187"/>
      <c r="H118" s="2070"/>
      <c r="I118" s="2071" t="s">
        <v>31</v>
      </c>
      <c r="J118" s="1999">
        <v>71.3</v>
      </c>
      <c r="K118" s="2000">
        <v>69.3</v>
      </c>
      <c r="L118" s="2258">
        <v>67.5</v>
      </c>
      <c r="M118" s="2530" t="s">
        <v>220</v>
      </c>
      <c r="N118" s="929">
        <v>19</v>
      </c>
      <c r="O118" s="560">
        <v>18</v>
      </c>
      <c r="P118" s="2458" t="s">
        <v>987</v>
      </c>
      <c r="Q118" s="276"/>
      <c r="W118" s="3"/>
    </row>
    <row r="119" spans="1:23" s="2" customFormat="1" ht="69" customHeight="1" x14ac:dyDescent="0.3">
      <c r="A119" s="1854"/>
      <c r="B119" s="157"/>
      <c r="C119" s="19"/>
      <c r="D119" s="2069" t="s">
        <v>54</v>
      </c>
      <c r="E119" s="1395" t="s">
        <v>221</v>
      </c>
      <c r="F119" s="2498"/>
      <c r="G119" s="187"/>
      <c r="H119" s="2070"/>
      <c r="I119" s="1982" t="s">
        <v>31</v>
      </c>
      <c r="J119" s="1887">
        <v>132.30000000000001</v>
      </c>
      <c r="K119" s="1644">
        <v>132.30000000000001</v>
      </c>
      <c r="L119" s="2258">
        <v>130.5</v>
      </c>
      <c r="M119" s="2531" t="s">
        <v>1039</v>
      </c>
      <c r="N119" s="691">
        <v>34</v>
      </c>
      <c r="O119" s="688">
        <v>34</v>
      </c>
      <c r="P119" s="690"/>
      <c r="Q119" s="116"/>
      <c r="R119" s="1957"/>
      <c r="S119" s="3"/>
    </row>
    <row r="120" spans="1:23" s="2" customFormat="1" ht="56.25" customHeight="1" x14ac:dyDescent="0.3">
      <c r="A120" s="1854"/>
      <c r="B120" s="157"/>
      <c r="C120" s="19"/>
      <c r="D120" s="2009" t="s">
        <v>56</v>
      </c>
      <c r="E120" s="1395" t="s">
        <v>223</v>
      </c>
      <c r="F120" s="2499" t="s">
        <v>312</v>
      </c>
      <c r="G120" s="187"/>
      <c r="H120" s="2070"/>
      <c r="I120" s="1985" t="s">
        <v>31</v>
      </c>
      <c r="J120" s="1887">
        <v>267</v>
      </c>
      <c r="K120" s="1644">
        <v>332</v>
      </c>
      <c r="L120" s="2258">
        <v>331.2</v>
      </c>
      <c r="M120" s="2532" t="s">
        <v>448</v>
      </c>
      <c r="N120" s="760">
        <v>150</v>
      </c>
      <c r="O120" s="2215">
        <v>161</v>
      </c>
      <c r="P120" s="2459" t="s">
        <v>1040</v>
      </c>
      <c r="Q120" s="2457"/>
      <c r="R120" s="3"/>
    </row>
    <row r="121" spans="1:23" s="2" customFormat="1" ht="66.599999999999994" customHeight="1" x14ac:dyDescent="0.3">
      <c r="A121" s="1854"/>
      <c r="B121" s="157"/>
      <c r="C121" s="19"/>
      <c r="D121" s="2069" t="s">
        <v>59</v>
      </c>
      <c r="E121" s="998" t="s">
        <v>283</v>
      </c>
      <c r="F121" s="2500" t="s">
        <v>311</v>
      </c>
      <c r="G121" s="187"/>
      <c r="H121" s="2070"/>
      <c r="I121" s="1956" t="s">
        <v>31</v>
      </c>
      <c r="J121" s="1864">
        <v>41.2</v>
      </c>
      <c r="K121" s="1622">
        <v>26.2</v>
      </c>
      <c r="L121" s="2125">
        <v>17.899999999999999</v>
      </c>
      <c r="M121" s="2533" t="s">
        <v>449</v>
      </c>
      <c r="N121" s="691">
        <v>95</v>
      </c>
      <c r="O121" s="688">
        <v>95</v>
      </c>
      <c r="P121" s="690"/>
      <c r="Q121" s="116"/>
      <c r="R121" s="3"/>
      <c r="V121" s="3"/>
    </row>
    <row r="122" spans="1:23" s="2" customFormat="1" ht="42" customHeight="1" x14ac:dyDescent="0.3">
      <c r="A122" s="2193"/>
      <c r="B122" s="2194"/>
      <c r="C122" s="2187"/>
      <c r="D122" s="2014" t="s">
        <v>97</v>
      </c>
      <c r="E122" s="918" t="s">
        <v>282</v>
      </c>
      <c r="F122" s="2501" t="s">
        <v>322</v>
      </c>
      <c r="G122" s="2188"/>
      <c r="H122" s="926"/>
      <c r="I122" s="870" t="s">
        <v>31</v>
      </c>
      <c r="J122" s="359">
        <v>23.6</v>
      </c>
      <c r="K122" s="1621">
        <v>8.6</v>
      </c>
      <c r="L122" s="2140">
        <v>8.3000000000000007</v>
      </c>
      <c r="M122" s="2533" t="s">
        <v>450</v>
      </c>
      <c r="N122" s="2360">
        <v>1</v>
      </c>
      <c r="O122" s="2072">
        <v>1</v>
      </c>
      <c r="P122" s="2527"/>
      <c r="Q122" s="2523"/>
    </row>
    <row r="123" spans="1:23" s="2" customFormat="1" ht="27.6" customHeight="1" x14ac:dyDescent="0.3">
      <c r="A123" s="2193"/>
      <c r="B123" s="2194"/>
      <c r="C123" s="2187"/>
      <c r="D123" s="2012" t="s">
        <v>100</v>
      </c>
      <c r="E123" s="2767" t="s">
        <v>88</v>
      </c>
      <c r="F123" s="2603" t="s">
        <v>313</v>
      </c>
      <c r="G123" s="2188"/>
      <c r="H123" s="926"/>
      <c r="I123" s="1956" t="s">
        <v>31</v>
      </c>
      <c r="J123" s="1864">
        <v>31.2</v>
      </c>
      <c r="K123" s="1622">
        <v>31.2</v>
      </c>
      <c r="L123" s="2125">
        <v>26.8</v>
      </c>
      <c r="M123" s="2769" t="s">
        <v>451</v>
      </c>
      <c r="N123" s="2361">
        <v>20</v>
      </c>
      <c r="O123" s="2073">
        <v>22</v>
      </c>
      <c r="P123" s="2590" t="s">
        <v>988</v>
      </c>
      <c r="Q123" s="2524"/>
    </row>
    <row r="124" spans="1:23" s="2" customFormat="1" ht="19.5" customHeight="1" thickBot="1" x14ac:dyDescent="0.35">
      <c r="A124" s="2206"/>
      <c r="B124" s="2207"/>
      <c r="C124" s="2191"/>
      <c r="D124" s="2020"/>
      <c r="E124" s="2768"/>
      <c r="F124" s="2604"/>
      <c r="G124" s="2192"/>
      <c r="H124" s="2074"/>
      <c r="I124" s="455" t="s">
        <v>36</v>
      </c>
      <c r="J124" s="75">
        <f>SUM(J117:J123)</f>
        <v>646.20000000000016</v>
      </c>
      <c r="K124" s="1478">
        <f>SUM(K117:K123)</f>
        <v>668.20000000000016</v>
      </c>
      <c r="L124" s="1534">
        <f>SUM(L117:L123)</f>
        <v>647.89999999999986</v>
      </c>
      <c r="M124" s="2770"/>
      <c r="N124" s="2362"/>
      <c r="O124" s="2075"/>
      <c r="P124" s="2591"/>
      <c r="Q124" s="2525"/>
    </row>
    <row r="125" spans="1:23" s="2" customFormat="1" ht="15.75" customHeight="1" x14ac:dyDescent="0.3">
      <c r="A125" s="1852" t="s">
        <v>22</v>
      </c>
      <c r="B125" s="149" t="s">
        <v>50</v>
      </c>
      <c r="C125" s="10" t="s">
        <v>56</v>
      </c>
      <c r="D125" s="2008"/>
      <c r="E125" s="2771" t="s">
        <v>89</v>
      </c>
      <c r="F125" s="2773" t="s">
        <v>317</v>
      </c>
      <c r="G125" s="606" t="s">
        <v>27</v>
      </c>
      <c r="H125" s="2690" t="s">
        <v>490</v>
      </c>
      <c r="I125" s="1959"/>
      <c r="J125" s="1881"/>
      <c r="K125" s="1960"/>
      <c r="L125" s="2171"/>
      <c r="M125" s="2208"/>
      <c r="N125" s="548"/>
      <c r="O125" s="79"/>
      <c r="P125" s="78"/>
      <c r="Q125" s="2461"/>
    </row>
    <row r="126" spans="1:23" s="2" customFormat="1" ht="15.75" customHeight="1" x14ac:dyDescent="0.3">
      <c r="A126" s="1854"/>
      <c r="B126" s="157"/>
      <c r="C126" s="19"/>
      <c r="D126" s="2009"/>
      <c r="E126" s="2772"/>
      <c r="F126" s="2774"/>
      <c r="G126" s="187"/>
      <c r="H126" s="2685"/>
      <c r="I126" s="298"/>
      <c r="J126" s="2172"/>
      <c r="K126" s="2146"/>
      <c r="L126" s="2173"/>
      <c r="M126" s="95"/>
      <c r="N126" s="542"/>
      <c r="O126" s="84"/>
      <c r="P126" s="320"/>
      <c r="Q126" s="41"/>
    </row>
    <row r="127" spans="1:23" s="2" customFormat="1" ht="42" customHeight="1" x14ac:dyDescent="0.3">
      <c r="A127" s="1854"/>
      <c r="B127" s="157"/>
      <c r="C127" s="19"/>
      <c r="D127" s="2010" t="s">
        <v>22</v>
      </c>
      <c r="E127" s="33" t="s">
        <v>91</v>
      </c>
      <c r="F127" s="2774"/>
      <c r="G127" s="187"/>
      <c r="H127" s="2685"/>
      <c r="I127" s="2076" t="s">
        <v>31</v>
      </c>
      <c r="J127" s="1968">
        <v>41.9</v>
      </c>
      <c r="K127" s="1882">
        <v>41.9</v>
      </c>
      <c r="L127" s="2259">
        <v>41.9</v>
      </c>
      <c r="M127" s="162" t="s">
        <v>1041</v>
      </c>
      <c r="N127" s="498">
        <v>19</v>
      </c>
      <c r="O127" s="419">
        <v>21</v>
      </c>
      <c r="P127" s="1971" t="s">
        <v>835</v>
      </c>
      <c r="Q127" s="643"/>
      <c r="R127" s="1961"/>
      <c r="T127" s="3"/>
      <c r="V127" s="3"/>
    </row>
    <row r="128" spans="1:23" s="2" customFormat="1" ht="14.25" customHeight="1" x14ac:dyDescent="0.3">
      <c r="A128" s="2754"/>
      <c r="B128" s="2756"/>
      <c r="C128" s="2187"/>
      <c r="D128" s="2012" t="s">
        <v>50</v>
      </c>
      <c r="E128" s="2789" t="s">
        <v>93</v>
      </c>
      <c r="F128" s="2774"/>
      <c r="G128" s="2189"/>
      <c r="H128" s="2077"/>
      <c r="I128" s="2068" t="s">
        <v>31</v>
      </c>
      <c r="J128" s="1883">
        <v>51.5</v>
      </c>
      <c r="K128" s="1970">
        <v>51.5</v>
      </c>
      <c r="L128" s="2260">
        <v>51.5</v>
      </c>
      <c r="M128" s="2788" t="s">
        <v>233</v>
      </c>
      <c r="N128" s="1962" t="s">
        <v>477</v>
      </c>
      <c r="O128" s="2078" t="s">
        <v>138</v>
      </c>
      <c r="P128" s="2528"/>
      <c r="Q128" s="2526"/>
    </row>
    <row r="129" spans="1:22" s="2" customFormat="1" ht="14.25" customHeight="1" x14ac:dyDescent="0.3">
      <c r="A129" s="2754"/>
      <c r="B129" s="2756"/>
      <c r="C129" s="2187"/>
      <c r="D129" s="2014"/>
      <c r="E129" s="2665"/>
      <c r="F129" s="2503"/>
      <c r="G129" s="2189"/>
      <c r="H129" s="2077"/>
      <c r="I129" s="39" t="s">
        <v>52</v>
      </c>
      <c r="J129" s="1824">
        <v>230.4</v>
      </c>
      <c r="K129" s="1468">
        <v>230.4</v>
      </c>
      <c r="L129" s="2761">
        <v>240.8</v>
      </c>
      <c r="M129" s="2788"/>
      <c r="N129" s="1916"/>
      <c r="O129" s="57"/>
      <c r="P129" s="55"/>
      <c r="Q129" s="1257"/>
      <c r="V129" s="3"/>
    </row>
    <row r="130" spans="1:22" s="2" customFormat="1" ht="14.25" customHeight="1" x14ac:dyDescent="0.3">
      <c r="A130" s="2754"/>
      <c r="B130" s="2756"/>
      <c r="C130" s="2187" t="s">
        <v>397</v>
      </c>
      <c r="D130" s="2014"/>
      <c r="E130" s="2665"/>
      <c r="F130" s="2504"/>
      <c r="G130" s="2189"/>
      <c r="H130" s="2077"/>
      <c r="I130" s="1324" t="s">
        <v>52</v>
      </c>
      <c r="J130" s="44">
        <v>11.5</v>
      </c>
      <c r="K130" s="1510">
        <v>11.5</v>
      </c>
      <c r="L130" s="2762"/>
      <c r="M130" s="2788"/>
      <c r="N130" s="1916"/>
      <c r="O130" s="57"/>
      <c r="P130" s="55"/>
      <c r="Q130" s="1257"/>
    </row>
    <row r="131" spans="1:22" s="2" customFormat="1" ht="14.25" customHeight="1" thickBot="1" x14ac:dyDescent="0.35">
      <c r="A131" s="2206"/>
      <c r="B131" s="2207"/>
      <c r="C131" s="2191"/>
      <c r="D131" s="2020"/>
      <c r="E131" s="2666"/>
      <c r="F131" s="2502"/>
      <c r="G131" s="2222"/>
      <c r="H131" s="2079"/>
      <c r="I131" s="469" t="s">
        <v>36</v>
      </c>
      <c r="J131" s="143">
        <f>SUM(J127:J130)</f>
        <v>335.3</v>
      </c>
      <c r="K131" s="1489">
        <f>SUM(K127:K130)</f>
        <v>335.3</v>
      </c>
      <c r="L131" s="1583">
        <f>SUM(L127:L130)</f>
        <v>334.20000000000005</v>
      </c>
      <c r="M131" s="2080"/>
      <c r="N131" s="1963"/>
      <c r="O131" s="197"/>
      <c r="P131" s="195"/>
      <c r="Q131" s="1258"/>
    </row>
    <row r="132" spans="1:22" s="2" customFormat="1" ht="28.2" customHeight="1" x14ac:dyDescent="0.3">
      <c r="A132" s="2753" t="s">
        <v>22</v>
      </c>
      <c r="B132" s="2755" t="s">
        <v>50</v>
      </c>
      <c r="C132" s="2186" t="s">
        <v>59</v>
      </c>
      <c r="D132" s="2081"/>
      <c r="E132" s="2757" t="s">
        <v>94</v>
      </c>
      <c r="F132" s="2505"/>
      <c r="G132" s="2082" t="s">
        <v>95</v>
      </c>
      <c r="H132" s="2743" t="s">
        <v>508</v>
      </c>
      <c r="I132" s="1959" t="s">
        <v>31</v>
      </c>
      <c r="J132" s="221">
        <v>90</v>
      </c>
      <c r="K132" s="1501">
        <v>90</v>
      </c>
      <c r="L132" s="2142">
        <v>75</v>
      </c>
      <c r="M132" s="2083" t="s">
        <v>96</v>
      </c>
      <c r="N132" s="2363">
        <v>22</v>
      </c>
      <c r="O132" s="2084">
        <v>27</v>
      </c>
      <c r="P132" s="2650" t="s">
        <v>989</v>
      </c>
      <c r="Q132" s="2651"/>
    </row>
    <row r="133" spans="1:22" s="2" customFormat="1" ht="42.75" customHeight="1" x14ac:dyDescent="0.3">
      <c r="A133" s="2754"/>
      <c r="B133" s="2756"/>
      <c r="C133" s="2187"/>
      <c r="D133" s="2014"/>
      <c r="E133" s="2680"/>
      <c r="F133" s="2506"/>
      <c r="G133" s="1964"/>
      <c r="H133" s="2744"/>
      <c r="I133" s="1270" t="s">
        <v>52</v>
      </c>
      <c r="J133" s="71">
        <v>110</v>
      </c>
      <c r="K133" s="1477">
        <v>118.1</v>
      </c>
      <c r="L133" s="2138">
        <v>116.7</v>
      </c>
      <c r="M133" s="2085" t="s">
        <v>276</v>
      </c>
      <c r="N133" s="2364">
        <v>10</v>
      </c>
      <c r="O133" s="2086">
        <v>5</v>
      </c>
      <c r="P133" s="2393"/>
      <c r="Q133" s="2391" t="s">
        <v>990</v>
      </c>
    </row>
    <row r="134" spans="1:22" s="2" customFormat="1" ht="15.75" customHeight="1" x14ac:dyDescent="0.3">
      <c r="A134" s="2754"/>
      <c r="B134" s="2756"/>
      <c r="C134" s="2187"/>
      <c r="D134" s="2014"/>
      <c r="E134" s="2680"/>
      <c r="F134" s="2506"/>
      <c r="G134" s="1964"/>
      <c r="H134" s="2087"/>
      <c r="I134" s="1269"/>
      <c r="J134" s="1824"/>
      <c r="K134" s="1468"/>
      <c r="L134" s="2141"/>
      <c r="M134" s="2759" t="s">
        <v>409</v>
      </c>
      <c r="N134" s="675">
        <v>30</v>
      </c>
      <c r="O134" s="2217">
        <v>30</v>
      </c>
      <c r="P134" s="2546" t="s">
        <v>849</v>
      </c>
      <c r="Q134" s="1912"/>
    </row>
    <row r="135" spans="1:22" s="2" customFormat="1" ht="16.5" customHeight="1" thickBot="1" x14ac:dyDescent="0.35">
      <c r="A135" s="2193"/>
      <c r="B135" s="2194"/>
      <c r="C135" s="2187"/>
      <c r="D135" s="2014"/>
      <c r="E135" s="2758"/>
      <c r="F135" s="2506"/>
      <c r="G135" s="1964"/>
      <c r="H135" s="2087"/>
      <c r="I135" s="2088" t="s">
        <v>36</v>
      </c>
      <c r="J135" s="75">
        <f>SUM(J132:J134)</f>
        <v>200</v>
      </c>
      <c r="K135" s="1478">
        <f>SUM(K132:K134)</f>
        <v>208.1</v>
      </c>
      <c r="L135" s="1534">
        <f>SUM(L132:L134)</f>
        <v>191.7</v>
      </c>
      <c r="M135" s="2760"/>
      <c r="N135" s="2365"/>
      <c r="O135" s="1942"/>
      <c r="P135" s="2547"/>
      <c r="Q135" s="2392"/>
    </row>
    <row r="136" spans="1:22" s="2" customFormat="1" ht="28.95" customHeight="1" x14ac:dyDescent="0.3">
      <c r="A136" s="2197" t="s">
        <v>22</v>
      </c>
      <c r="B136" s="2198" t="s">
        <v>50</v>
      </c>
      <c r="C136" s="2186" t="s">
        <v>97</v>
      </c>
      <c r="D136" s="2081"/>
      <c r="E136" s="2763" t="s">
        <v>301</v>
      </c>
      <c r="F136" s="2507"/>
      <c r="G136" s="2765">
        <v>3</v>
      </c>
      <c r="H136" s="2690" t="s">
        <v>490</v>
      </c>
      <c r="I136" s="1959" t="s">
        <v>31</v>
      </c>
      <c r="J136" s="1965">
        <v>5</v>
      </c>
      <c r="K136" s="1966">
        <v>5</v>
      </c>
      <c r="L136" s="2142">
        <v>4.4000000000000004</v>
      </c>
      <c r="M136" s="2578" t="s">
        <v>302</v>
      </c>
      <c r="N136" s="1967">
        <v>2</v>
      </c>
      <c r="O136" s="2089">
        <v>2</v>
      </c>
      <c r="P136" s="2831" t="s">
        <v>1011</v>
      </c>
      <c r="Q136" s="211"/>
    </row>
    <row r="137" spans="1:22" s="2" customFormat="1" ht="16.5" customHeight="1" thickBot="1" x14ac:dyDescent="0.35">
      <c r="A137" s="2193"/>
      <c r="B137" s="2194"/>
      <c r="C137" s="2187"/>
      <c r="D137" s="2014"/>
      <c r="E137" s="2764"/>
      <c r="F137" s="2508"/>
      <c r="G137" s="2766"/>
      <c r="H137" s="2750"/>
      <c r="I137" s="2090" t="s">
        <v>36</v>
      </c>
      <c r="J137" s="37">
        <f>J136</f>
        <v>5</v>
      </c>
      <c r="K137" s="1472">
        <f>K136</f>
        <v>5</v>
      </c>
      <c r="L137" s="1529">
        <f>L136</f>
        <v>4.4000000000000004</v>
      </c>
      <c r="M137" s="2582"/>
      <c r="N137" s="1919"/>
      <c r="O137" s="1826"/>
      <c r="P137" s="2547"/>
      <c r="Q137" s="48"/>
    </row>
    <row r="138" spans="1:22" s="2" customFormat="1" ht="16.5" customHeight="1" x14ac:dyDescent="0.3">
      <c r="A138" s="2725" t="s">
        <v>22</v>
      </c>
      <c r="B138" s="2728" t="s">
        <v>50</v>
      </c>
      <c r="C138" s="2731" t="s">
        <v>100</v>
      </c>
      <c r="D138" s="2397"/>
      <c r="E138" s="2734" t="s">
        <v>337</v>
      </c>
      <c r="F138" s="2737"/>
      <c r="G138" s="2740">
        <v>3</v>
      </c>
      <c r="H138" s="2743" t="s">
        <v>490</v>
      </c>
      <c r="I138" s="107" t="s">
        <v>28</v>
      </c>
      <c r="J138" s="221">
        <f>162.8-34.6</f>
        <v>128.20000000000002</v>
      </c>
      <c r="K138" s="1501">
        <v>91.9</v>
      </c>
      <c r="L138" s="2142">
        <v>45.1</v>
      </c>
      <c r="M138" s="2398" t="s">
        <v>333</v>
      </c>
      <c r="N138" s="628">
        <v>350</v>
      </c>
      <c r="O138" s="376">
        <v>1073</v>
      </c>
      <c r="P138" s="2447"/>
      <c r="Q138" s="2394"/>
    </row>
    <row r="139" spans="1:22" s="2" customFormat="1" ht="16.5" customHeight="1" x14ac:dyDescent="0.3">
      <c r="A139" s="2726"/>
      <c r="B139" s="2729"/>
      <c r="C139" s="2732"/>
      <c r="D139" s="2078"/>
      <c r="E139" s="2735"/>
      <c r="F139" s="2738"/>
      <c r="G139" s="2741"/>
      <c r="H139" s="2744"/>
      <c r="I139" s="383" t="s">
        <v>509</v>
      </c>
      <c r="J139" s="1968">
        <v>34.6</v>
      </c>
      <c r="K139" s="1882">
        <v>34.6</v>
      </c>
      <c r="L139" s="2259">
        <v>34</v>
      </c>
      <c r="M139" s="1851"/>
      <c r="N139" s="496"/>
      <c r="O139" s="2444"/>
      <c r="P139" s="2448"/>
      <c r="Q139" s="2395"/>
    </row>
    <row r="140" spans="1:22" s="2" customFormat="1" ht="16.5" customHeight="1" x14ac:dyDescent="0.3">
      <c r="A140" s="2726"/>
      <c r="B140" s="2729"/>
      <c r="C140" s="2732"/>
      <c r="D140" s="2078"/>
      <c r="E140" s="2735"/>
      <c r="F140" s="2738"/>
      <c r="G140" s="2741"/>
      <c r="H140" s="2744"/>
      <c r="I140" s="383" t="s">
        <v>334</v>
      </c>
      <c r="J140" s="1968">
        <f>365.4-77.8</f>
        <v>287.59999999999997</v>
      </c>
      <c r="K140" s="1882">
        <v>206.5</v>
      </c>
      <c r="L140" s="2259">
        <v>201.6</v>
      </c>
      <c r="M140" s="1851"/>
      <c r="N140" s="496"/>
      <c r="O140" s="2444"/>
      <c r="P140" s="2448"/>
      <c r="Q140" s="2395"/>
    </row>
    <row r="141" spans="1:22" s="2" customFormat="1" ht="16.5" customHeight="1" x14ac:dyDescent="0.3">
      <c r="A141" s="2726"/>
      <c r="B141" s="2729"/>
      <c r="C141" s="2732"/>
      <c r="D141" s="2078"/>
      <c r="E141" s="2735"/>
      <c r="F141" s="2738"/>
      <c r="G141" s="2741"/>
      <c r="H141" s="2744"/>
      <c r="I141" s="383" t="s">
        <v>399</v>
      </c>
      <c r="J141" s="1858">
        <v>77.8</v>
      </c>
      <c r="K141" s="1969">
        <v>77.8</v>
      </c>
      <c r="L141" s="2261">
        <v>76.8</v>
      </c>
      <c r="M141" s="1851"/>
      <c r="N141" s="496"/>
      <c r="O141" s="2444"/>
      <c r="P141" s="2448"/>
      <c r="Q141" s="2395"/>
    </row>
    <row r="142" spans="1:22" s="2" customFormat="1" ht="15" customHeight="1" thickBot="1" x14ac:dyDescent="0.35">
      <c r="A142" s="2727"/>
      <c r="B142" s="2730"/>
      <c r="C142" s="2733"/>
      <c r="D142" s="2399"/>
      <c r="E142" s="2736"/>
      <c r="F142" s="2739"/>
      <c r="G142" s="2742"/>
      <c r="H142" s="2745"/>
      <c r="I142" s="455" t="s">
        <v>36</v>
      </c>
      <c r="J142" s="75">
        <f>SUM(J138:J141)</f>
        <v>528.19999999999993</v>
      </c>
      <c r="K142" s="1478">
        <f>SUM(K138:K141)</f>
        <v>410.8</v>
      </c>
      <c r="L142" s="1534">
        <f>SUM(L138:L141)</f>
        <v>357.5</v>
      </c>
      <c r="M142" s="2064"/>
      <c r="N142" s="2400"/>
      <c r="O142" s="2075"/>
      <c r="P142" s="2449"/>
      <c r="Q142" s="2396"/>
    </row>
    <row r="143" spans="1:22" s="2" customFormat="1" ht="18.75" customHeight="1" x14ac:dyDescent="0.3">
      <c r="A143" s="2725" t="s">
        <v>22</v>
      </c>
      <c r="B143" s="2728" t="s">
        <v>50</v>
      </c>
      <c r="C143" s="2731" t="s">
        <v>211</v>
      </c>
      <c r="D143" s="2081"/>
      <c r="E143" s="2751" t="s">
        <v>410</v>
      </c>
      <c r="F143" s="2746"/>
      <c r="G143" s="2748">
        <v>3</v>
      </c>
      <c r="H143" s="2690" t="s">
        <v>490</v>
      </c>
      <c r="I143" s="15" t="s">
        <v>31</v>
      </c>
      <c r="J143" s="338">
        <v>39.5</v>
      </c>
      <c r="K143" s="1479">
        <v>39.5</v>
      </c>
      <c r="L143" s="1414">
        <v>6.8</v>
      </c>
      <c r="M143" s="2599" t="s">
        <v>452</v>
      </c>
      <c r="N143" s="628">
        <v>1</v>
      </c>
      <c r="O143" s="376">
        <v>1</v>
      </c>
      <c r="P143" s="2548" t="s">
        <v>876</v>
      </c>
      <c r="Q143" s="2549"/>
    </row>
    <row r="144" spans="1:22" s="2" customFormat="1" ht="24" customHeight="1" x14ac:dyDescent="0.3">
      <c r="A144" s="2726"/>
      <c r="B144" s="2729"/>
      <c r="C144" s="2732"/>
      <c r="D144" s="2014"/>
      <c r="E144" s="2752"/>
      <c r="F144" s="2747"/>
      <c r="G144" s="2749"/>
      <c r="H144" s="2685"/>
      <c r="I144" s="30" t="s">
        <v>334</v>
      </c>
      <c r="J144" s="1858">
        <v>223.6</v>
      </c>
      <c r="K144" s="1969">
        <v>223.6</v>
      </c>
      <c r="L144" s="2262">
        <v>38.4</v>
      </c>
      <c r="M144" s="2600"/>
      <c r="N144" s="492"/>
      <c r="O144" s="2232"/>
      <c r="P144" s="2550"/>
      <c r="Q144" s="2551"/>
    </row>
    <row r="145" spans="1:21" s="2" customFormat="1" ht="66.75" customHeight="1" x14ac:dyDescent="0.3">
      <c r="A145" s="2726"/>
      <c r="B145" s="2729"/>
      <c r="C145" s="2732"/>
      <c r="D145" s="2014"/>
      <c r="E145" s="2752"/>
      <c r="F145" s="2747"/>
      <c r="G145" s="2749"/>
      <c r="H145" s="926"/>
      <c r="I145" s="39"/>
      <c r="J145" s="1883"/>
      <c r="K145" s="1970"/>
      <c r="L145" s="2130"/>
      <c r="M145" s="2386" t="s">
        <v>478</v>
      </c>
      <c r="N145" s="2387">
        <v>340</v>
      </c>
      <c r="O145" s="2388">
        <v>0</v>
      </c>
      <c r="P145" s="2552" t="s">
        <v>1012</v>
      </c>
      <c r="Q145" s="2553"/>
      <c r="U145" s="3"/>
    </row>
    <row r="146" spans="1:21" s="2" customFormat="1" ht="15.75" customHeight="1" thickBot="1" x14ac:dyDescent="0.35">
      <c r="A146" s="2726"/>
      <c r="B146" s="2729"/>
      <c r="C146" s="2732"/>
      <c r="D146" s="2014"/>
      <c r="E146" s="2735"/>
      <c r="F146" s="2747"/>
      <c r="G146" s="2749"/>
      <c r="H146" s="926"/>
      <c r="I146" s="455" t="s">
        <v>36</v>
      </c>
      <c r="J146" s="1884">
        <f>SUM(J143:J145)</f>
        <v>263.10000000000002</v>
      </c>
      <c r="K146" s="1972">
        <f>SUM(K143:K145)</f>
        <v>263.10000000000002</v>
      </c>
      <c r="L146" s="1425">
        <f>SUM(L143:L145)</f>
        <v>45.199999999999996</v>
      </c>
      <c r="M146" s="2389"/>
      <c r="N146" s="2390"/>
      <c r="O146" s="2385"/>
      <c r="P146" s="2554"/>
      <c r="Q146" s="2555"/>
    </row>
    <row r="147" spans="1:21" s="2" customFormat="1" ht="23.4" customHeight="1" x14ac:dyDescent="0.3">
      <c r="A147" s="2725" t="s">
        <v>22</v>
      </c>
      <c r="B147" s="2728" t="s">
        <v>50</v>
      </c>
      <c r="C147" s="2731" t="s">
        <v>214</v>
      </c>
      <c r="D147" s="2081"/>
      <c r="E147" s="2734" t="s">
        <v>411</v>
      </c>
      <c r="F147" s="2746"/>
      <c r="G147" s="2748">
        <v>5</v>
      </c>
      <c r="H147" s="2690" t="s">
        <v>510</v>
      </c>
      <c r="I147" s="1973" t="s">
        <v>31</v>
      </c>
      <c r="J147" s="1856">
        <f>137.3-50</f>
        <v>87.300000000000011</v>
      </c>
      <c r="K147" s="1938">
        <f>137.3-50</f>
        <v>87.300000000000011</v>
      </c>
      <c r="L147" s="2256">
        <v>43.3</v>
      </c>
      <c r="M147" s="2091" t="s">
        <v>412</v>
      </c>
      <c r="N147" s="628">
        <v>12</v>
      </c>
      <c r="O147" s="376">
        <v>10</v>
      </c>
      <c r="P147" s="2548" t="s">
        <v>1042</v>
      </c>
      <c r="Q147" s="2549"/>
    </row>
    <row r="148" spans="1:21" s="2" customFormat="1" ht="39" customHeight="1" x14ac:dyDescent="0.3">
      <c r="A148" s="2726"/>
      <c r="B148" s="2729"/>
      <c r="C148" s="2732"/>
      <c r="D148" s="2014"/>
      <c r="E148" s="2735"/>
      <c r="F148" s="2747"/>
      <c r="G148" s="2749"/>
      <c r="H148" s="2685"/>
      <c r="I148" s="1974" t="s">
        <v>176</v>
      </c>
      <c r="J148" s="273">
        <v>50</v>
      </c>
      <c r="K148" s="1557">
        <v>50</v>
      </c>
      <c r="L148" s="2126">
        <v>50</v>
      </c>
      <c r="M148" s="2092"/>
      <c r="N148" s="496"/>
      <c r="O148" s="2243"/>
      <c r="P148" s="2572"/>
      <c r="Q148" s="2573"/>
      <c r="R148" s="1961"/>
      <c r="U148" s="3"/>
    </row>
    <row r="149" spans="1:21" s="2" customFormat="1" ht="47.25" customHeight="1" thickBot="1" x14ac:dyDescent="0.35">
      <c r="A149" s="2726"/>
      <c r="B149" s="2729"/>
      <c r="C149" s="2732"/>
      <c r="D149" s="2020"/>
      <c r="E149" s="2735"/>
      <c r="F149" s="2747"/>
      <c r="G149" s="2749"/>
      <c r="H149" s="2750"/>
      <c r="I149" s="1975" t="s">
        <v>36</v>
      </c>
      <c r="J149" s="143">
        <f>SUM(J147:J148)</f>
        <v>137.30000000000001</v>
      </c>
      <c r="K149" s="1489">
        <f>SUM(K147:K148)</f>
        <v>137.30000000000001</v>
      </c>
      <c r="L149" s="2131">
        <f>SUM(L147:L148)</f>
        <v>93.3</v>
      </c>
      <c r="M149" s="2093"/>
      <c r="N149" s="554"/>
      <c r="O149" s="97"/>
      <c r="P149" s="2919"/>
      <c r="Q149" s="2920"/>
    </row>
    <row r="150" spans="1:21" s="2" customFormat="1" ht="16.5" customHeight="1" thickBot="1" x14ac:dyDescent="0.35">
      <c r="A150" s="1848" t="s">
        <v>22</v>
      </c>
      <c r="B150" s="8" t="s">
        <v>50</v>
      </c>
      <c r="C150" s="2671" t="s">
        <v>62</v>
      </c>
      <c r="D150" s="2671"/>
      <c r="E150" s="2671"/>
      <c r="F150" s="2671"/>
      <c r="G150" s="2671"/>
      <c r="H150" s="2671"/>
      <c r="I150" s="2671"/>
      <c r="J150" s="212">
        <f>J137+J135+J131+J124+J114+J112+J142+J146+J149</f>
        <v>8887.2000000000007</v>
      </c>
      <c r="K150" s="1481">
        <f>K137+K135+K131+K124+K114+K112+K142+K146+K149</f>
        <v>9152.1999999999989</v>
      </c>
      <c r="L150" s="1429">
        <f>L137+L135+L131+L124+L114+L112+L142+L146+L149</f>
        <v>8301.3000000000011</v>
      </c>
      <c r="M150" s="2673"/>
      <c r="N150" s="2673"/>
      <c r="O150" s="2673"/>
      <c r="P150" s="2673"/>
      <c r="Q150" s="2674"/>
      <c r="T150" s="3"/>
    </row>
    <row r="151" spans="1:21" s="2" customFormat="1" ht="15" customHeight="1" thickBot="1" x14ac:dyDescent="0.35">
      <c r="A151" s="1850" t="s">
        <v>22</v>
      </c>
      <c r="B151" s="8" t="s">
        <v>54</v>
      </c>
      <c r="C151" s="2592" t="s">
        <v>105</v>
      </c>
      <c r="D151" s="2592"/>
      <c r="E151" s="2592"/>
      <c r="F151" s="2592"/>
      <c r="G151" s="2592"/>
      <c r="H151" s="2592"/>
      <c r="I151" s="2592"/>
      <c r="J151" s="2592"/>
      <c r="K151" s="2592"/>
      <c r="L151" s="2592"/>
      <c r="M151" s="2592"/>
      <c r="N151" s="2592"/>
      <c r="O151" s="2592"/>
      <c r="P151" s="2592"/>
      <c r="Q151" s="2593"/>
    </row>
    <row r="152" spans="1:21" s="3" customFormat="1" ht="54.75" customHeight="1" x14ac:dyDescent="0.3">
      <c r="A152" s="2197" t="s">
        <v>22</v>
      </c>
      <c r="B152" s="2198" t="s">
        <v>54</v>
      </c>
      <c r="C152" s="2094" t="s">
        <v>22</v>
      </c>
      <c r="D152" s="2095"/>
      <c r="E152" s="1976" t="s">
        <v>106</v>
      </c>
      <c r="F152" s="2509"/>
      <c r="G152" s="1386"/>
      <c r="H152" s="2096"/>
      <c r="I152" s="569"/>
      <c r="J152" s="1977"/>
      <c r="K152" s="2097"/>
      <c r="L152" s="2158"/>
      <c r="M152" s="2098"/>
      <c r="N152" s="2350"/>
      <c r="O152" s="798"/>
      <c r="P152" s="219"/>
      <c r="Q152" s="219"/>
    </row>
    <row r="153" spans="1:21" s="3" customFormat="1" ht="14.4" customHeight="1" x14ac:dyDescent="0.3">
      <c r="A153" s="2193"/>
      <c r="B153" s="2194"/>
      <c r="C153" s="2229"/>
      <c r="D153" s="2102" t="s">
        <v>22</v>
      </c>
      <c r="E153" s="2570" t="s">
        <v>453</v>
      </c>
      <c r="F153" s="2510" t="s">
        <v>115</v>
      </c>
      <c r="G153" s="1981">
        <v>5</v>
      </c>
      <c r="H153" s="2594" t="s">
        <v>511</v>
      </c>
      <c r="I153" s="1982" t="s">
        <v>31</v>
      </c>
      <c r="J153" s="1983">
        <v>50.9</v>
      </c>
      <c r="K153" s="2099">
        <v>50.9</v>
      </c>
      <c r="L153" s="2159">
        <v>48.7</v>
      </c>
      <c r="M153" s="1949" t="s">
        <v>104</v>
      </c>
      <c r="N153" s="566">
        <v>100</v>
      </c>
      <c r="O153" s="419">
        <v>100</v>
      </c>
      <c r="P153" s="643"/>
      <c r="Q153" s="643"/>
      <c r="R153" s="1909"/>
      <c r="S153" s="1909"/>
      <c r="T153" s="1909"/>
    </row>
    <row r="154" spans="1:21" s="3" customFormat="1" ht="14.4" customHeight="1" x14ac:dyDescent="0.3">
      <c r="A154" s="2193"/>
      <c r="B154" s="2194"/>
      <c r="C154" s="2229"/>
      <c r="D154" s="838"/>
      <c r="E154" s="2572"/>
      <c r="F154" s="2511"/>
      <c r="G154" s="1885"/>
      <c r="H154" s="2595"/>
      <c r="I154" s="1982" t="s">
        <v>176</v>
      </c>
      <c r="J154" s="1983">
        <v>30.6</v>
      </c>
      <c r="K154" s="2099">
        <v>30.6</v>
      </c>
      <c r="L154" s="2159">
        <v>30.5</v>
      </c>
      <c r="M154" s="2100" t="s">
        <v>479</v>
      </c>
      <c r="N154" s="571">
        <v>100</v>
      </c>
      <c r="O154" s="2231">
        <v>100</v>
      </c>
      <c r="P154" s="1951"/>
      <c r="Q154" s="1951"/>
      <c r="R154" s="1909"/>
    </row>
    <row r="155" spans="1:21" s="3" customFormat="1" ht="14.4" customHeight="1" x14ac:dyDescent="0.3">
      <c r="A155" s="2193"/>
      <c r="B155" s="2194"/>
      <c r="C155" s="2229"/>
      <c r="D155" s="838"/>
      <c r="E155" s="2572"/>
      <c r="F155" s="2511"/>
      <c r="G155" s="1885"/>
      <c r="H155" s="2595"/>
      <c r="I155" s="1982" t="s">
        <v>334</v>
      </c>
      <c r="J155" s="2160">
        <v>121.6</v>
      </c>
      <c r="K155" s="2101">
        <v>113.7</v>
      </c>
      <c r="L155" s="2161">
        <v>113.3</v>
      </c>
      <c r="M155" s="1952"/>
      <c r="N155" s="832"/>
      <c r="O155" s="2243"/>
      <c r="P155" s="1274"/>
      <c r="Q155" s="1274"/>
      <c r="R155" s="1909"/>
    </row>
    <row r="156" spans="1:21" s="3" customFormat="1" ht="14.4" customHeight="1" x14ac:dyDescent="0.3">
      <c r="A156" s="2193"/>
      <c r="B156" s="2194"/>
      <c r="C156" s="2229"/>
      <c r="D156" s="838"/>
      <c r="E156" s="2184"/>
      <c r="F156" s="2511"/>
      <c r="G156" s="1885"/>
      <c r="H156" s="2185"/>
      <c r="I156" s="1982" t="s">
        <v>399</v>
      </c>
      <c r="J156" s="2160">
        <v>2</v>
      </c>
      <c r="K156" s="2101">
        <v>2</v>
      </c>
      <c r="L156" s="2161">
        <v>2</v>
      </c>
      <c r="M156" s="1952"/>
      <c r="N156" s="832"/>
      <c r="O156" s="2243"/>
      <c r="P156" s="1274"/>
      <c r="Q156" s="1274"/>
      <c r="R156" s="1909"/>
    </row>
    <row r="157" spans="1:21" s="3" customFormat="1" ht="23.25" customHeight="1" x14ac:dyDescent="0.3">
      <c r="A157" s="2193"/>
      <c r="B157" s="2194"/>
      <c r="C157" s="2229"/>
      <c r="D157" s="2412" t="s">
        <v>50</v>
      </c>
      <c r="E157" s="2596" t="s">
        <v>454</v>
      </c>
      <c r="F157" s="2510" t="s">
        <v>115</v>
      </c>
      <c r="G157" s="1981">
        <v>5</v>
      </c>
      <c r="H157" s="2594" t="s">
        <v>511</v>
      </c>
      <c r="I157" s="2103" t="s">
        <v>31</v>
      </c>
      <c r="J157" s="2160">
        <v>42.6</v>
      </c>
      <c r="K157" s="2101">
        <v>42.6</v>
      </c>
      <c r="L157" s="2161">
        <v>0.2</v>
      </c>
      <c r="M157" s="2403" t="s">
        <v>480</v>
      </c>
      <c r="N157" s="2404">
        <v>100</v>
      </c>
      <c r="O157" s="2405">
        <v>0</v>
      </c>
      <c r="P157" s="2556" t="s">
        <v>1013</v>
      </c>
      <c r="Q157" s="2557"/>
    </row>
    <row r="158" spans="1:21" s="3" customFormat="1" ht="23.25" customHeight="1" x14ac:dyDescent="0.3">
      <c r="A158" s="2193"/>
      <c r="B158" s="2194"/>
      <c r="C158" s="2229"/>
      <c r="D158" s="2384"/>
      <c r="E158" s="2597"/>
      <c r="F158" s="2511"/>
      <c r="G158" s="1885"/>
      <c r="H158" s="2595"/>
      <c r="I158" s="2103" t="s">
        <v>176</v>
      </c>
      <c r="J158" s="2160">
        <v>10.4</v>
      </c>
      <c r="K158" s="2101">
        <v>10.4</v>
      </c>
      <c r="L158" s="2161">
        <v>0</v>
      </c>
      <c r="M158" s="2406" t="s">
        <v>481</v>
      </c>
      <c r="N158" s="2407">
        <v>100</v>
      </c>
      <c r="O158" s="2408">
        <v>0</v>
      </c>
      <c r="P158" s="2558"/>
      <c r="Q158" s="2559"/>
    </row>
    <row r="159" spans="1:21" s="3" customFormat="1" ht="23.25" customHeight="1" x14ac:dyDescent="0.3">
      <c r="A159" s="2193"/>
      <c r="B159" s="2194"/>
      <c r="C159" s="2229"/>
      <c r="D159" s="2413"/>
      <c r="E159" s="2597"/>
      <c r="F159" s="2511"/>
      <c r="G159" s="1885"/>
      <c r="H159" s="2598"/>
      <c r="I159" s="2103" t="s">
        <v>334</v>
      </c>
      <c r="J159" s="2160">
        <v>226.1</v>
      </c>
      <c r="K159" s="2101">
        <v>0.8</v>
      </c>
      <c r="L159" s="2161">
        <v>0</v>
      </c>
      <c r="M159" s="2409"/>
      <c r="N159" s="2410"/>
      <c r="O159" s="2411"/>
      <c r="P159" s="2560"/>
      <c r="Q159" s="2561"/>
    </row>
    <row r="160" spans="1:21" s="2" customFormat="1" ht="17.25" customHeight="1" x14ac:dyDescent="0.3">
      <c r="A160" s="2193"/>
      <c r="B160" s="2194"/>
      <c r="C160" s="2187"/>
      <c r="D160" s="2420" t="s">
        <v>54</v>
      </c>
      <c r="E160" s="2709" t="s">
        <v>455</v>
      </c>
      <c r="F160" s="2510" t="s">
        <v>115</v>
      </c>
      <c r="G160" s="1981">
        <v>5</v>
      </c>
      <c r="H160" s="2104" t="s">
        <v>512</v>
      </c>
      <c r="I160" s="2105" t="s">
        <v>31</v>
      </c>
      <c r="J160" s="1894">
        <v>88.8</v>
      </c>
      <c r="K160" s="2056">
        <v>88.8</v>
      </c>
      <c r="L160" s="2125">
        <v>0</v>
      </c>
      <c r="M160" s="2414" t="s">
        <v>102</v>
      </c>
      <c r="N160" s="2415">
        <v>1</v>
      </c>
      <c r="O160" s="2416">
        <v>0</v>
      </c>
      <c r="P160" s="2562" t="s">
        <v>1043</v>
      </c>
      <c r="Q160" s="2563"/>
      <c r="R160" s="3"/>
    </row>
    <row r="161" spans="1:21" s="2" customFormat="1" ht="38.25" customHeight="1" x14ac:dyDescent="0.3">
      <c r="A161" s="2193"/>
      <c r="B161" s="2194"/>
      <c r="C161" s="2187"/>
      <c r="D161" s="2420"/>
      <c r="E161" s="2710"/>
      <c r="F161" s="2512" t="s">
        <v>321</v>
      </c>
      <c r="G161" s="1895"/>
      <c r="H161" s="2106"/>
      <c r="I161" s="383" t="s">
        <v>176</v>
      </c>
      <c r="J161" s="1547">
        <v>43.2</v>
      </c>
      <c r="K161" s="2046">
        <v>43.2</v>
      </c>
      <c r="L161" s="2140">
        <v>5</v>
      </c>
      <c r="M161" s="2417"/>
      <c r="N161" s="2418"/>
      <c r="O161" s="2419"/>
      <c r="P161" s="2564"/>
      <c r="Q161" s="2565"/>
    </row>
    <row r="162" spans="1:21" s="3" customFormat="1" ht="21.6" customHeight="1" x14ac:dyDescent="0.3">
      <c r="A162" s="2193"/>
      <c r="B162" s="2194"/>
      <c r="C162" s="226"/>
      <c r="D162" s="2424" t="s">
        <v>56</v>
      </c>
      <c r="E162" s="2552" t="s">
        <v>456</v>
      </c>
      <c r="F162" s="2510"/>
      <c r="G162" s="1981">
        <v>5</v>
      </c>
      <c r="H162" s="2594" t="s">
        <v>513</v>
      </c>
      <c r="I162" s="2107" t="s">
        <v>31</v>
      </c>
      <c r="J162" s="1547">
        <v>377</v>
      </c>
      <c r="K162" s="2046">
        <v>342.8</v>
      </c>
      <c r="L162" s="2140">
        <v>295.8</v>
      </c>
      <c r="M162" s="2421" t="s">
        <v>1047</v>
      </c>
      <c r="N162" s="2422">
        <v>100</v>
      </c>
      <c r="O162" s="2423">
        <v>90</v>
      </c>
      <c r="P162" s="2566" t="s">
        <v>1014</v>
      </c>
      <c r="Q162" s="2567"/>
    </row>
    <row r="163" spans="1:21" s="3" customFormat="1" ht="21.6" customHeight="1" x14ac:dyDescent="0.3">
      <c r="A163" s="2193"/>
      <c r="B163" s="2244"/>
      <c r="C163" s="226"/>
      <c r="D163" s="2425"/>
      <c r="E163" s="2711"/>
      <c r="F163" s="2511"/>
      <c r="G163" s="1895"/>
      <c r="H163" s="2598"/>
      <c r="I163" s="2108" t="s">
        <v>176</v>
      </c>
      <c r="J163" s="1886">
        <v>100</v>
      </c>
      <c r="K163" s="1650">
        <v>100</v>
      </c>
      <c r="L163" s="2139">
        <v>100</v>
      </c>
      <c r="M163" s="2421"/>
      <c r="N163" s="2422"/>
      <c r="O163" s="2423"/>
      <c r="P163" s="2568"/>
      <c r="Q163" s="2569"/>
    </row>
    <row r="164" spans="1:21" s="147" customFormat="1" ht="21.75" customHeight="1" x14ac:dyDescent="0.3">
      <c r="A164" s="1860"/>
      <c r="B164" s="1861"/>
      <c r="C164" s="1862"/>
      <c r="D164" s="2432" t="s">
        <v>59</v>
      </c>
      <c r="E164" s="2566" t="s">
        <v>327</v>
      </c>
      <c r="F164" s="2513" t="s">
        <v>115</v>
      </c>
      <c r="G164" s="2249">
        <v>1</v>
      </c>
      <c r="H164" s="2109" t="s">
        <v>253</v>
      </c>
      <c r="I164" s="732" t="s">
        <v>31</v>
      </c>
      <c r="J164" s="1886">
        <v>114.2</v>
      </c>
      <c r="K164" s="1650">
        <v>114.2</v>
      </c>
      <c r="L164" s="2139">
        <v>0</v>
      </c>
      <c r="M164" s="2426" t="s">
        <v>329</v>
      </c>
      <c r="N164" s="2427">
        <v>3</v>
      </c>
      <c r="O164" s="2428">
        <v>1</v>
      </c>
      <c r="P164" s="2566" t="s">
        <v>1015</v>
      </c>
      <c r="Q164" s="2567"/>
    </row>
    <row r="165" spans="1:21" s="147" customFormat="1" ht="21.75" customHeight="1" x14ac:dyDescent="0.3">
      <c r="A165" s="1860"/>
      <c r="B165" s="1979"/>
      <c r="C165" s="2446"/>
      <c r="D165" s="2425"/>
      <c r="E165" s="2568"/>
      <c r="F165" s="2514"/>
      <c r="G165" s="2250"/>
      <c r="H165" s="989"/>
      <c r="I165" s="731" t="s">
        <v>176</v>
      </c>
      <c r="J165" s="1547">
        <v>345.8</v>
      </c>
      <c r="K165" s="2046">
        <v>345.8</v>
      </c>
      <c r="L165" s="2140">
        <v>273.8</v>
      </c>
      <c r="M165" s="2429"/>
      <c r="N165" s="2430"/>
      <c r="O165" s="2431"/>
      <c r="P165" s="2568"/>
      <c r="Q165" s="2569"/>
    </row>
    <row r="166" spans="1:21" s="1" customFormat="1" ht="15.75" customHeight="1" x14ac:dyDescent="0.25">
      <c r="A166" s="1859"/>
      <c r="B166" s="2194"/>
      <c r="C166" s="2187"/>
      <c r="D166" s="2014" t="s">
        <v>97</v>
      </c>
      <c r="E166" s="2669" t="s">
        <v>416</v>
      </c>
      <c r="F166" s="2713"/>
      <c r="G166" s="2715" t="s">
        <v>95</v>
      </c>
      <c r="H166" s="2717" t="s">
        <v>508</v>
      </c>
      <c r="I166" s="785" t="s">
        <v>31</v>
      </c>
      <c r="J166" s="1947">
        <v>93.6</v>
      </c>
      <c r="K166" s="2059">
        <v>93.6</v>
      </c>
      <c r="L166" s="1992">
        <v>77.3</v>
      </c>
      <c r="M166" s="2110" t="s">
        <v>417</v>
      </c>
      <c r="N166" s="913">
        <v>9</v>
      </c>
      <c r="O166" s="914">
        <v>9</v>
      </c>
      <c r="P166" s="2669" t="s">
        <v>998</v>
      </c>
      <c r="Q166" s="911"/>
      <c r="T166" s="251"/>
    </row>
    <row r="167" spans="1:21" s="1" customFormat="1" ht="16.2" customHeight="1" x14ac:dyDescent="0.25">
      <c r="A167" s="1859"/>
      <c r="B167" s="2194"/>
      <c r="C167" s="2187"/>
      <c r="D167" s="2014"/>
      <c r="E167" s="2712"/>
      <c r="F167" s="2714"/>
      <c r="G167" s="2716"/>
      <c r="H167" s="2718"/>
      <c r="I167" s="531" t="s">
        <v>176</v>
      </c>
      <c r="J167" s="273">
        <v>17</v>
      </c>
      <c r="K167" s="1557">
        <v>17</v>
      </c>
      <c r="L167" s="2126">
        <v>17</v>
      </c>
      <c r="M167" s="2111"/>
      <c r="N167" s="772"/>
      <c r="O167" s="757"/>
      <c r="P167" s="2712"/>
      <c r="Q167" s="757"/>
      <c r="T167" s="251"/>
    </row>
    <row r="168" spans="1:21" s="2" customFormat="1" ht="16.5" customHeight="1" thickBot="1" x14ac:dyDescent="0.35">
      <c r="A168" s="2206"/>
      <c r="B168" s="2207"/>
      <c r="C168" s="2230"/>
      <c r="D168" s="839"/>
      <c r="E168" s="2699" t="s">
        <v>49</v>
      </c>
      <c r="F168" s="2700"/>
      <c r="G168" s="2700"/>
      <c r="H168" s="2701"/>
      <c r="I168" s="2701"/>
      <c r="J168" s="1888">
        <f>SUM(J153:J167)</f>
        <v>1663.7999999999997</v>
      </c>
      <c r="K168" s="1990">
        <f>SUM(K153:K167)</f>
        <v>1396.3999999999999</v>
      </c>
      <c r="L168" s="2127">
        <f>SUM(L153:L167)</f>
        <v>963.59999999999991</v>
      </c>
      <c r="M168" s="2702"/>
      <c r="N168" s="2703"/>
      <c r="O168" s="2703"/>
      <c r="P168" s="2703"/>
      <c r="Q168" s="2704"/>
    </row>
    <row r="169" spans="1:21" s="2" customFormat="1" ht="16.5" customHeight="1" thickBot="1" x14ac:dyDescent="0.35">
      <c r="A169" s="1848" t="s">
        <v>22</v>
      </c>
      <c r="B169" s="282" t="s">
        <v>54</v>
      </c>
      <c r="C169" s="2705" t="s">
        <v>62</v>
      </c>
      <c r="D169" s="2671"/>
      <c r="E169" s="2671"/>
      <c r="F169" s="2671"/>
      <c r="G169" s="2671"/>
      <c r="H169" s="2671"/>
      <c r="I169" s="2671"/>
      <c r="J169" s="212">
        <f>J168</f>
        <v>1663.7999999999997</v>
      </c>
      <c r="K169" s="1481">
        <f>K168</f>
        <v>1396.3999999999999</v>
      </c>
      <c r="L169" s="1429">
        <f>L168</f>
        <v>963.59999999999991</v>
      </c>
      <c r="M169" s="2672"/>
      <c r="N169" s="2673"/>
      <c r="O169" s="2673"/>
      <c r="P169" s="2673"/>
      <c r="Q169" s="2674"/>
    </row>
    <row r="170" spans="1:21" s="1" customFormat="1" ht="16.5" customHeight="1" thickBot="1" x14ac:dyDescent="0.3">
      <c r="A170" s="1848" t="s">
        <v>22</v>
      </c>
      <c r="B170" s="282" t="s">
        <v>56</v>
      </c>
      <c r="C170" s="2706" t="s">
        <v>119</v>
      </c>
      <c r="D170" s="2707"/>
      <c r="E170" s="2707"/>
      <c r="F170" s="2707"/>
      <c r="G170" s="2707"/>
      <c r="H170" s="2707"/>
      <c r="I170" s="2707"/>
      <c r="J170" s="2707"/>
      <c r="K170" s="2707"/>
      <c r="L170" s="2707"/>
      <c r="M170" s="2707"/>
      <c r="N170" s="2707"/>
      <c r="O170" s="2707"/>
      <c r="P170" s="2707"/>
      <c r="Q170" s="2708"/>
    </row>
    <row r="171" spans="1:21" s="1" customFormat="1" ht="18" customHeight="1" x14ac:dyDescent="0.25">
      <c r="A171" s="2197" t="s">
        <v>22</v>
      </c>
      <c r="B171" s="2198" t="s">
        <v>56</v>
      </c>
      <c r="C171" s="2186" t="s">
        <v>22</v>
      </c>
      <c r="D171" s="2081"/>
      <c r="E171" s="286" t="s">
        <v>120</v>
      </c>
      <c r="F171" s="2515"/>
      <c r="G171" s="289"/>
      <c r="H171" s="2070"/>
      <c r="I171" s="488"/>
      <c r="J171" s="151"/>
      <c r="K171" s="1592"/>
      <c r="L171" s="1580"/>
      <c r="M171" s="2098"/>
      <c r="N171" s="2247"/>
      <c r="O171" s="79"/>
      <c r="P171" s="2238"/>
      <c r="Q171" s="2238"/>
    </row>
    <row r="172" spans="1:21" s="1" customFormat="1" ht="13.95" customHeight="1" x14ac:dyDescent="0.25">
      <c r="A172" s="2193"/>
      <c r="B172" s="2194"/>
      <c r="C172" s="2187"/>
      <c r="D172" s="2012" t="s">
        <v>22</v>
      </c>
      <c r="E172" s="2669" t="s">
        <v>418</v>
      </c>
      <c r="F172" s="2516"/>
      <c r="G172" s="289">
        <v>1</v>
      </c>
      <c r="H172" s="2112" t="s">
        <v>253</v>
      </c>
      <c r="I172" s="231" t="s">
        <v>482</v>
      </c>
      <c r="J172" s="1886">
        <v>300</v>
      </c>
      <c r="K172" s="1650">
        <v>300</v>
      </c>
      <c r="L172" s="2139">
        <v>300</v>
      </c>
      <c r="M172" s="2220" t="s">
        <v>483</v>
      </c>
      <c r="N172" s="2339">
        <v>10</v>
      </c>
      <c r="O172" s="2345">
        <v>7</v>
      </c>
      <c r="P172" s="2719" t="s">
        <v>1044</v>
      </c>
      <c r="Q172" s="2720"/>
      <c r="T172" s="251"/>
      <c r="U172" s="251"/>
    </row>
    <row r="173" spans="1:21" s="1" customFormat="1" ht="13.95" customHeight="1" x14ac:dyDescent="0.25">
      <c r="A173" s="2193"/>
      <c r="B173" s="2194"/>
      <c r="C173" s="2187"/>
      <c r="D173" s="2014"/>
      <c r="E173" s="2670"/>
      <c r="F173" s="2516"/>
      <c r="G173" s="187"/>
      <c r="H173" s="2113"/>
      <c r="I173" s="231" t="s">
        <v>484</v>
      </c>
      <c r="J173" s="1886">
        <v>50</v>
      </c>
      <c r="K173" s="1650">
        <v>50</v>
      </c>
      <c r="L173" s="2139">
        <v>50</v>
      </c>
      <c r="M173" s="2221"/>
      <c r="N173" s="2340"/>
      <c r="O173" s="2346"/>
      <c r="P173" s="2721"/>
      <c r="Q173" s="2722"/>
      <c r="U173" s="251"/>
    </row>
    <row r="174" spans="1:21" s="1" customFormat="1" ht="13.95" customHeight="1" x14ac:dyDescent="0.25">
      <c r="A174" s="2193"/>
      <c r="B174" s="2194"/>
      <c r="C174" s="2187"/>
      <c r="D174" s="2014"/>
      <c r="E174" s="2670"/>
      <c r="F174" s="2517"/>
      <c r="G174" s="941"/>
      <c r="H174" s="2070"/>
      <c r="I174" s="699" t="s">
        <v>36</v>
      </c>
      <c r="J174" s="37">
        <f>SUM(J172:J173)</f>
        <v>350</v>
      </c>
      <c r="K174" s="1533">
        <f>SUM(K172:K173)</f>
        <v>350</v>
      </c>
      <c r="L174" s="1529">
        <f>SUM(L172:L173)</f>
        <v>350</v>
      </c>
      <c r="M174" s="2246"/>
      <c r="N174" s="1874"/>
      <c r="O174" s="2233"/>
      <c r="P174" s="2723"/>
      <c r="Q174" s="2724"/>
      <c r="T174" s="251"/>
    </row>
    <row r="175" spans="1:21" s="1" customFormat="1" ht="16.2" customHeight="1" x14ac:dyDescent="0.25">
      <c r="A175" s="2193"/>
      <c r="B175" s="2194"/>
      <c r="C175" s="2187"/>
      <c r="D175" s="2012" t="s">
        <v>50</v>
      </c>
      <c r="E175" s="2679" t="s">
        <v>419</v>
      </c>
      <c r="F175" s="2681" t="s">
        <v>325</v>
      </c>
      <c r="G175" s="187">
        <v>5</v>
      </c>
      <c r="H175" s="2684" t="s">
        <v>514</v>
      </c>
      <c r="I175" s="231" t="s">
        <v>484</v>
      </c>
      <c r="J175" s="1993">
        <v>461.5</v>
      </c>
      <c r="K175" s="2114">
        <v>461.5</v>
      </c>
      <c r="L175" s="2150">
        <v>341.1</v>
      </c>
      <c r="M175" s="2115" t="s">
        <v>122</v>
      </c>
      <c r="N175" s="2341">
        <v>45</v>
      </c>
      <c r="O175" s="2347">
        <v>45</v>
      </c>
      <c r="P175" s="2691" t="s">
        <v>1016</v>
      </c>
      <c r="Q175" s="2692"/>
      <c r="S175" s="251"/>
    </row>
    <row r="176" spans="1:21" s="1" customFormat="1" ht="16.2" customHeight="1" x14ac:dyDescent="0.25">
      <c r="A176" s="2193"/>
      <c r="B176" s="2194"/>
      <c r="C176" s="2187"/>
      <c r="D176" s="2014"/>
      <c r="E176" s="2680"/>
      <c r="F176" s="2682"/>
      <c r="G176" s="187"/>
      <c r="H176" s="2685"/>
      <c r="I176" s="45" t="s">
        <v>334</v>
      </c>
      <c r="J176" s="1993">
        <v>1806.7</v>
      </c>
      <c r="K176" s="2114">
        <v>73</v>
      </c>
      <c r="L176" s="2150">
        <v>72.3</v>
      </c>
      <c r="M176" s="2686"/>
      <c r="N176" s="2342"/>
      <c r="O176" s="2348"/>
      <c r="P176" s="2693"/>
      <c r="Q176" s="2694"/>
    </row>
    <row r="177" spans="1:22" s="1" customFormat="1" ht="16.2" customHeight="1" x14ac:dyDescent="0.25">
      <c r="A177" s="2193"/>
      <c r="B177" s="2194"/>
      <c r="C177" s="2187"/>
      <c r="D177" s="2014"/>
      <c r="E177" s="2680"/>
      <c r="F177" s="2683"/>
      <c r="G177" s="591"/>
      <c r="H177" s="2116"/>
      <c r="I177" s="45" t="s">
        <v>176</v>
      </c>
      <c r="J177" s="1994">
        <v>5</v>
      </c>
      <c r="K177" s="2117">
        <v>5</v>
      </c>
      <c r="L177" s="2151">
        <v>4.4000000000000004</v>
      </c>
      <c r="M177" s="2686"/>
      <c r="N177" s="2342"/>
      <c r="O177" s="2348"/>
      <c r="P177" s="2693"/>
      <c r="Q177" s="2694"/>
    </row>
    <row r="178" spans="1:22" s="1" customFormat="1" ht="16.2" customHeight="1" x14ac:dyDescent="0.25">
      <c r="A178" s="2193"/>
      <c r="B178" s="2194"/>
      <c r="C178" s="2187"/>
      <c r="D178" s="2014"/>
      <c r="E178" s="2680"/>
      <c r="F178" s="2697" t="s">
        <v>115</v>
      </c>
      <c r="G178" s="591"/>
      <c r="H178" s="2116"/>
      <c r="I178" s="45" t="s">
        <v>399</v>
      </c>
      <c r="J178" s="2337">
        <v>88.2</v>
      </c>
      <c r="K178" s="2129">
        <v>88.2</v>
      </c>
      <c r="L178" s="2128">
        <v>88.2</v>
      </c>
      <c r="M178" s="2686"/>
      <c r="N178" s="2342"/>
      <c r="O178" s="2348"/>
      <c r="P178" s="2693"/>
      <c r="Q178" s="2694"/>
    </row>
    <row r="179" spans="1:22" s="1" customFormat="1" ht="24.75" customHeight="1" x14ac:dyDescent="0.25">
      <c r="A179" s="2193"/>
      <c r="B179" s="2194"/>
      <c r="C179" s="2187"/>
      <c r="D179" s="2014"/>
      <c r="E179" s="2680"/>
      <c r="F179" s="2698"/>
      <c r="G179" s="591"/>
      <c r="H179" s="2116"/>
      <c r="I179" s="699" t="s">
        <v>36</v>
      </c>
      <c r="J179" s="37">
        <f>SUM(J175:J178)</f>
        <v>2361.3999999999996</v>
      </c>
      <c r="K179" s="1533">
        <f>SUM(K175:K178)</f>
        <v>627.70000000000005</v>
      </c>
      <c r="L179" s="1529">
        <f>SUM(L175:L178)</f>
        <v>506</v>
      </c>
      <c r="M179" s="2686"/>
      <c r="N179" s="443"/>
      <c r="O179" s="84"/>
      <c r="P179" s="2693"/>
      <c r="Q179" s="2694"/>
    </row>
    <row r="180" spans="1:22" s="1" customFormat="1" ht="16.2" customHeight="1" thickBot="1" x14ac:dyDescent="0.3">
      <c r="A180" s="2206"/>
      <c r="B180" s="2207"/>
      <c r="C180" s="2191"/>
      <c r="D180" s="2020"/>
      <c r="E180" s="2687" t="s">
        <v>49</v>
      </c>
      <c r="F180" s="2688"/>
      <c r="G180" s="2688"/>
      <c r="H180" s="2688"/>
      <c r="I180" s="2688"/>
      <c r="J180" s="37">
        <f>+J179+J174</f>
        <v>2711.3999999999996</v>
      </c>
      <c r="K180" s="1533">
        <f>+K179+K174</f>
        <v>977.7</v>
      </c>
      <c r="L180" s="1529">
        <f>+L179+L174</f>
        <v>856</v>
      </c>
      <c r="M180" s="2118"/>
      <c r="N180" s="1896"/>
      <c r="O180" s="2067"/>
      <c r="P180" s="2695"/>
      <c r="Q180" s="2696"/>
    </row>
    <row r="181" spans="1:22" s="1" customFormat="1" ht="18" customHeight="1" x14ac:dyDescent="0.25">
      <c r="A181" s="2193" t="s">
        <v>22</v>
      </c>
      <c r="B181" s="2194" t="s">
        <v>56</v>
      </c>
      <c r="C181" s="2229" t="s">
        <v>50</v>
      </c>
      <c r="D181" s="838"/>
      <c r="E181" s="2689" t="s">
        <v>123</v>
      </c>
      <c r="F181" s="2518" t="s">
        <v>317</v>
      </c>
      <c r="G181" s="2188" t="s">
        <v>27</v>
      </c>
      <c r="H181" s="2690" t="s">
        <v>490</v>
      </c>
      <c r="I181" s="2235"/>
      <c r="J181" s="151"/>
      <c r="K181" s="1592"/>
      <c r="L181" s="1580"/>
      <c r="M181" s="1899"/>
      <c r="N181" s="443"/>
      <c r="O181" s="84"/>
      <c r="P181" s="41"/>
      <c r="Q181" s="41"/>
    </row>
    <row r="182" spans="1:22" s="1" customFormat="1" ht="18" customHeight="1" x14ac:dyDescent="0.25">
      <c r="A182" s="2193"/>
      <c r="B182" s="2194"/>
      <c r="C182" s="2229"/>
      <c r="D182" s="838"/>
      <c r="E182" s="2689"/>
      <c r="F182" s="2519"/>
      <c r="G182" s="2188"/>
      <c r="H182" s="2685"/>
      <c r="I182" s="39"/>
      <c r="J182" s="160"/>
      <c r="K182" s="1593"/>
      <c r="L182" s="1548"/>
      <c r="M182" s="1899"/>
      <c r="N182" s="443"/>
      <c r="O182" s="84"/>
      <c r="P182" s="41"/>
      <c r="Q182" s="41"/>
    </row>
    <row r="183" spans="1:22" s="1" customFormat="1" ht="18" customHeight="1" x14ac:dyDescent="0.25">
      <c r="A183" s="2193"/>
      <c r="B183" s="2194"/>
      <c r="C183" s="2229"/>
      <c r="D183" s="838"/>
      <c r="E183" s="2689"/>
      <c r="F183" s="2519"/>
      <c r="G183" s="2188"/>
      <c r="H183" s="2685"/>
      <c r="I183" s="39" t="s">
        <v>178</v>
      </c>
      <c r="J183" s="2152"/>
      <c r="K183" s="2119">
        <v>830.5</v>
      </c>
      <c r="L183" s="2338">
        <v>497.3</v>
      </c>
      <c r="M183" s="1899"/>
      <c r="N183" s="443"/>
      <c r="O183" s="84"/>
      <c r="P183" s="41"/>
      <c r="Q183" s="41"/>
    </row>
    <row r="184" spans="1:22" s="1" customFormat="1" ht="42.75" customHeight="1" x14ac:dyDescent="0.25">
      <c r="A184" s="2193"/>
      <c r="B184" s="2194"/>
      <c r="C184" s="2229"/>
      <c r="D184" s="2437" t="s">
        <v>22</v>
      </c>
      <c r="E184" s="2438" t="s">
        <v>124</v>
      </c>
      <c r="F184" s="2519"/>
      <c r="G184" s="2188"/>
      <c r="H184" s="2433"/>
      <c r="I184" s="30" t="s">
        <v>68</v>
      </c>
      <c r="J184" s="61">
        <v>500</v>
      </c>
      <c r="K184" s="1599">
        <v>500</v>
      </c>
      <c r="L184" s="1530">
        <v>169.9</v>
      </c>
      <c r="M184" s="2434" t="s">
        <v>126</v>
      </c>
      <c r="N184" s="2435">
        <v>35</v>
      </c>
      <c r="O184" s="2467">
        <v>23</v>
      </c>
      <c r="P184" s="2454" t="s">
        <v>1017</v>
      </c>
      <c r="Q184" s="2436"/>
      <c r="V184" s="251"/>
    </row>
    <row r="185" spans="1:22" s="1" customFormat="1" ht="68.25" customHeight="1" x14ac:dyDescent="0.25">
      <c r="A185" s="2193"/>
      <c r="B185" s="2194"/>
      <c r="C185" s="2229"/>
      <c r="D185" s="838" t="s">
        <v>50</v>
      </c>
      <c r="E185" s="2195" t="s">
        <v>127</v>
      </c>
      <c r="F185" s="2516"/>
      <c r="G185" s="2188"/>
      <c r="H185" s="926"/>
      <c r="I185" s="1324" t="s">
        <v>68</v>
      </c>
      <c r="J185" s="61">
        <v>170</v>
      </c>
      <c r="K185" s="1599">
        <v>170</v>
      </c>
      <c r="L185" s="1530">
        <v>198.2</v>
      </c>
      <c r="M185" s="2121" t="s">
        <v>277</v>
      </c>
      <c r="N185" s="2343">
        <v>240</v>
      </c>
      <c r="O185" s="2349">
        <v>637</v>
      </c>
      <c r="P185" s="1272"/>
      <c r="Q185" s="1272"/>
      <c r="V185" s="251"/>
    </row>
    <row r="186" spans="1:22" s="1" customFormat="1" ht="43.5" customHeight="1" x14ac:dyDescent="0.25">
      <c r="A186" s="2193"/>
      <c r="B186" s="2194"/>
      <c r="C186" s="2229"/>
      <c r="D186" s="2120" t="s">
        <v>54</v>
      </c>
      <c r="E186" s="2195" t="s">
        <v>128</v>
      </c>
      <c r="F186" s="2520"/>
      <c r="G186" s="2188"/>
      <c r="H186" s="926"/>
      <c r="I186" s="39" t="s">
        <v>68</v>
      </c>
      <c r="J186" s="61">
        <v>33.299999999999997</v>
      </c>
      <c r="K186" s="1599">
        <v>33.299999999999997</v>
      </c>
      <c r="L186" s="1530">
        <v>24.6</v>
      </c>
      <c r="M186" s="2121" t="s">
        <v>278</v>
      </c>
      <c r="N186" s="2343">
        <v>60</v>
      </c>
      <c r="O186" s="2349">
        <v>85</v>
      </c>
      <c r="P186" s="1272"/>
      <c r="Q186" s="1272"/>
      <c r="S186" s="251"/>
    </row>
    <row r="187" spans="1:22" s="1" customFormat="1" ht="29.4" customHeight="1" x14ac:dyDescent="0.25">
      <c r="A187" s="2193"/>
      <c r="B187" s="2194"/>
      <c r="C187" s="2229"/>
      <c r="D187" s="838" t="s">
        <v>56</v>
      </c>
      <c r="E187" s="2195" t="s">
        <v>129</v>
      </c>
      <c r="F187" s="2520"/>
      <c r="G187" s="2188"/>
      <c r="H187" s="926"/>
      <c r="I187" s="1324" t="s">
        <v>68</v>
      </c>
      <c r="J187" s="61">
        <v>263</v>
      </c>
      <c r="K187" s="1599">
        <v>263</v>
      </c>
      <c r="L187" s="1530">
        <v>50</v>
      </c>
      <c r="M187" s="2121" t="s">
        <v>130</v>
      </c>
      <c r="N187" s="2343">
        <v>94</v>
      </c>
      <c r="O187" s="2349">
        <v>98</v>
      </c>
      <c r="P187" s="1272"/>
      <c r="Q187" s="1272"/>
    </row>
    <row r="188" spans="1:22" s="1" customFormat="1" ht="41.4" customHeight="1" x14ac:dyDescent="0.25">
      <c r="A188" s="2193"/>
      <c r="B188" s="2194"/>
      <c r="C188" s="2229"/>
      <c r="D188" s="2120" t="s">
        <v>59</v>
      </c>
      <c r="E188" s="322" t="s">
        <v>131</v>
      </c>
      <c r="F188" s="2516"/>
      <c r="G188" s="2188"/>
      <c r="H188" s="926"/>
      <c r="I188" s="1324" t="s">
        <v>52</v>
      </c>
      <c r="J188" s="2153">
        <v>6.6</v>
      </c>
      <c r="K188" s="1793">
        <v>6.6</v>
      </c>
      <c r="L188" s="1582">
        <v>0</v>
      </c>
      <c r="M188" s="1949" t="s">
        <v>457</v>
      </c>
      <c r="N188" s="497">
        <v>12</v>
      </c>
      <c r="O188" s="419">
        <v>12</v>
      </c>
      <c r="P188" s="643"/>
      <c r="Q188" s="2248"/>
    </row>
    <row r="189" spans="1:22" s="1" customFormat="1" ht="31.95" customHeight="1" x14ac:dyDescent="0.25">
      <c r="A189" s="2193"/>
      <c r="B189" s="2194"/>
      <c r="C189" s="2229"/>
      <c r="D189" s="838" t="s">
        <v>97</v>
      </c>
      <c r="E189" s="2665" t="s">
        <v>132</v>
      </c>
      <c r="F189" s="2520"/>
      <c r="G189" s="2188"/>
      <c r="H189" s="926"/>
      <c r="I189" s="39" t="s">
        <v>68</v>
      </c>
      <c r="J189" s="61">
        <v>130</v>
      </c>
      <c r="K189" s="1599">
        <v>130</v>
      </c>
      <c r="L189" s="1530">
        <v>44.6</v>
      </c>
      <c r="M189" s="2667" t="s">
        <v>133</v>
      </c>
      <c r="N189" s="2344">
        <v>100</v>
      </c>
      <c r="O189" s="315">
        <v>100</v>
      </c>
      <c r="P189" s="1271"/>
      <c r="Q189" s="1271"/>
    </row>
    <row r="190" spans="1:22" s="1" customFormat="1" ht="13.5" customHeight="1" thickBot="1" x14ac:dyDescent="0.3">
      <c r="A190" s="1846" t="s">
        <v>397</v>
      </c>
      <c r="B190" s="2207"/>
      <c r="C190" s="2230"/>
      <c r="D190" s="839"/>
      <c r="E190" s="2666"/>
      <c r="F190" s="2521"/>
      <c r="G190" s="2192"/>
      <c r="H190" s="2074"/>
      <c r="I190" s="455" t="s">
        <v>36</v>
      </c>
      <c r="J190" s="75">
        <f>SUM(J183:J189)</f>
        <v>1102.9000000000001</v>
      </c>
      <c r="K190" s="1746">
        <f>SUM(K183:K189)</f>
        <v>1933.3999999999999</v>
      </c>
      <c r="L190" s="1534">
        <f>SUM(L183:L189)</f>
        <v>984.60000000000014</v>
      </c>
      <c r="M190" s="2668"/>
      <c r="N190" s="1879"/>
      <c r="O190" s="97"/>
      <c r="P190" s="2237"/>
      <c r="Q190" s="2237"/>
    </row>
    <row r="191" spans="1:22" s="1" customFormat="1" ht="55.95" customHeight="1" x14ac:dyDescent="0.25">
      <c r="A191" s="2197" t="s">
        <v>22</v>
      </c>
      <c r="B191" s="2198" t="s">
        <v>56</v>
      </c>
      <c r="C191" s="2186" t="s">
        <v>54</v>
      </c>
      <c r="D191" s="2081"/>
      <c r="E191" s="286" t="s">
        <v>134</v>
      </c>
      <c r="F191" s="2515"/>
      <c r="G191" s="289"/>
      <c r="H191" s="2113"/>
      <c r="I191" s="488"/>
      <c r="J191" s="151"/>
      <c r="K191" s="1592"/>
      <c r="L191" s="1580"/>
      <c r="M191" s="2098"/>
      <c r="N191" s="2247"/>
      <c r="O191" s="79"/>
      <c r="P191" s="2238"/>
      <c r="Q191" s="2238"/>
    </row>
    <row r="192" spans="1:22" s="1" customFormat="1" ht="27.75" customHeight="1" x14ac:dyDescent="0.25">
      <c r="A192" s="2193"/>
      <c r="B192" s="2194"/>
      <c r="C192" s="2187"/>
      <c r="D192" s="2012" t="s">
        <v>22</v>
      </c>
      <c r="E192" s="2669" t="s">
        <v>420</v>
      </c>
      <c r="F192" s="2516"/>
      <c r="G192" s="289">
        <v>1</v>
      </c>
      <c r="H192" s="2112" t="s">
        <v>253</v>
      </c>
      <c r="I192" s="231" t="s">
        <v>52</v>
      </c>
      <c r="J192" s="273">
        <v>50</v>
      </c>
      <c r="K192" s="2049">
        <v>50</v>
      </c>
      <c r="L192" s="1991">
        <v>40.4</v>
      </c>
      <c r="M192" s="1950" t="s">
        <v>458</v>
      </c>
      <c r="N192" s="2339">
        <v>1</v>
      </c>
      <c r="O192" s="2345">
        <v>1</v>
      </c>
      <c r="P192" s="294"/>
      <c r="Q192" s="294"/>
    </row>
    <row r="193" spans="1:24" s="1" customFormat="1" ht="15" customHeight="1" thickBot="1" x14ac:dyDescent="0.3">
      <c r="A193" s="2193"/>
      <c r="B193" s="2194"/>
      <c r="C193" s="2187"/>
      <c r="D193" s="2020"/>
      <c r="E193" s="2670"/>
      <c r="F193" s="2517"/>
      <c r="G193" s="941"/>
      <c r="H193" s="2070"/>
      <c r="I193" s="699" t="s">
        <v>36</v>
      </c>
      <c r="J193" s="37">
        <f>SUM(J192:J192)</f>
        <v>50</v>
      </c>
      <c r="K193" s="1533">
        <f>SUM(K192:K192)</f>
        <v>50</v>
      </c>
      <c r="L193" s="1529">
        <f>SUM(L192:L192)</f>
        <v>40.4</v>
      </c>
      <c r="M193" s="2118"/>
      <c r="N193" s="1874"/>
      <c r="O193" s="2067"/>
      <c r="P193" s="306"/>
      <c r="Q193" s="306"/>
    </row>
    <row r="194" spans="1:24" s="2" customFormat="1" ht="16.5" customHeight="1" thickBot="1" x14ac:dyDescent="0.35">
      <c r="A194" s="1848" t="s">
        <v>22</v>
      </c>
      <c r="B194" s="8" t="s">
        <v>56</v>
      </c>
      <c r="C194" s="2671" t="s">
        <v>62</v>
      </c>
      <c r="D194" s="2671"/>
      <c r="E194" s="2671"/>
      <c r="F194" s="2671"/>
      <c r="G194" s="2671"/>
      <c r="H194" s="2671"/>
      <c r="I194" s="2671"/>
      <c r="J194" s="343">
        <f>+J193+J190+J180</f>
        <v>3864.2999999999997</v>
      </c>
      <c r="K194" s="2122">
        <f>+K193+K190+K180</f>
        <v>2961.1</v>
      </c>
      <c r="L194" s="2154">
        <f>+L193+L190+L180</f>
        <v>1881.0000000000002</v>
      </c>
      <c r="M194" s="2672"/>
      <c r="N194" s="2673"/>
      <c r="O194" s="2673"/>
      <c r="P194" s="2673"/>
      <c r="Q194" s="2674"/>
    </row>
    <row r="195" spans="1:24" s="1" customFormat="1" ht="16.5" customHeight="1" thickBot="1" x14ac:dyDescent="0.3">
      <c r="A195" s="2206" t="s">
        <v>22</v>
      </c>
      <c r="B195" s="1890"/>
      <c r="C195" s="2675" t="s">
        <v>137</v>
      </c>
      <c r="D195" s="2675"/>
      <c r="E195" s="2675"/>
      <c r="F195" s="2675"/>
      <c r="G195" s="2675"/>
      <c r="H195" s="2675"/>
      <c r="I195" s="2675"/>
      <c r="J195" s="1996">
        <f>J194+J169+J150+J61</f>
        <v>49587.7</v>
      </c>
      <c r="K195" s="2123">
        <f>K194+K169+K150+K61</f>
        <v>49592.899999999994</v>
      </c>
      <c r="L195" s="2155">
        <f>L194+L169+L150+L61</f>
        <v>42564.5</v>
      </c>
      <c r="M195" s="2676"/>
      <c r="N195" s="2677"/>
      <c r="O195" s="2677"/>
      <c r="P195" s="2677"/>
      <c r="Q195" s="2678"/>
    </row>
    <row r="196" spans="1:24" s="2" customFormat="1" ht="16.5" customHeight="1" thickBot="1" x14ac:dyDescent="0.35">
      <c r="A196" s="1891" t="s">
        <v>138</v>
      </c>
      <c r="B196" s="2631" t="s">
        <v>139</v>
      </c>
      <c r="C196" s="2632"/>
      <c r="D196" s="2632"/>
      <c r="E196" s="2632"/>
      <c r="F196" s="2632"/>
      <c r="G196" s="2632"/>
      <c r="H196" s="2632"/>
      <c r="I196" s="2632"/>
      <c r="J196" s="2156">
        <f t="shared" ref="J196:L196" si="0">J195</f>
        <v>49587.7</v>
      </c>
      <c r="K196" s="2124">
        <f t="shared" ref="K196" si="1">K195</f>
        <v>49592.899999999994</v>
      </c>
      <c r="L196" s="2157">
        <f t="shared" si="0"/>
        <v>42564.5</v>
      </c>
      <c r="M196" s="2633"/>
      <c r="N196" s="2634"/>
      <c r="O196" s="2634"/>
      <c r="P196" s="2634"/>
      <c r="Q196" s="2635"/>
    </row>
    <row r="197" spans="1:24" s="141" customFormat="1" ht="17.25" customHeight="1" x14ac:dyDescent="0.3">
      <c r="A197" s="2636" t="s">
        <v>995</v>
      </c>
      <c r="B197" s="2637"/>
      <c r="C197" s="2637"/>
      <c r="D197" s="2637"/>
      <c r="E197" s="2637"/>
      <c r="F197" s="2637"/>
      <c r="G197" s="2637"/>
      <c r="H197" s="2637"/>
      <c r="I197" s="2637"/>
      <c r="J197" s="2637"/>
      <c r="K197" s="2637"/>
      <c r="L197" s="2637"/>
      <c r="M197" s="2637"/>
      <c r="N197" s="2637"/>
      <c r="O197" s="2637"/>
      <c r="P197" s="2637"/>
      <c r="Q197" s="2637"/>
      <c r="R197" s="2638"/>
      <c r="S197" s="349"/>
      <c r="T197" s="349"/>
      <c r="U197" s="349"/>
      <c r="V197" s="349"/>
      <c r="W197" s="349"/>
      <c r="X197" s="349"/>
    </row>
    <row r="198" spans="1:24" s="141" customFormat="1" ht="17.25" customHeight="1" x14ac:dyDescent="0.3">
      <c r="A198" s="2884" t="s">
        <v>996</v>
      </c>
      <c r="B198" s="2884"/>
      <c r="C198" s="2884"/>
      <c r="D198" s="2884"/>
      <c r="E198" s="2884"/>
      <c r="F198" s="2884"/>
      <c r="G198" s="2884"/>
      <c r="H198" s="2884"/>
      <c r="I198" s="2884"/>
      <c r="J198" s="2884"/>
      <c r="K198" s="2884"/>
      <c r="L198" s="2884"/>
      <c r="M198" s="2264"/>
      <c r="N198" s="2264"/>
      <c r="O198" s="2264"/>
      <c r="P198" s="2264"/>
      <c r="Q198" s="2264"/>
      <c r="R198" s="2264"/>
      <c r="S198" s="349"/>
      <c r="T198" s="349"/>
      <c r="U198" s="349"/>
      <c r="V198" s="349"/>
      <c r="W198" s="349"/>
      <c r="X198" s="349"/>
    </row>
    <row r="199" spans="1:24" s="251" customFormat="1" ht="22.5" customHeight="1" thickBot="1" x14ac:dyDescent="0.3">
      <c r="A199" s="2639" t="s">
        <v>141</v>
      </c>
      <c r="B199" s="2639"/>
      <c r="C199" s="2639"/>
      <c r="D199" s="2639"/>
      <c r="E199" s="2639"/>
      <c r="F199" s="2639"/>
      <c r="G199" s="2639"/>
      <c r="H199" s="2639"/>
      <c r="I199" s="2639"/>
      <c r="J199" s="2639"/>
      <c r="K199" s="2639"/>
      <c r="L199" s="2639"/>
      <c r="M199" s="352"/>
      <c r="N199" s="2228"/>
      <c r="O199" s="1855"/>
      <c r="P199" s="2228"/>
      <c r="Q199" s="2228"/>
    </row>
    <row r="200" spans="1:24" s="141" customFormat="1" ht="49.5" customHeight="1" x14ac:dyDescent="0.3">
      <c r="A200" s="2646" t="s">
        <v>142</v>
      </c>
      <c r="B200" s="2647"/>
      <c r="C200" s="2647"/>
      <c r="D200" s="2647"/>
      <c r="E200" s="2647"/>
      <c r="F200" s="2647"/>
      <c r="G200" s="2647"/>
      <c r="H200" s="2647"/>
      <c r="I200" s="2647"/>
      <c r="J200" s="2640" t="s">
        <v>461</v>
      </c>
      <c r="K200" s="2642" t="s">
        <v>462</v>
      </c>
      <c r="L200" s="2644" t="s">
        <v>463</v>
      </c>
      <c r="M200" s="1901"/>
      <c r="N200" s="2226"/>
      <c r="O200" s="2226"/>
      <c r="P200" s="2226"/>
      <c r="Q200" s="2226"/>
      <c r="S200" s="147"/>
    </row>
    <row r="201" spans="1:24" s="141" customFormat="1" ht="49.5" customHeight="1" thickBot="1" x14ac:dyDescent="0.35">
      <c r="A201" s="2648"/>
      <c r="B201" s="2649"/>
      <c r="C201" s="2649"/>
      <c r="D201" s="2649"/>
      <c r="E201" s="2649"/>
      <c r="F201" s="2649"/>
      <c r="G201" s="2649"/>
      <c r="H201" s="2649"/>
      <c r="I201" s="2649"/>
      <c r="J201" s="2641"/>
      <c r="K201" s="2643"/>
      <c r="L201" s="2645"/>
      <c r="M201" s="1901"/>
      <c r="N201" s="2226"/>
      <c r="O201" s="2226"/>
      <c r="P201" s="2226"/>
      <c r="Q201" s="2226"/>
      <c r="S201" s="147"/>
    </row>
    <row r="202" spans="1:24" s="2" customFormat="1" ht="15.75" customHeight="1" thickBot="1" x14ac:dyDescent="0.35">
      <c r="A202" s="2615" t="s">
        <v>144</v>
      </c>
      <c r="B202" s="2616"/>
      <c r="C202" s="2616"/>
      <c r="D202" s="2616"/>
      <c r="E202" s="2616"/>
      <c r="F202" s="2616"/>
      <c r="G202" s="2616"/>
      <c r="H202" s="2617"/>
      <c r="I202" s="2617"/>
      <c r="J202" s="1892">
        <f>+J203+J210+J213+J214+J212+J211</f>
        <v>22273.5</v>
      </c>
      <c r="K202" s="1997">
        <f>+K203+K210+K213+K214+K212+K211</f>
        <v>22313.5</v>
      </c>
      <c r="L202" s="1998">
        <f>+L203+L210+L213+L214+L212+L211</f>
        <v>19199.099999999999</v>
      </c>
      <c r="M202" s="1903"/>
      <c r="N202" s="2225"/>
      <c r="O202" s="2227"/>
      <c r="P202" s="2225"/>
      <c r="Q202" s="2225"/>
    </row>
    <row r="203" spans="1:24" s="2" customFormat="1" ht="15.75" customHeight="1" x14ac:dyDescent="0.3">
      <c r="A203" s="2624" t="s">
        <v>485</v>
      </c>
      <c r="B203" s="2625"/>
      <c r="C203" s="2625"/>
      <c r="D203" s="2625"/>
      <c r="E203" s="2625"/>
      <c r="F203" s="2625"/>
      <c r="G203" s="2625"/>
      <c r="H203" s="2625"/>
      <c r="I203" s="2625"/>
      <c r="J203" s="2149">
        <f>SUM(J204:J209)</f>
        <v>20425.900000000001</v>
      </c>
      <c r="K203" s="2148">
        <f>SUM(K204:K209)</f>
        <v>19574.5</v>
      </c>
      <c r="L203" s="2147">
        <f>SUM(L204:L209)</f>
        <v>17038.399999999998</v>
      </c>
      <c r="M203" s="1903"/>
      <c r="N203" s="2225"/>
      <c r="O203" s="2227"/>
      <c r="P203" s="2225"/>
      <c r="Q203" s="2225"/>
    </row>
    <row r="204" spans="1:24" s="2" customFormat="1" ht="15.75" customHeight="1" x14ac:dyDescent="0.3">
      <c r="A204" s="2626" t="s">
        <v>145</v>
      </c>
      <c r="B204" s="2627"/>
      <c r="C204" s="2627"/>
      <c r="D204" s="2627"/>
      <c r="E204" s="2627"/>
      <c r="F204" s="2627"/>
      <c r="G204" s="2627"/>
      <c r="H204" s="2628"/>
      <c r="I204" s="2628"/>
      <c r="J204" s="1894">
        <f>SUMIF(I18:I192,"sb",J18:J192)</f>
        <v>10746.500000000002</v>
      </c>
      <c r="K204" s="1917">
        <f>SUMIF(I18:I192,"sb",K18:K192)</f>
        <v>10527.8</v>
      </c>
      <c r="L204" s="1945">
        <f>SUMIF(I18:I192,"sb",L18:L192)</f>
        <v>9126.2999999999956</v>
      </c>
      <c r="M204" s="1904"/>
      <c r="N204" s="2224"/>
      <c r="O204" s="2224"/>
      <c r="P204" s="2224"/>
      <c r="Q204" s="2224"/>
    </row>
    <row r="205" spans="1:24" s="2" customFormat="1" ht="28.95" customHeight="1" x14ac:dyDescent="0.3">
      <c r="A205" s="2629" t="s">
        <v>486</v>
      </c>
      <c r="B205" s="2630"/>
      <c r="C205" s="2630"/>
      <c r="D205" s="2630"/>
      <c r="E205" s="2630"/>
      <c r="F205" s="2630"/>
      <c r="G205" s="2630"/>
      <c r="H205" s="2630"/>
      <c r="I205" s="2630"/>
      <c r="J205" s="359">
        <f>SUMIF(I18:I192,"sb(f)",J18:J192)</f>
        <v>300</v>
      </c>
      <c r="K205" s="1621">
        <f>SUMIF(I18:I192,"sb(f)",K18:K192)</f>
        <v>300</v>
      </c>
      <c r="L205" s="360">
        <f>SUMIF(I18:I192,"sb(f)",L18:L192)</f>
        <v>300</v>
      </c>
      <c r="M205" s="1904"/>
      <c r="N205" s="2224"/>
      <c r="O205" s="2224"/>
      <c r="P205" s="2224"/>
      <c r="Q205" s="2224"/>
    </row>
    <row r="206" spans="1:24" s="2" customFormat="1" ht="28.95" customHeight="1" x14ac:dyDescent="0.3">
      <c r="A206" s="2629" t="s">
        <v>459</v>
      </c>
      <c r="B206" s="2630"/>
      <c r="C206" s="2630"/>
      <c r="D206" s="2630"/>
      <c r="E206" s="2630"/>
      <c r="F206" s="2630"/>
      <c r="G206" s="2630"/>
      <c r="H206" s="2630"/>
      <c r="I206" s="2630"/>
      <c r="J206" s="359">
        <f>SUMIF(I18:I192,"sb(es)",J18:J192)</f>
        <v>2766.4</v>
      </c>
      <c r="K206" s="1621">
        <f>SUMIF(I18:I192,"sb(es)",K18:K192)</f>
        <v>788.2</v>
      </c>
      <c r="L206" s="360">
        <f>SUMIF(I18:I192,"sb(es)",L18:L192)</f>
        <v>489.2</v>
      </c>
      <c r="M206" s="1905"/>
      <c r="N206" s="2227"/>
      <c r="O206" s="2227"/>
      <c r="P206" s="2227"/>
      <c r="Q206" s="2227"/>
    </row>
    <row r="207" spans="1:24" s="2" customFormat="1" ht="30.75" customHeight="1" x14ac:dyDescent="0.3">
      <c r="A207" s="2629" t="s">
        <v>460</v>
      </c>
      <c r="B207" s="2630"/>
      <c r="C207" s="2630"/>
      <c r="D207" s="2630"/>
      <c r="E207" s="2630"/>
      <c r="F207" s="2630"/>
      <c r="G207" s="2630"/>
      <c r="H207" s="2630"/>
      <c r="I207" s="2630"/>
      <c r="J207" s="359">
        <f>SUMIF(I18:I192,"SB(esa)",J18:J192)</f>
        <v>40.599999999999994</v>
      </c>
      <c r="K207" s="1621">
        <f>SUMIF(I18:I192,"SB(esa)",K18:K192)</f>
        <v>40.599999999999994</v>
      </c>
      <c r="L207" s="360">
        <f>SUMIF(I18:I192,"SB(esa)",L18:L192)</f>
        <v>13.5</v>
      </c>
      <c r="M207" s="1905"/>
      <c r="N207" s="2227"/>
      <c r="O207" s="2227"/>
      <c r="P207" s="2227"/>
      <c r="Q207" s="2227"/>
      <c r="V207" s="3"/>
    </row>
    <row r="208" spans="1:24" s="2" customFormat="1" ht="15.75" customHeight="1" x14ac:dyDescent="0.3">
      <c r="A208" s="2618" t="s">
        <v>146</v>
      </c>
      <c r="B208" s="2619"/>
      <c r="C208" s="2619"/>
      <c r="D208" s="2619"/>
      <c r="E208" s="2619"/>
      <c r="F208" s="2619"/>
      <c r="G208" s="2619"/>
      <c r="H208" s="2620"/>
      <c r="I208" s="2620"/>
      <c r="J208" s="1999">
        <f>SUMIF(I18:I192,"sb(sp)",J18:J192)</f>
        <v>1743.2</v>
      </c>
      <c r="K208" s="2000">
        <f>SUMIF(I18:I192,"sb(sp)",K18:K192)</f>
        <v>1766.5</v>
      </c>
      <c r="L208" s="2006">
        <f>SUMIF(I18:I192,"sb(sp)",L18:L192)</f>
        <v>1123.8999999999996</v>
      </c>
      <c r="M208" s="1904"/>
      <c r="N208" s="2227"/>
      <c r="O208" s="2227"/>
      <c r="P208" s="2227"/>
      <c r="Q208" s="2227"/>
    </row>
    <row r="209" spans="1:23" s="2" customFormat="1" ht="16.5" customHeight="1" x14ac:dyDescent="0.3">
      <c r="A209" s="2618" t="s">
        <v>147</v>
      </c>
      <c r="B209" s="2619"/>
      <c r="C209" s="2619"/>
      <c r="D209" s="2619"/>
      <c r="E209" s="2619"/>
      <c r="F209" s="2619"/>
      <c r="G209" s="2619"/>
      <c r="H209" s="2620"/>
      <c r="I209" s="2620"/>
      <c r="J209" s="359">
        <f>SUMIF(I18:I192,"sb(vb)",J18:J192)</f>
        <v>4829.2</v>
      </c>
      <c r="K209" s="1621">
        <f>SUMIF(I18:I192,"sb(vb)",K18:K192)</f>
        <v>6151.4</v>
      </c>
      <c r="L209" s="360">
        <f>SUMIF(I18:I192,"sb(vb)",L18:L192)</f>
        <v>5985.5000000000009</v>
      </c>
      <c r="M209" s="1905"/>
      <c r="N209" s="2227"/>
      <c r="O209" s="2227"/>
      <c r="P209" s="2227"/>
      <c r="Q209" s="2227"/>
    </row>
    <row r="210" spans="1:23" s="2" customFormat="1" ht="15.75" customHeight="1" x14ac:dyDescent="0.3">
      <c r="A210" s="2660" t="s">
        <v>421</v>
      </c>
      <c r="B210" s="2661"/>
      <c r="C210" s="2661"/>
      <c r="D210" s="2661"/>
      <c r="E210" s="2661"/>
      <c r="F210" s="2661"/>
      <c r="G210" s="2661"/>
      <c r="H210" s="2662"/>
      <c r="I210" s="2662"/>
      <c r="J210" s="2001">
        <f>SUMIF(I18:I192,"sb(l)",J18:J192)</f>
        <v>926.5</v>
      </c>
      <c r="K210" s="2002">
        <f>SUMIF(I18:I192,"sb(l)",K18:K192)</f>
        <v>926.5</v>
      </c>
      <c r="L210" s="2003">
        <f>SUMIF(I18:I192,"sb(l)",L18:L192)</f>
        <v>805.19999999999993</v>
      </c>
      <c r="M210" s="1904"/>
      <c r="N210" s="2224"/>
      <c r="O210" s="2224"/>
      <c r="P210" s="2224"/>
      <c r="Q210" s="2224"/>
    </row>
    <row r="211" spans="1:23" s="2" customFormat="1" ht="15.75" customHeight="1" x14ac:dyDescent="0.3">
      <c r="A211" s="2663" t="s">
        <v>515</v>
      </c>
      <c r="B211" s="2664"/>
      <c r="C211" s="2664"/>
      <c r="D211" s="2664"/>
      <c r="E211" s="2664"/>
      <c r="F211" s="2664"/>
      <c r="G211" s="2664"/>
      <c r="H211" s="2664"/>
      <c r="I211" s="2664"/>
      <c r="J211" s="2001">
        <f>SUMIF(I19:I193,"sb(spl)",J19:J193)</f>
        <v>0</v>
      </c>
      <c r="K211" s="2002">
        <f>SUMIF(I19:I193,"sb(spl)",K19:K193)</f>
        <v>891.4</v>
      </c>
      <c r="L211" s="2003">
        <f>SUMIF(I19:I193,"sb(spl)",L19:L193)</f>
        <v>558.20000000000005</v>
      </c>
      <c r="M211" s="1904"/>
      <c r="N211" s="2224"/>
      <c r="O211" s="2224"/>
      <c r="P211" s="2224"/>
      <c r="Q211" s="2224"/>
    </row>
    <row r="212" spans="1:23" s="2" customFormat="1" ht="15.75" customHeight="1" x14ac:dyDescent="0.3">
      <c r="A212" s="2663" t="s">
        <v>516</v>
      </c>
      <c r="B212" s="2664"/>
      <c r="C212" s="2664"/>
      <c r="D212" s="2664"/>
      <c r="E212" s="2664"/>
      <c r="F212" s="2664"/>
      <c r="G212" s="2664"/>
      <c r="H212" s="2664"/>
      <c r="I212" s="2664"/>
      <c r="J212" s="2001">
        <f>SUMIF(I19:I193,"sb(vbl)",J19:J193)</f>
        <v>34.6</v>
      </c>
      <c r="K212" s="2002">
        <f>SUMIF(I19:I193,"sb(vbl)",K19:K193)</f>
        <v>34.6</v>
      </c>
      <c r="L212" s="2003">
        <f>SUMIF(I19:I193,"sb(vbl)",L19:L193)</f>
        <v>34</v>
      </c>
      <c r="M212" s="1904"/>
      <c r="N212" s="2224"/>
      <c r="O212" s="2224"/>
      <c r="P212" s="2224"/>
      <c r="Q212" s="2224"/>
    </row>
    <row r="213" spans="1:23" s="2" customFormat="1" ht="30" customHeight="1" x14ac:dyDescent="0.3">
      <c r="A213" s="2663" t="s">
        <v>517</v>
      </c>
      <c r="B213" s="2664"/>
      <c r="C213" s="2664"/>
      <c r="D213" s="2664"/>
      <c r="E213" s="2664"/>
      <c r="F213" s="2664"/>
      <c r="G213" s="2664"/>
      <c r="H213" s="2664"/>
      <c r="I213" s="2664"/>
      <c r="J213" s="2001">
        <f>SUMIF(I19:I193,"sb(esl)",J19:J193)</f>
        <v>375</v>
      </c>
      <c r="K213" s="2002">
        <f>SUMIF(I19:I193,"sb(esl)",K19:K193)</f>
        <v>375</v>
      </c>
      <c r="L213" s="2003">
        <f>SUMIF(I19:I193,"sb(esl)",L19:L193)</f>
        <v>372.2</v>
      </c>
      <c r="M213" s="1904"/>
      <c r="N213" s="2224"/>
      <c r="O213" s="2224"/>
      <c r="P213" s="2224"/>
      <c r="Q213" s="2224"/>
    </row>
    <row r="214" spans="1:23" s="2" customFormat="1" ht="30" customHeight="1" thickBot="1" x14ac:dyDescent="0.35">
      <c r="A214" s="2663" t="s">
        <v>518</v>
      </c>
      <c r="B214" s="2664"/>
      <c r="C214" s="2664"/>
      <c r="D214" s="2664"/>
      <c r="E214" s="2664"/>
      <c r="F214" s="2664"/>
      <c r="G214" s="2664"/>
      <c r="H214" s="2664"/>
      <c r="I214" s="2664"/>
      <c r="J214" s="2001">
        <f>SUMIF(I19:I193,"sb(fl)",J19:J193)</f>
        <v>511.5</v>
      </c>
      <c r="K214" s="2002">
        <f>SUMIF(I19:I193,"sb(fl)",K19:K193)</f>
        <v>511.5</v>
      </c>
      <c r="L214" s="2003">
        <f>SUMIF(I19:I193,"sb(fl)",L19:L193)</f>
        <v>391.1</v>
      </c>
      <c r="M214" s="1904"/>
      <c r="N214" s="2224"/>
      <c r="O214" s="2224"/>
      <c r="P214" s="2224"/>
      <c r="Q214" s="2224"/>
    </row>
    <row r="215" spans="1:23" s="2" customFormat="1" ht="15.75" customHeight="1" thickBot="1" x14ac:dyDescent="0.35">
      <c r="A215" s="2615" t="s">
        <v>148</v>
      </c>
      <c r="B215" s="2616"/>
      <c r="C215" s="2616"/>
      <c r="D215" s="2616"/>
      <c r="E215" s="2616"/>
      <c r="F215" s="2616"/>
      <c r="G215" s="2616"/>
      <c r="H215" s="2617"/>
      <c r="I215" s="2617"/>
      <c r="J215" s="1892">
        <f>SUM(J216:J218)</f>
        <v>27314.199999999997</v>
      </c>
      <c r="K215" s="1997">
        <f>SUM(K216:K218)</f>
        <v>27279.399999999994</v>
      </c>
      <c r="L215" s="1998">
        <f>SUM(L216:L218)</f>
        <v>23365.4</v>
      </c>
      <c r="M215" s="1905"/>
      <c r="N215" s="2227"/>
      <c r="O215" s="2227"/>
      <c r="P215" s="2227"/>
      <c r="Q215" s="2227"/>
    </row>
    <row r="216" spans="1:23" s="2" customFormat="1" ht="15.75" customHeight="1" x14ac:dyDescent="0.3">
      <c r="A216" s="2618" t="s">
        <v>422</v>
      </c>
      <c r="B216" s="2619"/>
      <c r="C216" s="2619"/>
      <c r="D216" s="2619"/>
      <c r="E216" s="2619"/>
      <c r="F216" s="2619"/>
      <c r="G216" s="2619"/>
      <c r="H216" s="2620"/>
      <c r="I216" s="2620"/>
      <c r="J216" s="358">
        <f>SUMIF(I18:I192,"es",J18:J192)</f>
        <v>103.19999999999999</v>
      </c>
      <c r="K216" s="2004">
        <f>SUMIF(I18:I192,"es",K18:K192)</f>
        <v>103.19999999999999</v>
      </c>
      <c r="L216" s="2005">
        <f>SUMIF(I18:I192,"es",L18:L192)</f>
        <v>0</v>
      </c>
      <c r="M216" s="1863"/>
      <c r="N216" s="2225"/>
      <c r="O216" s="2227"/>
      <c r="P216" s="2225"/>
      <c r="Q216" s="2225"/>
    </row>
    <row r="217" spans="1:23" s="2" customFormat="1" ht="15.75" customHeight="1" x14ac:dyDescent="0.3">
      <c r="A217" s="2621" t="s">
        <v>150</v>
      </c>
      <c r="B217" s="2622"/>
      <c r="C217" s="2622"/>
      <c r="D217" s="2622"/>
      <c r="E217" s="2622"/>
      <c r="F217" s="2622"/>
      <c r="G217" s="2622"/>
      <c r="H217" s="2623"/>
      <c r="I217" s="2623"/>
      <c r="J217" s="1999">
        <f>SUMIF(I18:I192,"lrvb",J18:J192)</f>
        <v>27205.999999999996</v>
      </c>
      <c r="K217" s="2000">
        <f>SUMIF(I18:I192,"lrvb",K18:K192)</f>
        <v>27165.799999999992</v>
      </c>
      <c r="L217" s="2006">
        <f>SUMIF(I18:I192,"lrvb",L18:L192)</f>
        <v>23355.7</v>
      </c>
      <c r="M217" s="361"/>
      <c r="N217" s="2227"/>
      <c r="O217" s="2227"/>
      <c r="P217" s="2227"/>
      <c r="Q217" s="2227"/>
    </row>
    <row r="218" spans="1:23" s="2" customFormat="1" ht="15.75" customHeight="1" thickBot="1" x14ac:dyDescent="0.35">
      <c r="A218" s="2652" t="s">
        <v>151</v>
      </c>
      <c r="B218" s="2653"/>
      <c r="C218" s="2653"/>
      <c r="D218" s="2653"/>
      <c r="E218" s="2653"/>
      <c r="F218" s="2653"/>
      <c r="G218" s="2653"/>
      <c r="H218" s="2654"/>
      <c r="I218" s="2654"/>
      <c r="J218" s="1864">
        <f>SUMIF(I18:I192,"kt",J18:J192)</f>
        <v>5</v>
      </c>
      <c r="K218" s="1622">
        <f>SUMIF(I18:I192,"kt",K18:K192)</f>
        <v>10.4</v>
      </c>
      <c r="L218" s="1299">
        <f>SUMIF(I18:I192,"kt",L18:L192)</f>
        <v>9.6999999999999993</v>
      </c>
      <c r="M218" s="361"/>
      <c r="N218" s="2227"/>
      <c r="O218" s="2227"/>
      <c r="P218" s="2227"/>
      <c r="Q218" s="2227"/>
    </row>
    <row r="219" spans="1:23" s="2" customFormat="1" ht="15.75" customHeight="1" thickBot="1" x14ac:dyDescent="0.35">
      <c r="A219" s="2655" t="s">
        <v>152</v>
      </c>
      <c r="B219" s="2656"/>
      <c r="C219" s="2656"/>
      <c r="D219" s="2656"/>
      <c r="E219" s="2656"/>
      <c r="F219" s="2656"/>
      <c r="G219" s="2656"/>
      <c r="H219" s="2657"/>
      <c r="I219" s="2657"/>
      <c r="J219" s="363">
        <f>J202+J215</f>
        <v>49587.7</v>
      </c>
      <c r="K219" s="1623">
        <f>K202+K215</f>
        <v>49592.899999999994</v>
      </c>
      <c r="L219" s="1617">
        <f>L202+L215</f>
        <v>42564.5</v>
      </c>
      <c r="M219" s="1865"/>
      <c r="N219" s="2225"/>
      <c r="O219" s="2227"/>
      <c r="P219" s="2225"/>
      <c r="Q219" s="2225"/>
    </row>
    <row r="220" spans="1:23" x14ac:dyDescent="0.3">
      <c r="G220" s="2658" t="s">
        <v>487</v>
      </c>
      <c r="H220" s="2658"/>
      <c r="I220" s="2659"/>
      <c r="J220" s="2659"/>
      <c r="K220" s="2659"/>
      <c r="L220" s="2659"/>
    </row>
    <row r="221" spans="1:23" x14ac:dyDescent="0.3">
      <c r="J221" s="1825"/>
      <c r="K221" s="1825"/>
      <c r="L221" s="1825"/>
    </row>
    <row r="222" spans="1:23" x14ac:dyDescent="0.3">
      <c r="J222" s="1825"/>
      <c r="K222" s="1825"/>
      <c r="L222" s="1825"/>
    </row>
    <row r="223" spans="1:23" x14ac:dyDescent="0.3">
      <c r="J223" s="1825"/>
      <c r="K223" s="1825"/>
      <c r="L223" s="1825"/>
      <c r="M223" s="1300"/>
      <c r="W223" s="2007"/>
    </row>
    <row r="224" spans="1:23" x14ac:dyDescent="0.3">
      <c r="J224" s="1825"/>
      <c r="K224" s="1825"/>
      <c r="L224" s="1825"/>
    </row>
    <row r="226" spans="10:12" x14ac:dyDescent="0.3">
      <c r="J226" s="1825"/>
      <c r="K226" s="1825"/>
      <c r="L226" s="1825"/>
    </row>
  </sheetData>
  <mergeCells count="264">
    <mergeCell ref="P77:Q77"/>
    <mergeCell ref="P136:P137"/>
    <mergeCell ref="A198:L198"/>
    <mergeCell ref="M4:O4"/>
    <mergeCell ref="P4:P6"/>
    <mergeCell ref="Q4:Q6"/>
    <mergeCell ref="J5:J6"/>
    <mergeCell ref="K5:K6"/>
    <mergeCell ref="J4:L4"/>
    <mergeCell ref="L5:L6"/>
    <mergeCell ref="N5:O5"/>
    <mergeCell ref="N34:N35"/>
    <mergeCell ref="O18:O19"/>
    <mergeCell ref="O20:O21"/>
    <mergeCell ref="O34:O35"/>
    <mergeCell ref="B9:L16"/>
    <mergeCell ref="A9:A16"/>
    <mergeCell ref="P15:Q15"/>
    <mergeCell ref="A7:Q7"/>
    <mergeCell ref="A8:Q8"/>
    <mergeCell ref="C17:Q17"/>
    <mergeCell ref="E18:E22"/>
    <mergeCell ref="H18:H20"/>
    <mergeCell ref="P147:Q149"/>
    <mergeCell ref="M18:M19"/>
    <mergeCell ref="M20:M21"/>
    <mergeCell ref="N18:N19"/>
    <mergeCell ref="A1:Q1"/>
    <mergeCell ref="A2:Q2"/>
    <mergeCell ref="A3:Q3"/>
    <mergeCell ref="G4:G6"/>
    <mergeCell ref="H4:H6"/>
    <mergeCell ref="I4:I6"/>
    <mergeCell ref="M5:M6"/>
    <mergeCell ref="A4:A6"/>
    <mergeCell ref="B4:B6"/>
    <mergeCell ref="C4:C6"/>
    <mergeCell ref="D4:D6"/>
    <mergeCell ref="E4:E6"/>
    <mergeCell ref="F4:F6"/>
    <mergeCell ref="N20:N21"/>
    <mergeCell ref="P20:Q21"/>
    <mergeCell ref="E36:E37"/>
    <mergeCell ref="F36:F37"/>
    <mergeCell ref="M36:M37"/>
    <mergeCell ref="A38:A39"/>
    <mergeCell ref="B38:B39"/>
    <mergeCell ref="E38:E39"/>
    <mergeCell ref="F38:F39"/>
    <mergeCell ref="M25:M26"/>
    <mergeCell ref="F27:F30"/>
    <mergeCell ref="M32:M33"/>
    <mergeCell ref="E34:E35"/>
    <mergeCell ref="M34:M35"/>
    <mergeCell ref="E23:E25"/>
    <mergeCell ref="M47:M48"/>
    <mergeCell ref="E50:E51"/>
    <mergeCell ref="F51:I51"/>
    <mergeCell ref="E40:E43"/>
    <mergeCell ref="F40:F43"/>
    <mergeCell ref="G40:G43"/>
    <mergeCell ref="E44:E46"/>
    <mergeCell ref="F44:F46"/>
    <mergeCell ref="G44:G46"/>
    <mergeCell ref="M45:M46"/>
    <mergeCell ref="M40:M42"/>
    <mergeCell ref="A52:A53"/>
    <mergeCell ref="B52:B53"/>
    <mergeCell ref="C52:C53"/>
    <mergeCell ref="E52:E53"/>
    <mergeCell ref="F52:F53"/>
    <mergeCell ref="G52:G53"/>
    <mergeCell ref="E47:E48"/>
    <mergeCell ref="F47:F48"/>
    <mergeCell ref="G47:G48"/>
    <mergeCell ref="A58:A60"/>
    <mergeCell ref="B58:B60"/>
    <mergeCell ref="C58:C60"/>
    <mergeCell ref="E58:E60"/>
    <mergeCell ref="M59:M60"/>
    <mergeCell ref="C61:I61"/>
    <mergeCell ref="M61:Q61"/>
    <mergeCell ref="E54:E55"/>
    <mergeCell ref="H54:H55"/>
    <mergeCell ref="M54:M55"/>
    <mergeCell ref="A56:A57"/>
    <mergeCell ref="B56:B57"/>
    <mergeCell ref="C56:C57"/>
    <mergeCell ref="E56:E57"/>
    <mergeCell ref="M56:M57"/>
    <mergeCell ref="P59:Q60"/>
    <mergeCell ref="P56:P57"/>
    <mergeCell ref="A94:A95"/>
    <mergeCell ref="B94:B95"/>
    <mergeCell ref="C94:C95"/>
    <mergeCell ref="E94:E95"/>
    <mergeCell ref="F94:F95"/>
    <mergeCell ref="G94:G95"/>
    <mergeCell ref="C62:Q62"/>
    <mergeCell ref="E64:E65"/>
    <mergeCell ref="E66:E68"/>
    <mergeCell ref="M66:M67"/>
    <mergeCell ref="E78:E80"/>
    <mergeCell ref="F63:F72"/>
    <mergeCell ref="P66:Q68"/>
    <mergeCell ref="E69:E70"/>
    <mergeCell ref="P78:P79"/>
    <mergeCell ref="P81:Q81"/>
    <mergeCell ref="P82:Q82"/>
    <mergeCell ref="P83:Q83"/>
    <mergeCell ref="P84:Q84"/>
    <mergeCell ref="P86:Q86"/>
    <mergeCell ref="P90:Q90"/>
    <mergeCell ref="M78:M80"/>
    <mergeCell ref="P70:Q70"/>
    <mergeCell ref="P76:Q76"/>
    <mergeCell ref="E96:E98"/>
    <mergeCell ref="E99:E101"/>
    <mergeCell ref="M100:M101"/>
    <mergeCell ref="E102:E106"/>
    <mergeCell ref="M104:M106"/>
    <mergeCell ref="E107:E108"/>
    <mergeCell ref="E86:E90"/>
    <mergeCell ref="E91:E93"/>
    <mergeCell ref="M91:M93"/>
    <mergeCell ref="E123:E124"/>
    <mergeCell ref="M123:M124"/>
    <mergeCell ref="E125:E126"/>
    <mergeCell ref="F125:F128"/>
    <mergeCell ref="H125:H127"/>
    <mergeCell ref="E112:I112"/>
    <mergeCell ref="A113:A114"/>
    <mergeCell ref="B113:B114"/>
    <mergeCell ref="C113:C114"/>
    <mergeCell ref="E113:E114"/>
    <mergeCell ref="F113:F114"/>
    <mergeCell ref="G113:G114"/>
    <mergeCell ref="H113:H114"/>
    <mergeCell ref="A128:A130"/>
    <mergeCell ref="B128:B130"/>
    <mergeCell ref="M128:M130"/>
    <mergeCell ref="E128:E131"/>
    <mergeCell ref="A132:A134"/>
    <mergeCell ref="B132:B134"/>
    <mergeCell ref="E132:E135"/>
    <mergeCell ref="H132:H133"/>
    <mergeCell ref="M134:M135"/>
    <mergeCell ref="L129:L130"/>
    <mergeCell ref="E136:E137"/>
    <mergeCell ref="G136:G137"/>
    <mergeCell ref="H136:H137"/>
    <mergeCell ref="M136:M137"/>
    <mergeCell ref="A138:A142"/>
    <mergeCell ref="B138:B142"/>
    <mergeCell ref="C138:C142"/>
    <mergeCell ref="E138:E142"/>
    <mergeCell ref="F138:F142"/>
    <mergeCell ref="G138:G142"/>
    <mergeCell ref="H138:H142"/>
    <mergeCell ref="C150:I150"/>
    <mergeCell ref="M150:Q150"/>
    <mergeCell ref="A147:A149"/>
    <mergeCell ref="B147:B149"/>
    <mergeCell ref="C147:C149"/>
    <mergeCell ref="E147:E149"/>
    <mergeCell ref="F147:F149"/>
    <mergeCell ref="G147:G149"/>
    <mergeCell ref="H147:H149"/>
    <mergeCell ref="A143:A146"/>
    <mergeCell ref="B143:B146"/>
    <mergeCell ref="C143:C146"/>
    <mergeCell ref="E143:E146"/>
    <mergeCell ref="F143:F146"/>
    <mergeCell ref="G143:G146"/>
    <mergeCell ref="H143:H144"/>
    <mergeCell ref="E168:I168"/>
    <mergeCell ref="M168:Q168"/>
    <mergeCell ref="C169:I169"/>
    <mergeCell ref="M169:Q169"/>
    <mergeCell ref="C170:Q170"/>
    <mergeCell ref="E172:E174"/>
    <mergeCell ref="E160:E161"/>
    <mergeCell ref="E162:E163"/>
    <mergeCell ref="H162:H163"/>
    <mergeCell ref="E164:E165"/>
    <mergeCell ref="E166:E167"/>
    <mergeCell ref="F166:F167"/>
    <mergeCell ref="G166:G167"/>
    <mergeCell ref="H166:H167"/>
    <mergeCell ref="P166:P167"/>
    <mergeCell ref="P172:Q174"/>
    <mergeCell ref="E189:E190"/>
    <mergeCell ref="M189:M190"/>
    <mergeCell ref="E192:E193"/>
    <mergeCell ref="C194:I194"/>
    <mergeCell ref="M194:Q194"/>
    <mergeCell ref="C195:I195"/>
    <mergeCell ref="M195:Q195"/>
    <mergeCell ref="E175:E179"/>
    <mergeCell ref="F175:F177"/>
    <mergeCell ref="H175:H176"/>
    <mergeCell ref="M176:M179"/>
    <mergeCell ref="E180:I180"/>
    <mergeCell ref="E181:E183"/>
    <mergeCell ref="H181:H183"/>
    <mergeCell ref="P175:Q180"/>
    <mergeCell ref="F178:F179"/>
    <mergeCell ref="A218:I218"/>
    <mergeCell ref="A219:I219"/>
    <mergeCell ref="G220:L220"/>
    <mergeCell ref="A209:I209"/>
    <mergeCell ref="A210:I210"/>
    <mergeCell ref="A211:I211"/>
    <mergeCell ref="A212:I212"/>
    <mergeCell ref="A213:I213"/>
    <mergeCell ref="A214:I214"/>
    <mergeCell ref="P22:Q22"/>
    <mergeCell ref="P18:Q19"/>
    <mergeCell ref="P37:Q37"/>
    <mergeCell ref="P47:Q48"/>
    <mergeCell ref="P58:Q58"/>
    <mergeCell ref="A215:I215"/>
    <mergeCell ref="A216:I216"/>
    <mergeCell ref="A217:I217"/>
    <mergeCell ref="A203:I203"/>
    <mergeCell ref="A204:I204"/>
    <mergeCell ref="A205:I205"/>
    <mergeCell ref="A206:I206"/>
    <mergeCell ref="A207:I207"/>
    <mergeCell ref="A208:I208"/>
    <mergeCell ref="B196:I196"/>
    <mergeCell ref="M196:Q196"/>
    <mergeCell ref="A197:R197"/>
    <mergeCell ref="A199:L199"/>
    <mergeCell ref="A202:I202"/>
    <mergeCell ref="J200:J201"/>
    <mergeCell ref="K200:K201"/>
    <mergeCell ref="L200:L201"/>
    <mergeCell ref="A200:I201"/>
    <mergeCell ref="P132:Q132"/>
    <mergeCell ref="P134:P135"/>
    <mergeCell ref="P143:Q144"/>
    <mergeCell ref="P145:Q146"/>
    <mergeCell ref="P157:Q159"/>
    <mergeCell ref="P160:Q161"/>
    <mergeCell ref="P162:Q163"/>
    <mergeCell ref="P164:Q165"/>
    <mergeCell ref="P91:Q93"/>
    <mergeCell ref="P96:Q96"/>
    <mergeCell ref="P97:Q97"/>
    <mergeCell ref="P98:Q98"/>
    <mergeCell ref="P99:Q101"/>
    <mergeCell ref="P110:Q110"/>
    <mergeCell ref="P113:Q114"/>
    <mergeCell ref="P123:P124"/>
    <mergeCell ref="C151:Q151"/>
    <mergeCell ref="E153:E155"/>
    <mergeCell ref="H153:H155"/>
    <mergeCell ref="E157:E159"/>
    <mergeCell ref="H157:H159"/>
    <mergeCell ref="M143:M144"/>
    <mergeCell ref="M113:M114"/>
    <mergeCell ref="E115:E116"/>
    <mergeCell ref="F123:F124"/>
  </mergeCells>
  <printOptions horizontalCentered="1"/>
  <pageMargins left="0.31496062992125984" right="0.31496062992125984" top="0.35433070866141736" bottom="0.15748031496062992" header="0.31496062992125984" footer="0.31496062992125984"/>
  <pageSetup paperSize="9" scale="82" orientation="landscape" r:id="rId1"/>
  <rowBreaks count="9" manualBreakCount="9">
    <brk id="15" max="16" man="1"/>
    <brk id="68" max="16" man="1"/>
    <brk id="85" max="16" man="1"/>
    <brk id="108" max="16" man="1"/>
    <brk id="120" max="16" man="1"/>
    <brk id="142" max="16" man="1"/>
    <brk id="163" max="16" man="1"/>
    <brk id="187" max="16" man="1"/>
    <brk id="198" max="16"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4"/>
  <sheetViews>
    <sheetView topLeftCell="B261" workbookViewId="0">
      <selection activeCell="N250" sqref="N250"/>
    </sheetView>
  </sheetViews>
  <sheetFormatPr defaultColWidth="9.109375" defaultRowHeight="15.6" x14ac:dyDescent="0.3"/>
  <cols>
    <col min="1" max="1" width="8.6640625" style="2272" customWidth="1"/>
    <col min="2" max="2" width="21.6640625" style="2272" customWidth="1"/>
    <col min="3" max="3" width="16.33203125" style="2272" customWidth="1"/>
    <col min="4" max="4" width="8.44140625" style="2272" customWidth="1"/>
    <col min="5" max="7" width="13.33203125" style="2272" customWidth="1"/>
    <col min="8" max="8" width="13.33203125" style="2272" hidden="1" customWidth="1"/>
    <col min="9" max="9" width="22.6640625" style="2272" customWidth="1"/>
    <col min="10" max="10" width="7.33203125" style="2272" customWidth="1"/>
    <col min="11" max="11" width="7.6640625" style="2272" customWidth="1"/>
    <col min="12" max="12" width="8.5546875" style="2272" customWidth="1"/>
    <col min="13" max="14" width="35.88671875" style="2272" customWidth="1"/>
    <col min="15" max="16384" width="9.109375" style="2272"/>
  </cols>
  <sheetData>
    <row r="1" spans="1:14" x14ac:dyDescent="0.3">
      <c r="A1" s="2929" t="s">
        <v>519</v>
      </c>
      <c r="B1" s="2921" t="s">
        <v>520</v>
      </c>
      <c r="C1" s="2921" t="s">
        <v>521</v>
      </c>
      <c r="D1" s="2921" t="s">
        <v>522</v>
      </c>
      <c r="E1" s="2921" t="s">
        <v>523</v>
      </c>
      <c r="F1" s="2921" t="s">
        <v>524</v>
      </c>
      <c r="G1" s="2921" t="s">
        <v>525</v>
      </c>
      <c r="H1" s="2921" t="s">
        <v>526</v>
      </c>
      <c r="I1" s="2921" t="s">
        <v>527</v>
      </c>
      <c r="J1" s="2924"/>
      <c r="K1" s="2924"/>
      <c r="L1" s="2924"/>
      <c r="M1" s="2924"/>
      <c r="N1" s="2925"/>
    </row>
    <row r="2" spans="1:14" x14ac:dyDescent="0.3">
      <c r="A2" s="2930"/>
      <c r="B2" s="2922"/>
      <c r="C2" s="2922"/>
      <c r="D2" s="2922"/>
      <c r="E2" s="2922"/>
      <c r="F2" s="2922"/>
      <c r="G2" s="2922"/>
      <c r="H2" s="2922"/>
      <c r="I2" s="2922" t="s">
        <v>528</v>
      </c>
      <c r="J2" s="2922" t="s">
        <v>529</v>
      </c>
      <c r="K2" s="2922" t="s">
        <v>530</v>
      </c>
      <c r="L2" s="2926"/>
      <c r="M2" s="2922" t="s">
        <v>531</v>
      </c>
      <c r="N2" s="2927" t="s">
        <v>532</v>
      </c>
    </row>
    <row r="3" spans="1:14" ht="16.2" thickBot="1" x14ac:dyDescent="0.35">
      <c r="A3" s="2931"/>
      <c r="B3" s="2923"/>
      <c r="C3" s="2923"/>
      <c r="D3" s="2923"/>
      <c r="E3" s="2923"/>
      <c r="F3" s="2923"/>
      <c r="G3" s="2923"/>
      <c r="H3" s="2923"/>
      <c r="I3" s="2923"/>
      <c r="J3" s="2923"/>
      <c r="K3" s="2273" t="s">
        <v>16</v>
      </c>
      <c r="L3" s="2273" t="s">
        <v>533</v>
      </c>
      <c r="M3" s="2923"/>
      <c r="N3" s="2928"/>
    </row>
    <row r="4" spans="1:14" ht="125.4" thickBot="1" x14ac:dyDescent="0.35">
      <c r="A4" s="2274" t="s">
        <v>138</v>
      </c>
      <c r="B4" s="2275" t="s">
        <v>534</v>
      </c>
      <c r="C4" s="2276" t="s">
        <v>535</v>
      </c>
      <c r="D4" s="2276"/>
      <c r="E4" s="2277">
        <f>SUM(E5:E5)</f>
        <v>23164.9</v>
      </c>
      <c r="F4" s="2277">
        <f>SUM(F5:F5)</f>
        <v>61129.899999999994</v>
      </c>
      <c r="G4" s="2277">
        <f>SUM(G5:G5)</f>
        <v>47877</v>
      </c>
      <c r="H4" s="2277">
        <f>SUM(H5:H5)</f>
        <v>13252.9</v>
      </c>
      <c r="I4" s="2276"/>
      <c r="J4" s="2278"/>
      <c r="K4" s="2279"/>
      <c r="L4" s="2279"/>
      <c r="M4" s="2276"/>
      <c r="N4" s="2280"/>
    </row>
    <row r="5" spans="1:14" ht="171.6" x14ac:dyDescent="0.3">
      <c r="A5" s="2281" t="s">
        <v>536</v>
      </c>
      <c r="B5" s="2282" t="s">
        <v>537</v>
      </c>
      <c r="C5" s="2283" t="s">
        <v>538</v>
      </c>
      <c r="D5" s="2283"/>
      <c r="E5" s="2284">
        <f>E6+E7+E8+E9+E10+E11+E12+E13+E74+E215+E241</f>
        <v>23164.9</v>
      </c>
      <c r="F5" s="2284">
        <f>F6+F7+F8+F9+F10+F11+F12+F13+F74+F215+F241</f>
        <v>61129.899999999994</v>
      </c>
      <c r="G5" s="2284">
        <f>G6+G7+G8+G9+G10+G11+G12+G13+G74+G215+G241+0.1</f>
        <v>47877</v>
      </c>
      <c r="H5" s="2284">
        <f>H6+H7+H8+H9+H10+H11+H12+H13+H74+H215+H241+0.1</f>
        <v>13252.9</v>
      </c>
      <c r="I5" s="2283" t="s">
        <v>539</v>
      </c>
      <c r="J5" s="2285" t="s">
        <v>540</v>
      </c>
      <c r="K5" s="2286" t="s">
        <v>541</v>
      </c>
      <c r="L5" s="2286" t="s">
        <v>542</v>
      </c>
      <c r="M5" s="2283"/>
      <c r="N5" s="2287"/>
    </row>
    <row r="6" spans="1:14" ht="78" x14ac:dyDescent="0.3">
      <c r="A6" s="2288"/>
      <c r="B6" s="2289"/>
      <c r="C6" s="2290"/>
      <c r="D6" s="2290"/>
      <c r="E6" s="2291">
        <v>0</v>
      </c>
      <c r="F6" s="2291">
        <v>0</v>
      </c>
      <c r="G6" s="2291">
        <v>0</v>
      </c>
      <c r="H6" s="2291">
        <v>0</v>
      </c>
      <c r="I6" s="2290" t="s">
        <v>543</v>
      </c>
      <c r="J6" s="2292" t="s">
        <v>540</v>
      </c>
      <c r="K6" s="2293" t="s">
        <v>544</v>
      </c>
      <c r="L6" s="2293" t="s">
        <v>545</v>
      </c>
      <c r="M6" s="2290"/>
      <c r="N6" s="2294"/>
    </row>
    <row r="7" spans="1:14" ht="140.4" x14ac:dyDescent="0.3">
      <c r="A7" s="2288"/>
      <c r="B7" s="2289"/>
      <c r="C7" s="2290"/>
      <c r="D7" s="2290"/>
      <c r="E7" s="2291">
        <v>0</v>
      </c>
      <c r="F7" s="2291">
        <v>0</v>
      </c>
      <c r="G7" s="2291">
        <v>0</v>
      </c>
      <c r="H7" s="2291">
        <v>0</v>
      </c>
      <c r="I7" s="2290" t="s">
        <v>546</v>
      </c>
      <c r="J7" s="2292" t="s">
        <v>540</v>
      </c>
      <c r="K7" s="2293" t="s">
        <v>547</v>
      </c>
      <c r="L7" s="2293" t="s">
        <v>548</v>
      </c>
      <c r="M7" s="2290"/>
      <c r="N7" s="2294"/>
    </row>
    <row r="8" spans="1:14" ht="156" x14ac:dyDescent="0.3">
      <c r="A8" s="2288"/>
      <c r="B8" s="2289"/>
      <c r="C8" s="2290"/>
      <c r="D8" s="2290"/>
      <c r="E8" s="2291">
        <v>0</v>
      </c>
      <c r="F8" s="2291">
        <v>0</v>
      </c>
      <c r="G8" s="2291">
        <v>0</v>
      </c>
      <c r="H8" s="2291">
        <v>0</v>
      </c>
      <c r="I8" s="2290" t="s">
        <v>549</v>
      </c>
      <c r="J8" s="2292" t="s">
        <v>540</v>
      </c>
      <c r="K8" s="2293" t="s">
        <v>550</v>
      </c>
      <c r="L8" s="2293" t="s">
        <v>551</v>
      </c>
      <c r="M8" s="2290"/>
      <c r="N8" s="2294" t="s">
        <v>552</v>
      </c>
    </row>
    <row r="9" spans="1:14" ht="62.4" x14ac:dyDescent="0.3">
      <c r="A9" s="2288"/>
      <c r="B9" s="2289"/>
      <c r="C9" s="2290"/>
      <c r="D9" s="2290"/>
      <c r="E9" s="2291">
        <v>0</v>
      </c>
      <c r="F9" s="2291">
        <v>0</v>
      </c>
      <c r="G9" s="2291">
        <v>0</v>
      </c>
      <c r="H9" s="2291">
        <v>0</v>
      </c>
      <c r="I9" s="2290" t="s">
        <v>553</v>
      </c>
      <c r="J9" s="2292" t="s">
        <v>554</v>
      </c>
      <c r="K9" s="2293" t="s">
        <v>555</v>
      </c>
      <c r="L9" s="2293" t="s">
        <v>556</v>
      </c>
      <c r="M9" s="2290"/>
      <c r="N9" s="2294"/>
    </row>
    <row r="10" spans="1:14" ht="109.2" x14ac:dyDescent="0.3">
      <c r="A10" s="2288"/>
      <c r="B10" s="2289"/>
      <c r="C10" s="2290"/>
      <c r="D10" s="2290"/>
      <c r="E10" s="2291">
        <v>0</v>
      </c>
      <c r="F10" s="2291">
        <v>0</v>
      </c>
      <c r="G10" s="2291">
        <v>0</v>
      </c>
      <c r="H10" s="2291">
        <v>0</v>
      </c>
      <c r="I10" s="2290" t="s">
        <v>557</v>
      </c>
      <c r="J10" s="2292" t="s">
        <v>554</v>
      </c>
      <c r="K10" s="2293" t="s">
        <v>558</v>
      </c>
      <c r="L10" s="2293" t="s">
        <v>559</v>
      </c>
      <c r="M10" s="2290"/>
      <c r="N10" s="2294"/>
    </row>
    <row r="11" spans="1:14" ht="78" x14ac:dyDescent="0.3">
      <c r="A11" s="2288"/>
      <c r="B11" s="2289"/>
      <c r="C11" s="2290"/>
      <c r="D11" s="2290"/>
      <c r="E11" s="2291">
        <v>0</v>
      </c>
      <c r="F11" s="2291">
        <v>0</v>
      </c>
      <c r="G11" s="2291">
        <v>0</v>
      </c>
      <c r="H11" s="2291">
        <v>0</v>
      </c>
      <c r="I11" s="2290" t="s">
        <v>560</v>
      </c>
      <c r="J11" s="2292" t="s">
        <v>540</v>
      </c>
      <c r="K11" s="2293" t="s">
        <v>561</v>
      </c>
      <c r="L11" s="2293" t="s">
        <v>562</v>
      </c>
      <c r="M11" s="2290"/>
      <c r="N11" s="2294"/>
    </row>
    <row r="12" spans="1:14" ht="94.2" thickBot="1" x14ac:dyDescent="0.35">
      <c r="A12" s="2288"/>
      <c r="B12" s="2289"/>
      <c r="C12" s="2290"/>
      <c r="D12" s="2290"/>
      <c r="E12" s="2291">
        <v>0</v>
      </c>
      <c r="F12" s="2291">
        <v>0</v>
      </c>
      <c r="G12" s="2291">
        <v>0</v>
      </c>
      <c r="H12" s="2291">
        <v>0</v>
      </c>
      <c r="I12" s="2290" t="s">
        <v>563</v>
      </c>
      <c r="J12" s="2292" t="s">
        <v>554</v>
      </c>
      <c r="K12" s="2293" t="s">
        <v>564</v>
      </c>
      <c r="L12" s="2293" t="s">
        <v>559</v>
      </c>
      <c r="M12" s="2290"/>
      <c r="N12" s="2294"/>
    </row>
    <row r="13" spans="1:14" ht="156.6" thickBot="1" x14ac:dyDescent="0.35">
      <c r="A13" s="2295" t="s">
        <v>565</v>
      </c>
      <c r="B13" s="2296" t="s">
        <v>566</v>
      </c>
      <c r="C13" s="2297" t="s">
        <v>567</v>
      </c>
      <c r="D13" s="2297"/>
      <c r="E13" s="2298">
        <f>E14+E64+E66+E69+E71</f>
        <v>8526.9000000000015</v>
      </c>
      <c r="F13" s="2298">
        <f>F14+F64+F66+F69+F71</f>
        <v>47517.899999999994</v>
      </c>
      <c r="G13" s="2298">
        <f>G14+G64+G66+G69+G71</f>
        <v>36939.1</v>
      </c>
      <c r="H13" s="2298">
        <f>H14+H64+H66+H69+H71</f>
        <v>10578.699999999999</v>
      </c>
      <c r="I13" s="2297"/>
      <c r="J13" s="2299"/>
      <c r="K13" s="2300"/>
      <c r="L13" s="2300"/>
      <c r="M13" s="2297"/>
      <c r="N13" s="2301"/>
    </row>
    <row r="14" spans="1:14" ht="46.8" x14ac:dyDescent="0.3">
      <c r="A14" s="2302" t="s">
        <v>568</v>
      </c>
      <c r="B14" s="2303" t="s">
        <v>25</v>
      </c>
      <c r="C14" s="2304" t="s">
        <v>569</v>
      </c>
      <c r="D14" s="2304"/>
      <c r="E14" s="2305">
        <f>E15+E16+E17+E20+E23+E24+E25+E26+E27+E28+E29+E30+E33+E34+E44+E45+E46+E49+E50+E51+E52+E53+E54+E58+E61+E63</f>
        <v>7816.3000000000011</v>
      </c>
      <c r="F14" s="2305">
        <f>F15+F16+F17+F20+F23+F24+F25+F26+F27+F28+F29+F30+F33+F34+F44+F45+F46+F49+F50+F51+F52+F53+F54+F58+F61+F63</f>
        <v>9434.4000000000015</v>
      </c>
      <c r="G14" s="2305">
        <f>G15+G16+G17+G20+G23+G24+G25+G26+G27+G28+G29+G30+G33+G34+G44+G45+G46+G49+G50+G51+G52+G53+G54+G58+G61+G63+0.1</f>
        <v>7968.5000000000009</v>
      </c>
      <c r="H14" s="2305">
        <f>H15+H16+H17+H20+H23+H24+H25+H26+H27+H28+H29+H30+H33+H34+H44+H45+H46+H49+H50+H51+H52+H53+H54+H58+H61+H63-0.2</f>
        <v>1465.8</v>
      </c>
      <c r="I14" s="2304" t="s">
        <v>34</v>
      </c>
      <c r="J14" s="2306" t="s">
        <v>570</v>
      </c>
      <c r="K14" s="2307" t="s">
        <v>571</v>
      </c>
      <c r="L14" s="2307" t="s">
        <v>572</v>
      </c>
      <c r="M14" s="2304"/>
      <c r="N14" s="2308" t="s">
        <v>573</v>
      </c>
    </row>
    <row r="15" spans="1:14" ht="62.4" x14ac:dyDescent="0.3">
      <c r="A15" s="2288"/>
      <c r="B15" s="2289"/>
      <c r="C15" s="2290"/>
      <c r="D15" s="2290"/>
      <c r="E15" s="2291">
        <v>0</v>
      </c>
      <c r="F15" s="2291">
        <v>0</v>
      </c>
      <c r="G15" s="2291">
        <v>0</v>
      </c>
      <c r="H15" s="2291">
        <v>0</v>
      </c>
      <c r="I15" s="2290" t="s">
        <v>574</v>
      </c>
      <c r="J15" s="2292" t="s">
        <v>575</v>
      </c>
      <c r="K15" s="2293" t="s">
        <v>576</v>
      </c>
      <c r="L15" s="2293">
        <v>120</v>
      </c>
      <c r="M15" s="2290"/>
      <c r="N15" s="2294"/>
    </row>
    <row r="16" spans="1:14" ht="47.4" thickBot="1" x14ac:dyDescent="0.35">
      <c r="A16" s="2288"/>
      <c r="B16" s="2289"/>
      <c r="C16" s="2290"/>
      <c r="D16" s="2290"/>
      <c r="E16" s="2291">
        <v>0</v>
      </c>
      <c r="F16" s="2291">
        <v>0</v>
      </c>
      <c r="G16" s="2291">
        <v>0</v>
      </c>
      <c r="H16" s="2291">
        <v>0</v>
      </c>
      <c r="I16" s="2290" t="s">
        <v>577</v>
      </c>
      <c r="J16" s="2292" t="s">
        <v>575</v>
      </c>
      <c r="K16" s="2293" t="s">
        <v>578</v>
      </c>
      <c r="L16" s="2293">
        <v>857</v>
      </c>
      <c r="M16" s="2290"/>
      <c r="N16" s="2294"/>
    </row>
    <row r="17" spans="1:14" ht="202.8" x14ac:dyDescent="0.3">
      <c r="A17" s="2302" t="s">
        <v>579</v>
      </c>
      <c r="B17" s="2303" t="s">
        <v>580</v>
      </c>
      <c r="C17" s="2304" t="s">
        <v>581</v>
      </c>
      <c r="D17" s="2304"/>
      <c r="E17" s="2305">
        <f>SUM(E18:E19)</f>
        <v>1393.9</v>
      </c>
      <c r="F17" s="2305">
        <f>SUM(F18:F19)</f>
        <v>1052.7</v>
      </c>
      <c r="G17" s="2305">
        <f>SUM(G18:G19)</f>
        <v>610.4</v>
      </c>
      <c r="H17" s="2305">
        <f>SUM(H18:H19)</f>
        <v>442.3</v>
      </c>
      <c r="I17" s="2304"/>
      <c r="J17" s="2306"/>
      <c r="K17" s="2307"/>
      <c r="L17" s="2307"/>
      <c r="M17" s="2304"/>
      <c r="N17" s="2308"/>
    </row>
    <row r="18" spans="1:14" x14ac:dyDescent="0.3">
      <c r="A18" s="2288"/>
      <c r="B18" s="2289"/>
      <c r="C18" s="2290"/>
      <c r="D18" s="2290" t="s">
        <v>176</v>
      </c>
      <c r="E18" s="2291">
        <v>121.9</v>
      </c>
      <c r="F18" s="2291">
        <v>121.9</v>
      </c>
      <c r="G18" s="2291">
        <v>121.9</v>
      </c>
      <c r="H18" s="2291">
        <v>0</v>
      </c>
      <c r="I18" s="2290"/>
      <c r="J18" s="2292"/>
      <c r="K18" s="2293"/>
      <c r="L18" s="2293"/>
      <c r="M18" s="2290"/>
      <c r="N18" s="2294"/>
    </row>
    <row r="19" spans="1:14" ht="16.2" thickBot="1" x14ac:dyDescent="0.35">
      <c r="A19" s="2288"/>
      <c r="B19" s="2289"/>
      <c r="C19" s="2290"/>
      <c r="D19" s="2290" t="s">
        <v>31</v>
      </c>
      <c r="E19" s="2291">
        <v>1272</v>
      </c>
      <c r="F19" s="2291">
        <v>930.8</v>
      </c>
      <c r="G19" s="2291">
        <v>488.5</v>
      </c>
      <c r="H19" s="2291">
        <v>442.3</v>
      </c>
      <c r="I19" s="2290"/>
      <c r="J19" s="2292"/>
      <c r="K19" s="2293"/>
      <c r="L19" s="2293"/>
      <c r="M19" s="2290"/>
      <c r="N19" s="2294"/>
    </row>
    <row r="20" spans="1:14" ht="218.4" x14ac:dyDescent="0.3">
      <c r="A20" s="2302" t="s">
        <v>582</v>
      </c>
      <c r="B20" s="2303" t="s">
        <v>583</v>
      </c>
      <c r="C20" s="2304" t="s">
        <v>584</v>
      </c>
      <c r="D20" s="2304"/>
      <c r="E20" s="2305">
        <f>SUM(E21:E22)</f>
        <v>46.2</v>
      </c>
      <c r="F20" s="2305">
        <f>SUM(F21:F22)</f>
        <v>43.2</v>
      </c>
      <c r="G20" s="2305">
        <f>SUM(G21:G22)</f>
        <v>11.1</v>
      </c>
      <c r="H20" s="2305">
        <f>SUM(H21:H22)</f>
        <v>32.1</v>
      </c>
      <c r="I20" s="2304"/>
      <c r="J20" s="2306"/>
      <c r="K20" s="2307"/>
      <c r="L20" s="2307"/>
      <c r="M20" s="2304"/>
      <c r="N20" s="2308"/>
    </row>
    <row r="21" spans="1:14" x14ac:dyDescent="0.3">
      <c r="A21" s="2288"/>
      <c r="B21" s="2289"/>
      <c r="C21" s="2290"/>
      <c r="D21" s="2290" t="s">
        <v>31</v>
      </c>
      <c r="E21" s="2291">
        <v>44.2</v>
      </c>
      <c r="F21" s="2291">
        <v>41.2</v>
      </c>
      <c r="G21" s="2291">
        <v>9.1</v>
      </c>
      <c r="H21" s="2291">
        <v>32.1</v>
      </c>
      <c r="I21" s="2290"/>
      <c r="J21" s="2292"/>
      <c r="K21" s="2293"/>
      <c r="L21" s="2293"/>
      <c r="M21" s="2290"/>
      <c r="N21" s="2294"/>
    </row>
    <row r="22" spans="1:14" ht="16.2" thickBot="1" x14ac:dyDescent="0.35">
      <c r="A22" s="2288"/>
      <c r="B22" s="2289"/>
      <c r="C22" s="2290"/>
      <c r="D22" s="2290" t="s">
        <v>176</v>
      </c>
      <c r="E22" s="2291">
        <v>2</v>
      </c>
      <c r="F22" s="2291">
        <v>2</v>
      </c>
      <c r="G22" s="2291">
        <v>2</v>
      </c>
      <c r="H22" s="2291">
        <v>0</v>
      </c>
      <c r="I22" s="2290"/>
      <c r="J22" s="2292"/>
      <c r="K22" s="2293"/>
      <c r="L22" s="2293"/>
      <c r="M22" s="2290"/>
      <c r="N22" s="2294"/>
    </row>
    <row r="23" spans="1:14" ht="219" thickBot="1" x14ac:dyDescent="0.35">
      <c r="A23" s="2302" t="s">
        <v>585</v>
      </c>
      <c r="B23" s="2303" t="s">
        <v>586</v>
      </c>
      <c r="C23" s="2304" t="s">
        <v>581</v>
      </c>
      <c r="D23" s="2304" t="s">
        <v>31</v>
      </c>
      <c r="E23" s="2309">
        <v>10.4</v>
      </c>
      <c r="F23" s="2309">
        <v>10.4</v>
      </c>
      <c r="G23" s="2309">
        <v>4.9000000000000004</v>
      </c>
      <c r="H23" s="2309">
        <v>5.5</v>
      </c>
      <c r="I23" s="2304"/>
      <c r="J23" s="2306"/>
      <c r="K23" s="2307"/>
      <c r="L23" s="2307"/>
      <c r="M23" s="2304"/>
      <c r="N23" s="2308"/>
    </row>
    <row r="24" spans="1:14" ht="187.8" thickBot="1" x14ac:dyDescent="0.35">
      <c r="A24" s="2302" t="s">
        <v>587</v>
      </c>
      <c r="B24" s="2303" t="s">
        <v>588</v>
      </c>
      <c r="C24" s="2304" t="s">
        <v>581</v>
      </c>
      <c r="D24" s="2304" t="s">
        <v>31</v>
      </c>
      <c r="E24" s="2309">
        <v>20.399999999999999</v>
      </c>
      <c r="F24" s="2309">
        <v>23.4</v>
      </c>
      <c r="G24" s="2309">
        <v>21.8</v>
      </c>
      <c r="H24" s="2309">
        <v>1.6</v>
      </c>
      <c r="I24" s="2304"/>
      <c r="J24" s="2306"/>
      <c r="K24" s="2307"/>
      <c r="L24" s="2307"/>
      <c r="M24" s="2304"/>
      <c r="N24" s="2308"/>
    </row>
    <row r="25" spans="1:14" ht="203.4" thickBot="1" x14ac:dyDescent="0.35">
      <c r="A25" s="2302" t="s">
        <v>589</v>
      </c>
      <c r="B25" s="2303" t="s">
        <v>590</v>
      </c>
      <c r="C25" s="2304" t="s">
        <v>581</v>
      </c>
      <c r="D25" s="2304" t="s">
        <v>31</v>
      </c>
      <c r="E25" s="2309">
        <v>8.4</v>
      </c>
      <c r="F25" s="2309">
        <v>8.4</v>
      </c>
      <c r="G25" s="2309">
        <v>6.2</v>
      </c>
      <c r="H25" s="2309">
        <v>2.2000000000000002</v>
      </c>
      <c r="I25" s="2304"/>
      <c r="J25" s="2306"/>
      <c r="K25" s="2307"/>
      <c r="L25" s="2307"/>
      <c r="M25" s="2304"/>
      <c r="N25" s="2308"/>
    </row>
    <row r="26" spans="1:14" ht="203.4" thickBot="1" x14ac:dyDescent="0.35">
      <c r="A26" s="2302" t="s">
        <v>591</v>
      </c>
      <c r="B26" s="2303" t="s">
        <v>592</v>
      </c>
      <c r="C26" s="2304" t="s">
        <v>581</v>
      </c>
      <c r="D26" s="2304" t="s">
        <v>31</v>
      </c>
      <c r="E26" s="2309">
        <v>0.1</v>
      </c>
      <c r="F26" s="2309">
        <v>0.1</v>
      </c>
      <c r="G26" s="2309">
        <v>0</v>
      </c>
      <c r="H26" s="2309">
        <v>0.1</v>
      </c>
      <c r="I26" s="2304"/>
      <c r="J26" s="2306"/>
      <c r="K26" s="2307"/>
      <c r="L26" s="2307"/>
      <c r="M26" s="2304"/>
      <c r="N26" s="2308"/>
    </row>
    <row r="27" spans="1:14" ht="203.4" thickBot="1" x14ac:dyDescent="0.35">
      <c r="A27" s="2302" t="s">
        <v>593</v>
      </c>
      <c r="B27" s="2303" t="s">
        <v>594</v>
      </c>
      <c r="C27" s="2304" t="s">
        <v>581</v>
      </c>
      <c r="D27" s="2304" t="s">
        <v>28</v>
      </c>
      <c r="E27" s="2309">
        <v>2.2000000000000002</v>
      </c>
      <c r="F27" s="2309">
        <v>2.2000000000000002</v>
      </c>
      <c r="G27" s="2309">
        <v>1.8</v>
      </c>
      <c r="H27" s="2309">
        <v>0.4</v>
      </c>
      <c r="I27" s="2304" t="s">
        <v>29</v>
      </c>
      <c r="J27" s="2306" t="s">
        <v>570</v>
      </c>
      <c r="K27" s="2307" t="s">
        <v>595</v>
      </c>
      <c r="L27" s="2307" t="s">
        <v>596</v>
      </c>
      <c r="M27" s="2304"/>
      <c r="N27" s="2308" t="s">
        <v>597</v>
      </c>
    </row>
    <row r="28" spans="1:14" ht="187.8" thickBot="1" x14ac:dyDescent="0.35">
      <c r="A28" s="2302" t="s">
        <v>598</v>
      </c>
      <c r="B28" s="2303" t="s">
        <v>599</v>
      </c>
      <c r="C28" s="2304" t="s">
        <v>581</v>
      </c>
      <c r="D28" s="2304" t="s">
        <v>31</v>
      </c>
      <c r="E28" s="2309">
        <v>185.1</v>
      </c>
      <c r="F28" s="2309">
        <v>185.1</v>
      </c>
      <c r="G28" s="2309">
        <v>166</v>
      </c>
      <c r="H28" s="2309">
        <v>19.100000000000001</v>
      </c>
      <c r="I28" s="2304" t="s">
        <v>574</v>
      </c>
      <c r="J28" s="2306" t="s">
        <v>575</v>
      </c>
      <c r="K28" s="2307" t="s">
        <v>576</v>
      </c>
      <c r="L28" s="2307" t="s">
        <v>545</v>
      </c>
      <c r="M28" s="2304"/>
      <c r="N28" s="2308" t="s">
        <v>600</v>
      </c>
    </row>
    <row r="29" spans="1:14" ht="172.2" thickBot="1" x14ac:dyDescent="0.35">
      <c r="A29" s="2302" t="s">
        <v>601</v>
      </c>
      <c r="B29" s="2303" t="s">
        <v>602</v>
      </c>
      <c r="C29" s="2304" t="s">
        <v>581</v>
      </c>
      <c r="D29" s="2304" t="s">
        <v>28</v>
      </c>
      <c r="E29" s="2309">
        <v>808.6</v>
      </c>
      <c r="F29" s="2309">
        <v>654.9</v>
      </c>
      <c r="G29" s="2309">
        <v>635</v>
      </c>
      <c r="H29" s="2309">
        <v>19.899999999999999</v>
      </c>
      <c r="I29" s="2304" t="s">
        <v>266</v>
      </c>
      <c r="J29" s="2306" t="s">
        <v>575</v>
      </c>
      <c r="K29" s="2307" t="s">
        <v>603</v>
      </c>
      <c r="L29" s="2307">
        <v>172</v>
      </c>
      <c r="M29" s="2304"/>
      <c r="N29" s="2308"/>
    </row>
    <row r="30" spans="1:14" ht="93.6" x14ac:dyDescent="0.3">
      <c r="A30" s="2302" t="s">
        <v>604</v>
      </c>
      <c r="B30" s="2303" t="s">
        <v>605</v>
      </c>
      <c r="C30" s="2304" t="s">
        <v>606</v>
      </c>
      <c r="D30" s="2304"/>
      <c r="E30" s="2305">
        <f>SUM(E31:E32)</f>
        <v>1371</v>
      </c>
      <c r="F30" s="2305">
        <f>SUM(F31:F32)</f>
        <v>1146</v>
      </c>
      <c r="G30" s="2305">
        <f>SUM(G31:G32)</f>
        <v>953.80000000000007</v>
      </c>
      <c r="H30" s="2305">
        <f>SUM(H31:H32)</f>
        <v>192.2</v>
      </c>
      <c r="I30" s="2304" t="s">
        <v>577</v>
      </c>
      <c r="J30" s="2306" t="s">
        <v>575</v>
      </c>
      <c r="K30" s="2307" t="s">
        <v>578</v>
      </c>
      <c r="L30" s="2307">
        <v>857</v>
      </c>
      <c r="M30" s="2304"/>
      <c r="N30" s="2308" t="s">
        <v>607</v>
      </c>
    </row>
    <row r="31" spans="1:14" x14ac:dyDescent="0.3">
      <c r="A31" s="2288"/>
      <c r="B31" s="2289"/>
      <c r="C31" s="2290"/>
      <c r="D31" s="2290" t="s">
        <v>176</v>
      </c>
      <c r="E31" s="2291">
        <v>200.6</v>
      </c>
      <c r="F31" s="2291">
        <v>200.6</v>
      </c>
      <c r="G31" s="2291">
        <v>200.6</v>
      </c>
      <c r="H31" s="2291">
        <v>0</v>
      </c>
      <c r="I31" s="2290"/>
      <c r="J31" s="2292"/>
      <c r="K31" s="2293"/>
      <c r="L31" s="2293"/>
      <c r="M31" s="2290"/>
      <c r="N31" s="2294"/>
    </row>
    <row r="32" spans="1:14" ht="16.2" thickBot="1" x14ac:dyDescent="0.35">
      <c r="A32" s="2288"/>
      <c r="B32" s="2289"/>
      <c r="C32" s="2290"/>
      <c r="D32" s="2290" t="s">
        <v>31</v>
      </c>
      <c r="E32" s="2291">
        <v>1170.4000000000001</v>
      </c>
      <c r="F32" s="2291">
        <v>945.4</v>
      </c>
      <c r="G32" s="2291">
        <v>753.2</v>
      </c>
      <c r="H32" s="2291">
        <v>192.2</v>
      </c>
      <c r="I32" s="2290"/>
      <c r="J32" s="2292"/>
      <c r="K32" s="2293"/>
      <c r="L32" s="2293"/>
      <c r="M32" s="2290"/>
      <c r="N32" s="2294"/>
    </row>
    <row r="33" spans="1:14" ht="219" thickBot="1" x14ac:dyDescent="0.35">
      <c r="A33" s="2302" t="s">
        <v>608</v>
      </c>
      <c r="B33" s="2303" t="s">
        <v>609</v>
      </c>
      <c r="C33" s="2304" t="s">
        <v>606</v>
      </c>
      <c r="D33" s="2304" t="s">
        <v>28</v>
      </c>
      <c r="E33" s="2309">
        <v>52.6</v>
      </c>
      <c r="F33" s="2309">
        <v>51.1</v>
      </c>
      <c r="G33" s="2309">
        <v>51.1</v>
      </c>
      <c r="H33" s="2309">
        <v>0</v>
      </c>
      <c r="I33" s="2304" t="s">
        <v>270</v>
      </c>
      <c r="J33" s="2306" t="s">
        <v>575</v>
      </c>
      <c r="K33" s="2307" t="s">
        <v>561</v>
      </c>
      <c r="L33" s="2307" t="s">
        <v>610</v>
      </c>
      <c r="M33" s="2304"/>
      <c r="N33" s="2308"/>
    </row>
    <row r="34" spans="1:14" ht="187.2" x14ac:dyDescent="0.3">
      <c r="A34" s="2302" t="s">
        <v>611</v>
      </c>
      <c r="B34" s="2303" t="s">
        <v>37</v>
      </c>
      <c r="C34" s="2304" t="s">
        <v>606</v>
      </c>
      <c r="D34" s="2304"/>
      <c r="E34" s="2305">
        <f>SUM(E35:E43)</f>
        <v>1959</v>
      </c>
      <c r="F34" s="2305">
        <f>SUM(F35:F43)</f>
        <v>4194.8999999999996</v>
      </c>
      <c r="G34" s="2305">
        <f>SUM(G35:G43)+0.1</f>
        <v>3560.9</v>
      </c>
      <c r="H34" s="2305">
        <f>SUM(H35:H43)</f>
        <v>634</v>
      </c>
      <c r="I34" s="2304" t="s">
        <v>163</v>
      </c>
      <c r="J34" s="2306" t="s">
        <v>575</v>
      </c>
      <c r="K34" s="2307" t="s">
        <v>612</v>
      </c>
      <c r="L34" s="2307" t="s">
        <v>613</v>
      </c>
      <c r="M34" s="2304"/>
      <c r="N34" s="2308" t="s">
        <v>614</v>
      </c>
    </row>
    <row r="35" spans="1:14" ht="93.6" x14ac:dyDescent="0.3">
      <c r="A35" s="2288"/>
      <c r="B35" s="2289"/>
      <c r="C35" s="2290"/>
      <c r="D35" s="2290"/>
      <c r="E35" s="2291">
        <v>0</v>
      </c>
      <c r="F35" s="2291">
        <v>0</v>
      </c>
      <c r="G35" s="2291">
        <v>0</v>
      </c>
      <c r="H35" s="2291">
        <v>0</v>
      </c>
      <c r="I35" s="2290" t="s">
        <v>492</v>
      </c>
      <c r="J35" s="2292" t="s">
        <v>575</v>
      </c>
      <c r="K35" s="2293" t="s">
        <v>615</v>
      </c>
      <c r="L35" s="2293" t="s">
        <v>616</v>
      </c>
      <c r="M35" s="2290"/>
      <c r="N35" s="2294"/>
    </row>
    <row r="36" spans="1:14" ht="93.6" x14ac:dyDescent="0.3">
      <c r="A36" s="2288"/>
      <c r="B36" s="2289"/>
      <c r="C36" s="2290"/>
      <c r="D36" s="2290"/>
      <c r="E36" s="2291">
        <v>0</v>
      </c>
      <c r="F36" s="2291">
        <v>0</v>
      </c>
      <c r="G36" s="2291">
        <v>0</v>
      </c>
      <c r="H36" s="2291">
        <v>0</v>
      </c>
      <c r="I36" s="2290" t="s">
        <v>617</v>
      </c>
      <c r="J36" s="2292" t="s">
        <v>575</v>
      </c>
      <c r="K36" s="2293" t="s">
        <v>618</v>
      </c>
      <c r="L36" s="2293" t="s">
        <v>619</v>
      </c>
      <c r="M36" s="2290"/>
      <c r="N36" s="2294" t="s">
        <v>620</v>
      </c>
    </row>
    <row r="37" spans="1:14" ht="93.6" x14ac:dyDescent="0.3">
      <c r="A37" s="2288"/>
      <c r="B37" s="2289"/>
      <c r="C37" s="2290"/>
      <c r="D37" s="2290"/>
      <c r="E37" s="2291">
        <v>0</v>
      </c>
      <c r="F37" s="2291">
        <v>0</v>
      </c>
      <c r="G37" s="2291">
        <v>0</v>
      </c>
      <c r="H37" s="2291">
        <v>0</v>
      </c>
      <c r="I37" s="2290" t="s">
        <v>491</v>
      </c>
      <c r="J37" s="2292" t="s">
        <v>575</v>
      </c>
      <c r="K37" s="2293" t="s">
        <v>621</v>
      </c>
      <c r="L37" s="2293" t="s">
        <v>622</v>
      </c>
      <c r="M37" s="2290"/>
      <c r="N37" s="2294"/>
    </row>
    <row r="38" spans="1:14" ht="93.6" x14ac:dyDescent="0.3">
      <c r="A38" s="2288"/>
      <c r="B38" s="2289"/>
      <c r="C38" s="2290"/>
      <c r="D38" s="2290"/>
      <c r="E38" s="2291">
        <v>0</v>
      </c>
      <c r="F38" s="2291">
        <v>0</v>
      </c>
      <c r="G38" s="2291">
        <v>0</v>
      </c>
      <c r="H38" s="2291">
        <v>0</v>
      </c>
      <c r="I38" s="2290" t="s">
        <v>493</v>
      </c>
      <c r="J38" s="2292" t="s">
        <v>575</v>
      </c>
      <c r="K38" s="2293" t="s">
        <v>623</v>
      </c>
      <c r="L38" s="2293" t="s">
        <v>618</v>
      </c>
      <c r="M38" s="2290"/>
      <c r="N38" s="2294"/>
    </row>
    <row r="39" spans="1:14" ht="109.2" x14ac:dyDescent="0.3">
      <c r="A39" s="2288"/>
      <c r="B39" s="2289"/>
      <c r="C39" s="2290"/>
      <c r="D39" s="2290"/>
      <c r="E39" s="2291">
        <v>0</v>
      </c>
      <c r="F39" s="2291">
        <v>0</v>
      </c>
      <c r="G39" s="2291">
        <v>0</v>
      </c>
      <c r="H39" s="2291">
        <v>0</v>
      </c>
      <c r="I39" s="2290" t="s">
        <v>494</v>
      </c>
      <c r="J39" s="2292" t="s">
        <v>575</v>
      </c>
      <c r="K39" s="2293" t="s">
        <v>624</v>
      </c>
      <c r="L39" s="2293" t="s">
        <v>624</v>
      </c>
      <c r="M39" s="2290"/>
      <c r="N39" s="2294"/>
    </row>
    <row r="40" spans="1:14" x14ac:dyDescent="0.3">
      <c r="A40" s="2288"/>
      <c r="B40" s="2289"/>
      <c r="C40" s="2290"/>
      <c r="D40" s="2290" t="s">
        <v>28</v>
      </c>
      <c r="E40" s="2291">
        <v>1959</v>
      </c>
      <c r="F40" s="2291">
        <v>3612.1</v>
      </c>
      <c r="G40" s="2291">
        <v>3560</v>
      </c>
      <c r="H40" s="2291">
        <v>52.1</v>
      </c>
      <c r="I40" s="2290"/>
      <c r="J40" s="2292"/>
      <c r="K40" s="2293"/>
      <c r="L40" s="2293"/>
      <c r="M40" s="2290"/>
      <c r="N40" s="2294"/>
    </row>
    <row r="41" spans="1:14" x14ac:dyDescent="0.3">
      <c r="A41" s="2288"/>
      <c r="B41" s="2289"/>
      <c r="C41" s="2290"/>
      <c r="D41" s="2290" t="s">
        <v>103</v>
      </c>
      <c r="E41" s="2291">
        <v>0</v>
      </c>
      <c r="F41" s="2291">
        <v>1.4</v>
      </c>
      <c r="G41" s="2291">
        <v>0.5</v>
      </c>
      <c r="H41" s="2291">
        <v>0.9</v>
      </c>
      <c r="I41" s="2290"/>
      <c r="J41" s="2292"/>
      <c r="K41" s="2293"/>
      <c r="L41" s="2293"/>
      <c r="M41" s="2290"/>
      <c r="N41" s="2294"/>
    </row>
    <row r="42" spans="1:14" x14ac:dyDescent="0.3">
      <c r="A42" s="2288"/>
      <c r="B42" s="2289"/>
      <c r="C42" s="2290"/>
      <c r="D42" s="2290" t="s">
        <v>52</v>
      </c>
      <c r="E42" s="2291">
        <v>0</v>
      </c>
      <c r="F42" s="2291">
        <v>1.4</v>
      </c>
      <c r="G42" s="2291">
        <v>0.3</v>
      </c>
      <c r="H42" s="2291">
        <v>1</v>
      </c>
      <c r="I42" s="2290"/>
      <c r="J42" s="2292"/>
      <c r="K42" s="2293"/>
      <c r="L42" s="2293"/>
      <c r="M42" s="2290"/>
      <c r="N42" s="2294"/>
    </row>
    <row r="43" spans="1:14" ht="16.2" thickBot="1" x14ac:dyDescent="0.35">
      <c r="A43" s="2288"/>
      <c r="B43" s="2289"/>
      <c r="C43" s="2290"/>
      <c r="D43" s="2290" t="s">
        <v>176</v>
      </c>
      <c r="E43" s="2291">
        <v>0</v>
      </c>
      <c r="F43" s="2291">
        <v>580</v>
      </c>
      <c r="G43" s="2291">
        <v>0</v>
      </c>
      <c r="H43" s="2291">
        <v>580</v>
      </c>
      <c r="I43" s="2290"/>
      <c r="J43" s="2292"/>
      <c r="K43" s="2293"/>
      <c r="L43" s="2293"/>
      <c r="M43" s="2290"/>
      <c r="N43" s="2294"/>
    </row>
    <row r="44" spans="1:14" ht="47.4" thickBot="1" x14ac:dyDescent="0.35">
      <c r="A44" s="2302" t="s">
        <v>625</v>
      </c>
      <c r="B44" s="2303" t="s">
        <v>39</v>
      </c>
      <c r="C44" s="2304" t="s">
        <v>606</v>
      </c>
      <c r="D44" s="2304" t="s">
        <v>28</v>
      </c>
      <c r="E44" s="2309">
        <v>768</v>
      </c>
      <c r="F44" s="2309">
        <v>688</v>
      </c>
      <c r="G44" s="2309">
        <v>651.70000000000005</v>
      </c>
      <c r="H44" s="2309">
        <v>36.299999999999997</v>
      </c>
      <c r="I44" s="2304" t="s">
        <v>40</v>
      </c>
      <c r="J44" s="2306" t="s">
        <v>575</v>
      </c>
      <c r="K44" s="2307" t="s">
        <v>626</v>
      </c>
      <c r="L44" s="2307" t="s">
        <v>626</v>
      </c>
      <c r="M44" s="2304"/>
      <c r="N44" s="2308"/>
    </row>
    <row r="45" spans="1:14" ht="78.599999999999994" thickBot="1" x14ac:dyDescent="0.35">
      <c r="A45" s="2302" t="s">
        <v>627</v>
      </c>
      <c r="B45" s="2303" t="s">
        <v>628</v>
      </c>
      <c r="C45" s="2304" t="s">
        <v>629</v>
      </c>
      <c r="D45" s="2304" t="s">
        <v>28</v>
      </c>
      <c r="E45" s="2309">
        <v>318.10000000000002</v>
      </c>
      <c r="F45" s="2309">
        <v>302</v>
      </c>
      <c r="G45" s="2309">
        <v>284.3</v>
      </c>
      <c r="H45" s="2309">
        <v>17.7</v>
      </c>
      <c r="I45" s="2304" t="s">
        <v>271</v>
      </c>
      <c r="J45" s="2306" t="s">
        <v>575</v>
      </c>
      <c r="K45" s="2307" t="s">
        <v>630</v>
      </c>
      <c r="L45" s="2307" t="s">
        <v>631</v>
      </c>
      <c r="M45" s="2304"/>
      <c r="N45" s="2308" t="s">
        <v>632</v>
      </c>
    </row>
    <row r="46" spans="1:14" ht="78" x14ac:dyDescent="0.3">
      <c r="A46" s="2302" t="s">
        <v>633</v>
      </c>
      <c r="B46" s="2303" t="s">
        <v>634</v>
      </c>
      <c r="C46" s="2304" t="s">
        <v>629</v>
      </c>
      <c r="D46" s="2304"/>
      <c r="E46" s="2305">
        <f>SUM(E47:E48)</f>
        <v>53.2</v>
      </c>
      <c r="F46" s="2305">
        <f>SUM(F47:F48)</f>
        <v>76</v>
      </c>
      <c r="G46" s="2305">
        <f>SUM(G47:G48)</f>
        <v>66</v>
      </c>
      <c r="H46" s="2305">
        <f>SUM(H47:H48)</f>
        <v>10</v>
      </c>
      <c r="I46" s="2304" t="s">
        <v>635</v>
      </c>
      <c r="J46" s="2306" t="s">
        <v>575</v>
      </c>
      <c r="K46" s="2307" t="s">
        <v>636</v>
      </c>
      <c r="L46" s="2307">
        <v>869</v>
      </c>
      <c r="M46" s="2304"/>
      <c r="N46" s="2308" t="s">
        <v>637</v>
      </c>
    </row>
    <row r="47" spans="1:14" x14ac:dyDescent="0.3">
      <c r="A47" s="2288"/>
      <c r="B47" s="2289"/>
      <c r="C47" s="2290"/>
      <c r="D47" s="2290" t="s">
        <v>28</v>
      </c>
      <c r="E47" s="2291">
        <v>53.2</v>
      </c>
      <c r="F47" s="2291">
        <v>66.400000000000006</v>
      </c>
      <c r="G47" s="2291">
        <v>66</v>
      </c>
      <c r="H47" s="2291">
        <v>0.4</v>
      </c>
      <c r="I47" s="2290"/>
      <c r="J47" s="2292"/>
      <c r="K47" s="2293"/>
      <c r="L47" s="2293"/>
      <c r="M47" s="2290"/>
      <c r="N47" s="2294"/>
    </row>
    <row r="48" spans="1:14" ht="16.2" thickBot="1" x14ac:dyDescent="0.35">
      <c r="A48" s="2288"/>
      <c r="B48" s="2289"/>
      <c r="C48" s="2290"/>
      <c r="D48" s="2290" t="s">
        <v>176</v>
      </c>
      <c r="E48" s="2291">
        <v>0</v>
      </c>
      <c r="F48" s="2291">
        <v>9.6</v>
      </c>
      <c r="G48" s="2291">
        <v>0</v>
      </c>
      <c r="H48" s="2291">
        <v>9.6</v>
      </c>
      <c r="I48" s="2290"/>
      <c r="J48" s="2292"/>
      <c r="K48" s="2293"/>
      <c r="L48" s="2293"/>
      <c r="M48" s="2290"/>
      <c r="N48" s="2294"/>
    </row>
    <row r="49" spans="1:14" ht="63" thickBot="1" x14ac:dyDescent="0.35">
      <c r="A49" s="2302" t="s">
        <v>638</v>
      </c>
      <c r="B49" s="2303" t="s">
        <v>639</v>
      </c>
      <c r="C49" s="2304"/>
      <c r="D49" s="2304" t="s">
        <v>28</v>
      </c>
      <c r="E49" s="2309">
        <v>0.3</v>
      </c>
      <c r="F49" s="2309">
        <v>0.4</v>
      </c>
      <c r="G49" s="2309">
        <v>0.4</v>
      </c>
      <c r="H49" s="2309">
        <v>0.1</v>
      </c>
      <c r="I49" s="2304"/>
      <c r="J49" s="2306"/>
      <c r="K49" s="2307"/>
      <c r="L49" s="2307"/>
      <c r="M49" s="2304"/>
      <c r="N49" s="2308"/>
    </row>
    <row r="50" spans="1:14" ht="78.599999999999994" thickBot="1" x14ac:dyDescent="0.35">
      <c r="A50" s="2302" t="s">
        <v>640</v>
      </c>
      <c r="B50" s="2303" t="s">
        <v>641</v>
      </c>
      <c r="C50" s="2304"/>
      <c r="D50" s="2304" t="s">
        <v>28</v>
      </c>
      <c r="E50" s="2309">
        <v>7.7</v>
      </c>
      <c r="F50" s="2309">
        <v>9.1999999999999993</v>
      </c>
      <c r="G50" s="2309">
        <v>9.1</v>
      </c>
      <c r="H50" s="2309">
        <v>0.1</v>
      </c>
      <c r="I50" s="2304"/>
      <c r="J50" s="2306"/>
      <c r="K50" s="2307"/>
      <c r="L50" s="2307"/>
      <c r="M50" s="2304"/>
      <c r="N50" s="2308"/>
    </row>
    <row r="51" spans="1:14" ht="109.8" thickBot="1" x14ac:dyDescent="0.35">
      <c r="A51" s="2302" t="s">
        <v>642</v>
      </c>
      <c r="B51" s="2303" t="s">
        <v>643</v>
      </c>
      <c r="C51" s="2304"/>
      <c r="D51" s="2304" t="s">
        <v>28</v>
      </c>
      <c r="E51" s="2309">
        <v>0.3</v>
      </c>
      <c r="F51" s="2309">
        <v>0.4</v>
      </c>
      <c r="G51" s="2309">
        <v>0.3</v>
      </c>
      <c r="H51" s="2309">
        <v>0</v>
      </c>
      <c r="I51" s="2304"/>
      <c r="J51" s="2306"/>
      <c r="K51" s="2307"/>
      <c r="L51" s="2307"/>
      <c r="M51" s="2304"/>
      <c r="N51" s="2308"/>
    </row>
    <row r="52" spans="1:14" ht="94.2" thickBot="1" x14ac:dyDescent="0.35">
      <c r="A52" s="2302" t="s">
        <v>644</v>
      </c>
      <c r="B52" s="2303" t="s">
        <v>645</v>
      </c>
      <c r="C52" s="2304"/>
      <c r="D52" s="2304" t="s">
        <v>28</v>
      </c>
      <c r="E52" s="2309">
        <v>0.7</v>
      </c>
      <c r="F52" s="2309">
        <v>0</v>
      </c>
      <c r="G52" s="2309">
        <v>0</v>
      </c>
      <c r="H52" s="2309">
        <v>0</v>
      </c>
      <c r="I52" s="2304"/>
      <c r="J52" s="2306"/>
      <c r="K52" s="2307"/>
      <c r="L52" s="2307"/>
      <c r="M52" s="2304"/>
      <c r="N52" s="2308"/>
    </row>
    <row r="53" spans="1:14" ht="78.599999999999994" thickBot="1" x14ac:dyDescent="0.35">
      <c r="A53" s="2302" t="s">
        <v>646</v>
      </c>
      <c r="B53" s="2303" t="s">
        <v>45</v>
      </c>
      <c r="C53" s="2304" t="s">
        <v>629</v>
      </c>
      <c r="D53" s="2304" t="s">
        <v>31</v>
      </c>
      <c r="E53" s="2309">
        <v>71.099999999999994</v>
      </c>
      <c r="F53" s="2309">
        <v>80.099999999999994</v>
      </c>
      <c r="G53" s="2309">
        <v>70.8</v>
      </c>
      <c r="H53" s="2309">
        <v>9.3000000000000007</v>
      </c>
      <c r="I53" s="2304" t="s">
        <v>271</v>
      </c>
      <c r="J53" s="2306" t="s">
        <v>575</v>
      </c>
      <c r="K53" s="2307" t="s">
        <v>630</v>
      </c>
      <c r="L53" s="2307" t="s">
        <v>631</v>
      </c>
      <c r="M53" s="2304"/>
      <c r="N53" s="2308" t="s">
        <v>632</v>
      </c>
    </row>
    <row r="54" spans="1:14" ht="109.2" x14ac:dyDescent="0.3">
      <c r="A54" s="2302" t="s">
        <v>647</v>
      </c>
      <c r="B54" s="2303" t="s">
        <v>648</v>
      </c>
      <c r="C54" s="2304" t="s">
        <v>649</v>
      </c>
      <c r="D54" s="2304"/>
      <c r="E54" s="2305">
        <f>SUM(E55:E57)</f>
        <v>553.90000000000009</v>
      </c>
      <c r="F54" s="2305">
        <f>SUM(F55:F57)</f>
        <v>595.5</v>
      </c>
      <c r="G54" s="2305">
        <f>SUM(G55:G57)+0.1</f>
        <v>577.30000000000007</v>
      </c>
      <c r="H54" s="2305">
        <f>SUM(H55:H57)-0.1</f>
        <v>18.2</v>
      </c>
      <c r="I54" s="2304" t="s">
        <v>163</v>
      </c>
      <c r="J54" s="2306" t="s">
        <v>575</v>
      </c>
      <c r="K54" s="2307" t="s">
        <v>650</v>
      </c>
      <c r="L54" s="2307" t="s">
        <v>650</v>
      </c>
      <c r="M54" s="2304"/>
      <c r="N54" s="2308"/>
    </row>
    <row r="55" spans="1:14" x14ac:dyDescent="0.3">
      <c r="A55" s="2288"/>
      <c r="B55" s="2289"/>
      <c r="C55" s="2290"/>
      <c r="D55" s="2290" t="s">
        <v>28</v>
      </c>
      <c r="E55" s="2291">
        <v>397.6</v>
      </c>
      <c r="F55" s="2291">
        <v>397.6</v>
      </c>
      <c r="G55" s="2291">
        <v>397.2</v>
      </c>
      <c r="H55" s="2291">
        <v>0.4</v>
      </c>
      <c r="I55" s="2290"/>
      <c r="J55" s="2292"/>
      <c r="K55" s="2293"/>
      <c r="L55" s="2293"/>
      <c r="M55" s="2290"/>
      <c r="N55" s="2294"/>
    </row>
    <row r="56" spans="1:14" x14ac:dyDescent="0.3">
      <c r="A56" s="2288"/>
      <c r="B56" s="2289"/>
      <c r="C56" s="2290"/>
      <c r="D56" s="2290" t="s">
        <v>334</v>
      </c>
      <c r="E56" s="2291">
        <v>0</v>
      </c>
      <c r="F56" s="2291">
        <v>41.6</v>
      </c>
      <c r="G56" s="2291">
        <v>25.5</v>
      </c>
      <c r="H56" s="2291">
        <v>16.100000000000001</v>
      </c>
      <c r="I56" s="2290"/>
      <c r="J56" s="2292"/>
      <c r="K56" s="2293"/>
      <c r="L56" s="2293"/>
      <c r="M56" s="2290"/>
      <c r="N56" s="2294"/>
    </row>
    <row r="57" spans="1:14" ht="31.8" thickBot="1" x14ac:dyDescent="0.35">
      <c r="A57" s="2288"/>
      <c r="B57" s="2289"/>
      <c r="C57" s="2290"/>
      <c r="D57" s="2290" t="s">
        <v>399</v>
      </c>
      <c r="E57" s="2291">
        <v>156.30000000000001</v>
      </c>
      <c r="F57" s="2291">
        <v>156.30000000000001</v>
      </c>
      <c r="G57" s="2291">
        <v>154.5</v>
      </c>
      <c r="H57" s="2291">
        <v>1.8</v>
      </c>
      <c r="I57" s="2290"/>
      <c r="J57" s="2292"/>
      <c r="K57" s="2293"/>
      <c r="L57" s="2293"/>
      <c r="M57" s="2290"/>
      <c r="N57" s="2294"/>
    </row>
    <row r="58" spans="1:14" ht="93.6" x14ac:dyDescent="0.3">
      <c r="A58" s="2302" t="s">
        <v>651</v>
      </c>
      <c r="B58" s="2303" t="s">
        <v>652</v>
      </c>
      <c r="C58" s="2304"/>
      <c r="D58" s="2304"/>
      <c r="E58" s="2305">
        <f>SUM(E59:E60)</f>
        <v>74</v>
      </c>
      <c r="F58" s="2305">
        <f>SUM(F59:F60)</f>
        <v>102.2</v>
      </c>
      <c r="G58" s="2305">
        <f>SUM(G59:G60)</f>
        <v>88.800000000000011</v>
      </c>
      <c r="H58" s="2305">
        <f>SUM(H59:H60)</f>
        <v>13.4</v>
      </c>
      <c r="I58" s="2304"/>
      <c r="J58" s="2306"/>
      <c r="K58" s="2307"/>
      <c r="L58" s="2307"/>
      <c r="M58" s="2304"/>
      <c r="N58" s="2308"/>
    </row>
    <row r="59" spans="1:14" ht="31.2" x14ac:dyDescent="0.3">
      <c r="A59" s="2288"/>
      <c r="B59" s="2289"/>
      <c r="C59" s="2290"/>
      <c r="D59" s="2290" t="s">
        <v>399</v>
      </c>
      <c r="E59" s="2291">
        <v>50.7</v>
      </c>
      <c r="F59" s="2291">
        <v>50.7</v>
      </c>
      <c r="G59" s="2291">
        <v>50.7</v>
      </c>
      <c r="H59" s="2291">
        <v>0</v>
      </c>
      <c r="I59" s="2290"/>
      <c r="J59" s="2292"/>
      <c r="K59" s="2293"/>
      <c r="L59" s="2293"/>
      <c r="M59" s="2290"/>
      <c r="N59" s="2294"/>
    </row>
    <row r="60" spans="1:14" ht="16.2" thickBot="1" x14ac:dyDescent="0.35">
      <c r="A60" s="2288"/>
      <c r="B60" s="2289"/>
      <c r="C60" s="2290"/>
      <c r="D60" s="2290" t="s">
        <v>334</v>
      </c>
      <c r="E60" s="2291">
        <v>23.3</v>
      </c>
      <c r="F60" s="2291">
        <v>51.5</v>
      </c>
      <c r="G60" s="2291">
        <v>38.1</v>
      </c>
      <c r="H60" s="2291">
        <v>13.4</v>
      </c>
      <c r="I60" s="2290"/>
      <c r="J60" s="2292"/>
      <c r="K60" s="2293"/>
      <c r="L60" s="2293"/>
      <c r="M60" s="2290"/>
      <c r="N60" s="2294"/>
    </row>
    <row r="61" spans="1:14" ht="46.8" x14ac:dyDescent="0.3">
      <c r="A61" s="2302" t="s">
        <v>653</v>
      </c>
      <c r="B61" s="2303" t="s">
        <v>654</v>
      </c>
      <c r="C61" s="2304" t="s">
        <v>606</v>
      </c>
      <c r="D61" s="2304"/>
      <c r="E61" s="2305">
        <f>SUM(E62:E62)</f>
        <v>111.1</v>
      </c>
      <c r="F61" s="2305">
        <f>SUM(F62:F62)</f>
        <v>99.1</v>
      </c>
      <c r="G61" s="2305">
        <f>SUM(G62:G62)</f>
        <v>95.8</v>
      </c>
      <c r="H61" s="2305">
        <f>SUM(H62:H62)</f>
        <v>3.3</v>
      </c>
      <c r="I61" s="2304" t="s">
        <v>655</v>
      </c>
      <c r="J61" s="2306" t="s">
        <v>656</v>
      </c>
      <c r="K61" s="2307" t="s">
        <v>657</v>
      </c>
      <c r="L61" s="2307" t="s">
        <v>658</v>
      </c>
      <c r="M61" s="2304"/>
      <c r="N61" s="2308" t="s">
        <v>659</v>
      </c>
    </row>
    <row r="62" spans="1:14" ht="16.2" thickBot="1" x14ac:dyDescent="0.35">
      <c r="A62" s="2288"/>
      <c r="B62" s="2289"/>
      <c r="C62" s="2290"/>
      <c r="D62" s="2290" t="s">
        <v>31</v>
      </c>
      <c r="E62" s="2291">
        <v>111.1</v>
      </c>
      <c r="F62" s="2291">
        <v>99.1</v>
      </c>
      <c r="G62" s="2291">
        <v>95.8</v>
      </c>
      <c r="H62" s="2291">
        <v>3.3</v>
      </c>
      <c r="I62" s="2290"/>
      <c r="J62" s="2292"/>
      <c r="K62" s="2293"/>
      <c r="L62" s="2293"/>
      <c r="M62" s="2290"/>
      <c r="N62" s="2294"/>
    </row>
    <row r="63" spans="1:14" ht="63" thickBot="1" x14ac:dyDescent="0.35">
      <c r="A63" s="2302" t="s">
        <v>660</v>
      </c>
      <c r="B63" s="2303" t="s">
        <v>661</v>
      </c>
      <c r="C63" s="2304" t="s">
        <v>662</v>
      </c>
      <c r="D63" s="2304" t="s">
        <v>52</v>
      </c>
      <c r="E63" s="2309">
        <v>0</v>
      </c>
      <c r="F63" s="2309">
        <v>109.1</v>
      </c>
      <c r="G63" s="2309">
        <v>100.9</v>
      </c>
      <c r="H63" s="2309">
        <v>8.1999999999999993</v>
      </c>
      <c r="I63" s="2304" t="s">
        <v>401</v>
      </c>
      <c r="J63" s="2306" t="s">
        <v>570</v>
      </c>
      <c r="K63" s="2307" t="s">
        <v>550</v>
      </c>
      <c r="L63" s="2307" t="s">
        <v>663</v>
      </c>
      <c r="M63" s="2304"/>
      <c r="N63" s="2308" t="s">
        <v>664</v>
      </c>
    </row>
    <row r="64" spans="1:14" ht="125.4" thickBot="1" x14ac:dyDescent="0.35">
      <c r="A64" s="2302" t="s">
        <v>665</v>
      </c>
      <c r="B64" s="2303" t="s">
        <v>51</v>
      </c>
      <c r="C64" s="2304" t="s">
        <v>581</v>
      </c>
      <c r="D64" s="2304"/>
      <c r="E64" s="2305">
        <f>SUM(E65:E65)</f>
        <v>0</v>
      </c>
      <c r="F64" s="2305">
        <f>SUM(F65:F65)</f>
        <v>17026.099999999999</v>
      </c>
      <c r="G64" s="2305">
        <f>SUM(G65:G65)</f>
        <v>8228.7000000000007</v>
      </c>
      <c r="H64" s="2305">
        <f>SUM(H65:H65)</f>
        <v>8797.4</v>
      </c>
      <c r="I64" s="2304"/>
      <c r="J64" s="2306"/>
      <c r="K64" s="2307"/>
      <c r="L64" s="2307"/>
      <c r="M64" s="2304"/>
      <c r="N64" s="2308"/>
    </row>
    <row r="65" spans="1:14" ht="125.4" thickBot="1" x14ac:dyDescent="0.35">
      <c r="A65" s="2302" t="s">
        <v>666</v>
      </c>
      <c r="B65" s="2303" t="s">
        <v>667</v>
      </c>
      <c r="C65" s="2304" t="s">
        <v>581</v>
      </c>
      <c r="D65" s="2304" t="s">
        <v>52</v>
      </c>
      <c r="E65" s="2309">
        <v>0</v>
      </c>
      <c r="F65" s="2309">
        <v>17026.099999999999</v>
      </c>
      <c r="G65" s="2309">
        <v>8228.7000000000007</v>
      </c>
      <c r="H65" s="2309">
        <v>8797.4</v>
      </c>
      <c r="I65" s="2304" t="s">
        <v>467</v>
      </c>
      <c r="J65" s="2306" t="s">
        <v>570</v>
      </c>
      <c r="K65" s="2307" t="s">
        <v>668</v>
      </c>
      <c r="L65" s="2307" t="s">
        <v>669</v>
      </c>
      <c r="M65" s="2304"/>
      <c r="N65" s="2308"/>
    </row>
    <row r="66" spans="1:14" ht="47.4" thickBot="1" x14ac:dyDescent="0.35">
      <c r="A66" s="2302" t="s">
        <v>670</v>
      </c>
      <c r="B66" s="2303" t="s">
        <v>55</v>
      </c>
      <c r="C66" s="2304" t="s">
        <v>671</v>
      </c>
      <c r="D66" s="2304"/>
      <c r="E66" s="2305">
        <f>SUM(E67:E68)</f>
        <v>0</v>
      </c>
      <c r="F66" s="2305">
        <f>SUM(F67:F68)</f>
        <v>20194.7</v>
      </c>
      <c r="G66" s="2305">
        <f>SUM(G67:G68)-0.1</f>
        <v>19997.300000000003</v>
      </c>
      <c r="H66" s="2305">
        <f>SUM(H67:H68)+0.1</f>
        <v>197.4</v>
      </c>
      <c r="I66" s="2304"/>
      <c r="J66" s="2306"/>
      <c r="K66" s="2307"/>
      <c r="L66" s="2307"/>
      <c r="M66" s="2304"/>
      <c r="N66" s="2308"/>
    </row>
    <row r="67" spans="1:14" ht="47.4" thickBot="1" x14ac:dyDescent="0.35">
      <c r="A67" s="2302" t="s">
        <v>672</v>
      </c>
      <c r="B67" s="2303" t="s">
        <v>55</v>
      </c>
      <c r="C67" s="2304" t="s">
        <v>629</v>
      </c>
      <c r="D67" s="2304" t="s">
        <v>52</v>
      </c>
      <c r="E67" s="2309">
        <v>0</v>
      </c>
      <c r="F67" s="2309">
        <v>19915.900000000001</v>
      </c>
      <c r="G67" s="2309">
        <v>19725</v>
      </c>
      <c r="H67" s="2309">
        <v>190.9</v>
      </c>
      <c r="I67" s="2304" t="s">
        <v>467</v>
      </c>
      <c r="J67" s="2306" t="s">
        <v>570</v>
      </c>
      <c r="K67" s="2307" t="s">
        <v>673</v>
      </c>
      <c r="L67" s="2307" t="s">
        <v>674</v>
      </c>
      <c r="M67" s="2304"/>
      <c r="N67" s="2308" t="s">
        <v>675</v>
      </c>
    </row>
    <row r="68" spans="1:14" ht="63" thickBot="1" x14ac:dyDescent="0.35">
      <c r="A68" s="2302" t="s">
        <v>676</v>
      </c>
      <c r="B68" s="2303" t="s">
        <v>677</v>
      </c>
      <c r="C68" s="2304" t="s">
        <v>678</v>
      </c>
      <c r="D68" s="2304" t="s">
        <v>52</v>
      </c>
      <c r="E68" s="2309">
        <v>0</v>
      </c>
      <c r="F68" s="2309">
        <v>278.8</v>
      </c>
      <c r="G68" s="2309">
        <v>272.39999999999998</v>
      </c>
      <c r="H68" s="2309">
        <v>6.4</v>
      </c>
      <c r="I68" s="2304"/>
      <c r="J68" s="2306"/>
      <c r="K68" s="2307"/>
      <c r="L68" s="2307"/>
      <c r="M68" s="2304"/>
      <c r="N68" s="2308"/>
    </row>
    <row r="69" spans="1:14" ht="109.8" thickBot="1" x14ac:dyDescent="0.35">
      <c r="A69" s="2302" t="s">
        <v>679</v>
      </c>
      <c r="B69" s="2303" t="s">
        <v>402</v>
      </c>
      <c r="C69" s="2304" t="s">
        <v>581</v>
      </c>
      <c r="D69" s="2304"/>
      <c r="E69" s="2305">
        <f>SUM(E70:E70)</f>
        <v>500</v>
      </c>
      <c r="F69" s="2305">
        <f>SUM(F70:F70)</f>
        <v>600</v>
      </c>
      <c r="G69" s="2305">
        <f>SUM(G70:G70)</f>
        <v>531.9</v>
      </c>
      <c r="H69" s="2305">
        <f>SUM(H70:H70)</f>
        <v>68.099999999999994</v>
      </c>
      <c r="I69" s="2304"/>
      <c r="J69" s="2306"/>
      <c r="K69" s="2307"/>
      <c r="L69" s="2307"/>
      <c r="M69" s="2304"/>
      <c r="N69" s="2308"/>
    </row>
    <row r="70" spans="1:14" ht="109.8" thickBot="1" x14ac:dyDescent="0.35">
      <c r="A70" s="2302" t="s">
        <v>680</v>
      </c>
      <c r="B70" s="2303" t="s">
        <v>402</v>
      </c>
      <c r="C70" s="2304" t="s">
        <v>581</v>
      </c>
      <c r="D70" s="2304" t="s">
        <v>31</v>
      </c>
      <c r="E70" s="2309">
        <v>500</v>
      </c>
      <c r="F70" s="2309">
        <v>600</v>
      </c>
      <c r="G70" s="2309">
        <v>531.9</v>
      </c>
      <c r="H70" s="2309">
        <v>68.099999999999994</v>
      </c>
      <c r="I70" s="2304" t="s">
        <v>403</v>
      </c>
      <c r="J70" s="2306" t="s">
        <v>570</v>
      </c>
      <c r="K70" s="2307" t="s">
        <v>681</v>
      </c>
      <c r="L70" s="2307">
        <v>531</v>
      </c>
      <c r="M70" s="2304"/>
      <c r="N70" s="2308" t="s">
        <v>682</v>
      </c>
    </row>
    <row r="71" spans="1:14" ht="78.599999999999994" thickBot="1" x14ac:dyDescent="0.35">
      <c r="A71" s="2302" t="s">
        <v>683</v>
      </c>
      <c r="B71" s="2303" t="s">
        <v>413</v>
      </c>
      <c r="C71" s="2304" t="s">
        <v>684</v>
      </c>
      <c r="D71" s="2304"/>
      <c r="E71" s="2305">
        <f>SUM(E72:E72)</f>
        <v>210.6</v>
      </c>
      <c r="F71" s="2305">
        <f>SUM(F72:F72)</f>
        <v>262.7</v>
      </c>
      <c r="G71" s="2305">
        <f>SUM(G72:G72)</f>
        <v>212.7</v>
      </c>
      <c r="H71" s="2305">
        <f>SUM(H72:H72)</f>
        <v>50</v>
      </c>
      <c r="I71" s="2304"/>
      <c r="J71" s="2306"/>
      <c r="K71" s="2307"/>
      <c r="L71" s="2307"/>
      <c r="M71" s="2304"/>
      <c r="N71" s="2308"/>
    </row>
    <row r="72" spans="1:14" ht="93.6" x14ac:dyDescent="0.3">
      <c r="A72" s="2302" t="s">
        <v>685</v>
      </c>
      <c r="B72" s="2303" t="s">
        <v>413</v>
      </c>
      <c r="C72" s="2304" t="s">
        <v>686</v>
      </c>
      <c r="D72" s="2304" t="s">
        <v>28</v>
      </c>
      <c r="E72" s="2305">
        <f>SUM(E73:E73)+210.6</f>
        <v>210.6</v>
      </c>
      <c r="F72" s="2305">
        <f>SUM(F73:F73)+262.7</f>
        <v>262.7</v>
      </c>
      <c r="G72" s="2305">
        <f>SUM(G73:G73)+212.7</f>
        <v>212.7</v>
      </c>
      <c r="H72" s="2305">
        <f>SUM(H73:H73)+50</f>
        <v>50</v>
      </c>
      <c r="I72" s="2304" t="s">
        <v>414</v>
      </c>
      <c r="J72" s="2306" t="s">
        <v>575</v>
      </c>
      <c r="K72" s="2307" t="s">
        <v>687</v>
      </c>
      <c r="L72" s="2307" t="s">
        <v>688</v>
      </c>
      <c r="M72" s="2304"/>
      <c r="N72" s="2308" t="s">
        <v>689</v>
      </c>
    </row>
    <row r="73" spans="1:14" ht="156.6" thickBot="1" x14ac:dyDescent="0.35">
      <c r="A73" s="2288"/>
      <c r="B73" s="2289"/>
      <c r="C73" s="2290"/>
      <c r="D73" s="2290"/>
      <c r="E73" s="2291">
        <v>0</v>
      </c>
      <c r="F73" s="2291">
        <v>0</v>
      </c>
      <c r="G73" s="2291">
        <v>0</v>
      </c>
      <c r="H73" s="2291">
        <v>0</v>
      </c>
      <c r="I73" s="2290" t="s">
        <v>415</v>
      </c>
      <c r="J73" s="2292" t="s">
        <v>575</v>
      </c>
      <c r="K73" s="2293" t="s">
        <v>690</v>
      </c>
      <c r="L73" s="2293" t="s">
        <v>596</v>
      </c>
      <c r="M73" s="2290"/>
      <c r="N73" s="2294" t="s">
        <v>691</v>
      </c>
    </row>
    <row r="74" spans="1:14" ht="94.2" thickBot="1" x14ac:dyDescent="0.35">
      <c r="A74" s="2295" t="s">
        <v>692</v>
      </c>
      <c r="B74" s="2296" t="s">
        <v>693</v>
      </c>
      <c r="C74" s="2297" t="s">
        <v>567</v>
      </c>
      <c r="D74" s="2297"/>
      <c r="E74" s="2298">
        <f>E75+E165+E167+E175+E180+E187+E189+E206+E211</f>
        <v>8335.9999999999982</v>
      </c>
      <c r="F74" s="2298">
        <f>F75+F165+F167+F175+F180+F187+F189+F206+F211+0.1</f>
        <v>9257.9999999999982</v>
      </c>
      <c r="G74" s="2298">
        <f>G75+G165+G167+G175+G180+G187+G189+G206+G211</f>
        <v>8351.3999999999978</v>
      </c>
      <c r="H74" s="2298">
        <f>H75+H165+H167+H175+H180+H187+H189+H206+H211-0.1</f>
        <v>906.49999999999989</v>
      </c>
      <c r="I74" s="2297"/>
      <c r="J74" s="2299"/>
      <c r="K74" s="2300"/>
      <c r="L74" s="2300"/>
      <c r="M74" s="2297"/>
      <c r="N74" s="2301"/>
    </row>
    <row r="75" spans="1:14" ht="47.4" thickBot="1" x14ac:dyDescent="0.35">
      <c r="A75" s="2302" t="s">
        <v>694</v>
      </c>
      <c r="B75" s="2303" t="s">
        <v>695</v>
      </c>
      <c r="C75" s="2304" t="s">
        <v>567</v>
      </c>
      <c r="D75" s="2304"/>
      <c r="E75" s="2305">
        <f>E76+E84+E88+E101+E106+E114+E125+E130+E135+E141+E145+E153+E154+E164</f>
        <v>6127.1</v>
      </c>
      <c r="F75" s="2305">
        <f>F76+F84+F88+F101+F106+F114+F125+F130+F135+F141+F145+F153+F154+F164-0.1</f>
        <v>6714.7999999999993</v>
      </c>
      <c r="G75" s="2305">
        <f>G76+G84+G88+G101+G106+G114+G125+G130+G135+G141+G145+G153+G154+G164</f>
        <v>6167.5</v>
      </c>
      <c r="H75" s="2305">
        <f>H76+H84+H88+H101+H106+H114+H125+H130+H135+H141+H145+H153+H154+H164-0.1</f>
        <v>547.19999999999993</v>
      </c>
      <c r="I75" s="2304"/>
      <c r="J75" s="2306"/>
      <c r="K75" s="2307"/>
      <c r="L75" s="2307"/>
      <c r="M75" s="2304"/>
      <c r="N75" s="2308"/>
    </row>
    <row r="76" spans="1:14" ht="46.8" x14ac:dyDescent="0.3">
      <c r="A76" s="2302" t="s">
        <v>696</v>
      </c>
      <c r="B76" s="2303" t="s">
        <v>697</v>
      </c>
      <c r="C76" s="2304" t="s">
        <v>698</v>
      </c>
      <c r="D76" s="2304"/>
      <c r="E76" s="2305">
        <f>SUM(E77:E83)</f>
        <v>813.2</v>
      </c>
      <c r="F76" s="2305">
        <f>SUM(F77:F83)</f>
        <v>859.1</v>
      </c>
      <c r="G76" s="2305">
        <f>SUM(G77:G83)+0.1</f>
        <v>843.1</v>
      </c>
      <c r="H76" s="2305">
        <f>SUM(H77:H83)</f>
        <v>16.100000000000001</v>
      </c>
      <c r="I76" s="2304" t="s">
        <v>174</v>
      </c>
      <c r="J76" s="2306" t="s">
        <v>575</v>
      </c>
      <c r="K76" s="2307" t="s">
        <v>699</v>
      </c>
      <c r="L76" s="2307" t="s">
        <v>699</v>
      </c>
      <c r="M76" s="2304"/>
      <c r="N76" s="2308"/>
    </row>
    <row r="77" spans="1:14" ht="78" x14ac:dyDescent="0.3">
      <c r="A77" s="2288"/>
      <c r="B77" s="2289"/>
      <c r="C77" s="2290"/>
      <c r="D77" s="2290"/>
      <c r="E77" s="2291">
        <v>0</v>
      </c>
      <c r="F77" s="2291">
        <v>0</v>
      </c>
      <c r="G77" s="2291">
        <v>0</v>
      </c>
      <c r="H77" s="2291">
        <v>0</v>
      </c>
      <c r="I77" s="2290" t="s">
        <v>468</v>
      </c>
      <c r="J77" s="2292" t="s">
        <v>575</v>
      </c>
      <c r="K77" s="2293" t="s">
        <v>700</v>
      </c>
      <c r="L77" s="2293" t="s">
        <v>700</v>
      </c>
      <c r="M77" s="2290"/>
      <c r="N77" s="2294" t="s">
        <v>701</v>
      </c>
    </row>
    <row r="78" spans="1:14" ht="31.2" x14ac:dyDescent="0.3">
      <c r="A78" s="2288"/>
      <c r="B78" s="2289"/>
      <c r="C78" s="2290"/>
      <c r="D78" s="2290" t="s">
        <v>178</v>
      </c>
      <c r="E78" s="2291">
        <v>13.3</v>
      </c>
      <c r="F78" s="2291">
        <v>13.3</v>
      </c>
      <c r="G78" s="2291">
        <v>13.3</v>
      </c>
      <c r="H78" s="2291">
        <v>0</v>
      </c>
      <c r="I78" s="2290"/>
      <c r="J78" s="2292"/>
      <c r="K78" s="2293"/>
      <c r="L78" s="2293"/>
      <c r="M78" s="2290"/>
      <c r="N78" s="2294"/>
    </row>
    <row r="79" spans="1:14" x14ac:dyDescent="0.3">
      <c r="A79" s="2288"/>
      <c r="B79" s="2289"/>
      <c r="C79" s="2290"/>
      <c r="D79" s="2290" t="s">
        <v>68</v>
      </c>
      <c r="E79" s="2291">
        <v>360</v>
      </c>
      <c r="F79" s="2291">
        <v>360</v>
      </c>
      <c r="G79" s="2291">
        <v>355.9</v>
      </c>
      <c r="H79" s="2291">
        <v>4.0999999999999996</v>
      </c>
      <c r="I79" s="2290"/>
      <c r="J79" s="2292"/>
      <c r="K79" s="2293"/>
      <c r="L79" s="2293"/>
      <c r="M79" s="2290"/>
      <c r="N79" s="2294"/>
    </row>
    <row r="80" spans="1:14" x14ac:dyDescent="0.3">
      <c r="A80" s="2288"/>
      <c r="B80" s="2289"/>
      <c r="C80" s="2290"/>
      <c r="D80" s="2290" t="s">
        <v>176</v>
      </c>
      <c r="E80" s="2291">
        <v>0</v>
      </c>
      <c r="F80" s="2291">
        <v>9.4</v>
      </c>
      <c r="G80" s="2291">
        <v>0</v>
      </c>
      <c r="H80" s="2291">
        <v>9.4</v>
      </c>
      <c r="I80" s="2290"/>
      <c r="J80" s="2292"/>
      <c r="K80" s="2293"/>
      <c r="L80" s="2293"/>
      <c r="M80" s="2290"/>
      <c r="N80" s="2294"/>
    </row>
    <row r="81" spans="1:14" x14ac:dyDescent="0.3">
      <c r="A81" s="2288"/>
      <c r="B81" s="2289"/>
      <c r="C81" s="2290"/>
      <c r="D81" s="2290" t="s">
        <v>103</v>
      </c>
      <c r="E81" s="2291">
        <v>0</v>
      </c>
      <c r="F81" s="2291">
        <v>1.3</v>
      </c>
      <c r="G81" s="2291">
        <v>1.3</v>
      </c>
      <c r="H81" s="2291">
        <v>0</v>
      </c>
      <c r="I81" s="2290"/>
      <c r="J81" s="2292"/>
      <c r="K81" s="2293"/>
      <c r="L81" s="2293"/>
      <c r="M81" s="2290"/>
      <c r="N81" s="2294"/>
    </row>
    <row r="82" spans="1:14" x14ac:dyDescent="0.3">
      <c r="A82" s="2288"/>
      <c r="B82" s="2289"/>
      <c r="C82" s="2290"/>
      <c r="D82" s="2290" t="s">
        <v>71</v>
      </c>
      <c r="E82" s="2291">
        <v>0</v>
      </c>
      <c r="F82" s="2291">
        <v>6.8</v>
      </c>
      <c r="G82" s="2291">
        <v>4.7</v>
      </c>
      <c r="H82" s="2291">
        <v>2.1</v>
      </c>
      <c r="I82" s="2290"/>
      <c r="J82" s="2292"/>
      <c r="K82" s="2293"/>
      <c r="L82" s="2293"/>
      <c r="M82" s="2290"/>
      <c r="N82" s="2294"/>
    </row>
    <row r="83" spans="1:14" ht="16.2" thickBot="1" x14ac:dyDescent="0.35">
      <c r="A83" s="2288"/>
      <c r="B83" s="2289"/>
      <c r="C83" s="2290"/>
      <c r="D83" s="2290" t="s">
        <v>31</v>
      </c>
      <c r="E83" s="2291">
        <v>439.9</v>
      </c>
      <c r="F83" s="2291">
        <v>468.3</v>
      </c>
      <c r="G83" s="2291">
        <v>467.8</v>
      </c>
      <c r="H83" s="2291">
        <v>0.5</v>
      </c>
      <c r="I83" s="2290"/>
      <c r="J83" s="2292"/>
      <c r="K83" s="2293"/>
      <c r="L83" s="2293"/>
      <c r="M83" s="2290"/>
      <c r="N83" s="2294"/>
    </row>
    <row r="84" spans="1:14" ht="124.8" x14ac:dyDescent="0.3">
      <c r="A84" s="2302" t="s">
        <v>702</v>
      </c>
      <c r="B84" s="2303" t="s">
        <v>703</v>
      </c>
      <c r="C84" s="2304" t="s">
        <v>698</v>
      </c>
      <c r="D84" s="2304"/>
      <c r="E84" s="2305">
        <f>SUM(E85:E87)</f>
        <v>1.9</v>
      </c>
      <c r="F84" s="2305">
        <f>SUM(F85:F87)+0.1</f>
        <v>3.4</v>
      </c>
      <c r="G84" s="2305">
        <f>SUM(G85:G87)</f>
        <v>1</v>
      </c>
      <c r="H84" s="2305">
        <f>SUM(H85:H87)</f>
        <v>2.4000000000000004</v>
      </c>
      <c r="I84" s="2304" t="s">
        <v>406</v>
      </c>
      <c r="J84" s="2306" t="s">
        <v>575</v>
      </c>
      <c r="K84" s="2307" t="s">
        <v>622</v>
      </c>
      <c r="L84" s="2307" t="s">
        <v>704</v>
      </c>
      <c r="M84" s="2304"/>
      <c r="N84" s="2308" t="s">
        <v>705</v>
      </c>
    </row>
    <row r="85" spans="1:14" x14ac:dyDescent="0.3">
      <c r="A85" s="2288"/>
      <c r="B85" s="2289"/>
      <c r="C85" s="2290"/>
      <c r="D85" s="2290" t="s">
        <v>31</v>
      </c>
      <c r="E85" s="2291">
        <v>1</v>
      </c>
      <c r="F85" s="2291">
        <v>1</v>
      </c>
      <c r="G85" s="2291">
        <v>0.6</v>
      </c>
      <c r="H85" s="2291">
        <v>0.4</v>
      </c>
      <c r="I85" s="2290"/>
      <c r="J85" s="2292"/>
      <c r="K85" s="2293"/>
      <c r="L85" s="2293"/>
      <c r="M85" s="2290"/>
      <c r="N85" s="2294"/>
    </row>
    <row r="86" spans="1:14" x14ac:dyDescent="0.3">
      <c r="A86" s="2288"/>
      <c r="B86" s="2289"/>
      <c r="C86" s="2290"/>
      <c r="D86" s="2290" t="s">
        <v>103</v>
      </c>
      <c r="E86" s="2291">
        <v>0.9</v>
      </c>
      <c r="F86" s="2291">
        <v>0.9</v>
      </c>
      <c r="G86" s="2291">
        <v>0.2</v>
      </c>
      <c r="H86" s="2291">
        <v>0.7</v>
      </c>
      <c r="I86" s="2290"/>
      <c r="J86" s="2292"/>
      <c r="K86" s="2293"/>
      <c r="L86" s="2293"/>
      <c r="M86" s="2290"/>
      <c r="N86" s="2294"/>
    </row>
    <row r="87" spans="1:14" ht="16.2" thickBot="1" x14ac:dyDescent="0.35">
      <c r="A87" s="2288"/>
      <c r="B87" s="2289"/>
      <c r="C87" s="2290"/>
      <c r="D87" s="2290" t="s">
        <v>52</v>
      </c>
      <c r="E87" s="2291">
        <v>0</v>
      </c>
      <c r="F87" s="2291">
        <v>1.4</v>
      </c>
      <c r="G87" s="2291">
        <v>0.2</v>
      </c>
      <c r="H87" s="2291">
        <v>1.3</v>
      </c>
      <c r="I87" s="2290"/>
      <c r="J87" s="2292"/>
      <c r="K87" s="2293"/>
      <c r="L87" s="2293"/>
      <c r="M87" s="2290"/>
      <c r="N87" s="2294"/>
    </row>
    <row r="88" spans="1:14" ht="62.4" x14ac:dyDescent="0.3">
      <c r="A88" s="2302" t="s">
        <v>706</v>
      </c>
      <c r="B88" s="2303" t="s">
        <v>707</v>
      </c>
      <c r="C88" s="2304" t="s">
        <v>698</v>
      </c>
      <c r="D88" s="2304"/>
      <c r="E88" s="2305">
        <f>SUM(E89:E100)</f>
        <v>953.19999999999993</v>
      </c>
      <c r="F88" s="2305">
        <f>SUM(F89:F100)</f>
        <v>1094</v>
      </c>
      <c r="G88" s="2305">
        <f>SUM(G89:G100)</f>
        <v>1020.3</v>
      </c>
      <c r="H88" s="2305">
        <f>SUM(H89:H100)-0.1</f>
        <v>73.699999999999989</v>
      </c>
      <c r="I88" s="2304" t="s">
        <v>708</v>
      </c>
      <c r="J88" s="2306" t="s">
        <v>570</v>
      </c>
      <c r="K88" s="2307" t="s">
        <v>709</v>
      </c>
      <c r="L88" s="2307" t="s">
        <v>710</v>
      </c>
      <c r="M88" s="2304"/>
      <c r="N88" s="2308"/>
    </row>
    <row r="89" spans="1:14" ht="31.2" x14ac:dyDescent="0.3">
      <c r="A89" s="2288"/>
      <c r="B89" s="2289"/>
      <c r="C89" s="2290"/>
      <c r="D89" s="2290"/>
      <c r="E89" s="2291">
        <v>0</v>
      </c>
      <c r="F89" s="2291">
        <v>0</v>
      </c>
      <c r="G89" s="2291">
        <v>0</v>
      </c>
      <c r="H89" s="2291">
        <v>0</v>
      </c>
      <c r="I89" s="2290" t="s">
        <v>711</v>
      </c>
      <c r="J89" s="2292" t="s">
        <v>575</v>
      </c>
      <c r="K89" s="2293" t="s">
        <v>578</v>
      </c>
      <c r="L89" s="2293" t="s">
        <v>712</v>
      </c>
      <c r="M89" s="2290"/>
      <c r="N89" s="2294"/>
    </row>
    <row r="90" spans="1:14" ht="46.8" x14ac:dyDescent="0.3">
      <c r="A90" s="2288"/>
      <c r="B90" s="2289"/>
      <c r="C90" s="2290"/>
      <c r="D90" s="2290"/>
      <c r="E90" s="2291">
        <v>0</v>
      </c>
      <c r="F90" s="2291">
        <v>0</v>
      </c>
      <c r="G90" s="2291">
        <v>0</v>
      </c>
      <c r="H90" s="2291">
        <v>0</v>
      </c>
      <c r="I90" s="2290" t="s">
        <v>713</v>
      </c>
      <c r="J90" s="2292" t="s">
        <v>575</v>
      </c>
      <c r="K90" s="2293" t="s">
        <v>621</v>
      </c>
      <c r="L90" s="2293" t="s">
        <v>714</v>
      </c>
      <c r="M90" s="2290"/>
      <c r="N90" s="2294"/>
    </row>
    <row r="91" spans="1:14" ht="31.2" x14ac:dyDescent="0.3">
      <c r="A91" s="2288"/>
      <c r="B91" s="2289"/>
      <c r="C91" s="2290"/>
      <c r="D91" s="2290"/>
      <c r="E91" s="2291">
        <v>0</v>
      </c>
      <c r="F91" s="2291">
        <v>0</v>
      </c>
      <c r="G91" s="2291">
        <v>0</v>
      </c>
      <c r="H91" s="2291">
        <v>0</v>
      </c>
      <c r="I91" s="2290" t="s">
        <v>715</v>
      </c>
      <c r="J91" s="2292" t="s">
        <v>570</v>
      </c>
      <c r="K91" s="2293" t="s">
        <v>716</v>
      </c>
      <c r="L91" s="2293" t="s">
        <v>717</v>
      </c>
      <c r="M91" s="2290"/>
      <c r="N91" s="2294"/>
    </row>
    <row r="92" spans="1:14" ht="46.8" x14ac:dyDescent="0.3">
      <c r="A92" s="2288"/>
      <c r="B92" s="2289"/>
      <c r="C92" s="2290"/>
      <c r="D92" s="2290"/>
      <c r="E92" s="2291">
        <v>0</v>
      </c>
      <c r="F92" s="2291">
        <v>0</v>
      </c>
      <c r="G92" s="2291">
        <v>0</v>
      </c>
      <c r="H92" s="2291">
        <v>0</v>
      </c>
      <c r="I92" s="2290" t="s">
        <v>718</v>
      </c>
      <c r="J92" s="2292" t="s">
        <v>575</v>
      </c>
      <c r="K92" s="2293" t="s">
        <v>719</v>
      </c>
      <c r="L92" s="2293" t="s">
        <v>720</v>
      </c>
      <c r="M92" s="2290"/>
      <c r="N92" s="2294"/>
    </row>
    <row r="93" spans="1:14" ht="62.4" x14ac:dyDescent="0.3">
      <c r="A93" s="2288"/>
      <c r="B93" s="2289"/>
      <c r="C93" s="2290"/>
      <c r="D93" s="2290"/>
      <c r="E93" s="2291">
        <v>0</v>
      </c>
      <c r="F93" s="2291">
        <v>0</v>
      </c>
      <c r="G93" s="2291">
        <v>0</v>
      </c>
      <c r="H93" s="2291">
        <v>0</v>
      </c>
      <c r="I93" s="2290" t="s">
        <v>721</v>
      </c>
      <c r="J93" s="2292" t="s">
        <v>575</v>
      </c>
      <c r="K93" s="2293" t="s">
        <v>722</v>
      </c>
      <c r="L93" s="2293" t="s">
        <v>723</v>
      </c>
      <c r="M93" s="2290"/>
      <c r="N93" s="2294"/>
    </row>
    <row r="94" spans="1:14" x14ac:dyDescent="0.3">
      <c r="A94" s="2288"/>
      <c r="B94" s="2289"/>
      <c r="C94" s="2290"/>
      <c r="D94" s="2290" t="s">
        <v>28</v>
      </c>
      <c r="E94" s="2291">
        <v>0</v>
      </c>
      <c r="F94" s="2291">
        <v>0.7</v>
      </c>
      <c r="G94" s="2291">
        <v>0.7</v>
      </c>
      <c r="H94" s="2291">
        <v>0</v>
      </c>
      <c r="I94" s="2290"/>
      <c r="J94" s="2292"/>
      <c r="K94" s="2293"/>
      <c r="L94" s="2293"/>
      <c r="M94" s="2290"/>
      <c r="N94" s="2294"/>
    </row>
    <row r="95" spans="1:14" x14ac:dyDescent="0.3">
      <c r="A95" s="2288"/>
      <c r="B95" s="2289"/>
      <c r="C95" s="2290"/>
      <c r="D95" s="2290" t="s">
        <v>103</v>
      </c>
      <c r="E95" s="2291">
        <v>0</v>
      </c>
      <c r="F95" s="2291">
        <v>45.1</v>
      </c>
      <c r="G95" s="2291">
        <v>1.2</v>
      </c>
      <c r="H95" s="2291">
        <v>44</v>
      </c>
      <c r="I95" s="2290"/>
      <c r="J95" s="2292"/>
      <c r="K95" s="2293"/>
      <c r="L95" s="2293"/>
      <c r="M95" s="2290"/>
      <c r="N95" s="2294"/>
    </row>
    <row r="96" spans="1:14" x14ac:dyDescent="0.3">
      <c r="A96" s="2288"/>
      <c r="B96" s="2289"/>
      <c r="C96" s="2290"/>
      <c r="D96" s="2290" t="s">
        <v>71</v>
      </c>
      <c r="E96" s="2291">
        <v>0</v>
      </c>
      <c r="F96" s="2291">
        <v>21.8</v>
      </c>
      <c r="G96" s="2291">
        <v>12.2</v>
      </c>
      <c r="H96" s="2291">
        <v>9.6</v>
      </c>
      <c r="I96" s="2290"/>
      <c r="J96" s="2292"/>
      <c r="K96" s="2293"/>
      <c r="L96" s="2293"/>
      <c r="M96" s="2290"/>
      <c r="N96" s="2294"/>
    </row>
    <row r="97" spans="1:14" ht="31.2" x14ac:dyDescent="0.3">
      <c r="A97" s="2288"/>
      <c r="B97" s="2289"/>
      <c r="C97" s="2290"/>
      <c r="D97" s="2290" t="s">
        <v>178</v>
      </c>
      <c r="E97" s="2291">
        <v>9.5</v>
      </c>
      <c r="F97" s="2291">
        <v>9.5</v>
      </c>
      <c r="G97" s="2291">
        <v>9.5</v>
      </c>
      <c r="H97" s="2291">
        <v>0</v>
      </c>
      <c r="I97" s="2290"/>
      <c r="J97" s="2292"/>
      <c r="K97" s="2293"/>
      <c r="L97" s="2293"/>
      <c r="M97" s="2290"/>
      <c r="N97" s="2294"/>
    </row>
    <row r="98" spans="1:14" x14ac:dyDescent="0.3">
      <c r="A98" s="2288"/>
      <c r="B98" s="2289"/>
      <c r="C98" s="2290"/>
      <c r="D98" s="2290" t="s">
        <v>68</v>
      </c>
      <c r="E98" s="2291">
        <v>87.8</v>
      </c>
      <c r="F98" s="2291">
        <v>110.2</v>
      </c>
      <c r="G98" s="2291">
        <v>95.7</v>
      </c>
      <c r="H98" s="2291">
        <v>14.5</v>
      </c>
      <c r="I98" s="2290"/>
      <c r="J98" s="2292"/>
      <c r="K98" s="2293"/>
      <c r="L98" s="2293"/>
      <c r="M98" s="2290"/>
      <c r="N98" s="2294"/>
    </row>
    <row r="99" spans="1:14" x14ac:dyDescent="0.3">
      <c r="A99" s="2288"/>
      <c r="B99" s="2289"/>
      <c r="C99" s="2290"/>
      <c r="D99" s="2290" t="s">
        <v>31</v>
      </c>
      <c r="E99" s="2291">
        <v>855.9</v>
      </c>
      <c r="F99" s="2291">
        <v>900.4</v>
      </c>
      <c r="G99" s="2291">
        <v>895.8</v>
      </c>
      <c r="H99" s="2291">
        <v>4.5999999999999996</v>
      </c>
      <c r="I99" s="2290"/>
      <c r="J99" s="2292"/>
      <c r="K99" s="2293"/>
      <c r="L99" s="2293"/>
      <c r="M99" s="2290"/>
      <c r="N99" s="2294"/>
    </row>
    <row r="100" spans="1:14" ht="16.2" thickBot="1" x14ac:dyDescent="0.35">
      <c r="A100" s="2288"/>
      <c r="B100" s="2289"/>
      <c r="C100" s="2290"/>
      <c r="D100" s="2290" t="s">
        <v>52</v>
      </c>
      <c r="E100" s="2291">
        <v>0</v>
      </c>
      <c r="F100" s="2291">
        <v>6.3</v>
      </c>
      <c r="G100" s="2291">
        <v>5.2</v>
      </c>
      <c r="H100" s="2291">
        <v>1.1000000000000001</v>
      </c>
      <c r="I100" s="2290"/>
      <c r="J100" s="2292"/>
      <c r="K100" s="2293"/>
      <c r="L100" s="2293"/>
      <c r="M100" s="2290"/>
      <c r="N100" s="2294"/>
    </row>
    <row r="101" spans="1:14" ht="62.4" x14ac:dyDescent="0.3">
      <c r="A101" s="2302" t="s">
        <v>724</v>
      </c>
      <c r="B101" s="2303" t="s">
        <v>725</v>
      </c>
      <c r="C101" s="2304" t="s">
        <v>698</v>
      </c>
      <c r="D101" s="2304"/>
      <c r="E101" s="2305">
        <f>SUM(E102:E105)</f>
        <v>3.8</v>
      </c>
      <c r="F101" s="2305">
        <f>SUM(F102:F105)</f>
        <v>53.199999999999996</v>
      </c>
      <c r="G101" s="2305">
        <f>SUM(G102:G105)-0.1</f>
        <v>4.5000000000000009</v>
      </c>
      <c r="H101" s="2305">
        <f>SUM(H102:H105)+0.1</f>
        <v>48.7</v>
      </c>
      <c r="I101" s="2304" t="s">
        <v>434</v>
      </c>
      <c r="J101" s="2306" t="s">
        <v>575</v>
      </c>
      <c r="K101" s="2307" t="s">
        <v>726</v>
      </c>
      <c r="L101" s="2307" t="s">
        <v>727</v>
      </c>
      <c r="M101" s="2304"/>
      <c r="N101" s="2308" t="s">
        <v>728</v>
      </c>
    </row>
    <row r="102" spans="1:14" x14ac:dyDescent="0.3">
      <c r="A102" s="2288"/>
      <c r="B102" s="2289"/>
      <c r="C102" s="2290"/>
      <c r="D102" s="2290" t="s">
        <v>103</v>
      </c>
      <c r="E102" s="2291">
        <v>1.9</v>
      </c>
      <c r="F102" s="2291">
        <v>1.9</v>
      </c>
      <c r="G102" s="2291">
        <v>1.8</v>
      </c>
      <c r="H102" s="2291">
        <v>0.1</v>
      </c>
      <c r="I102" s="2290"/>
      <c r="J102" s="2292"/>
      <c r="K102" s="2293"/>
      <c r="L102" s="2293"/>
      <c r="M102" s="2290"/>
      <c r="N102" s="2294"/>
    </row>
    <row r="103" spans="1:14" x14ac:dyDescent="0.3">
      <c r="A103" s="2288"/>
      <c r="B103" s="2289"/>
      <c r="C103" s="2290"/>
      <c r="D103" s="2290" t="s">
        <v>176</v>
      </c>
      <c r="E103" s="2291">
        <v>0</v>
      </c>
      <c r="F103" s="2291">
        <v>47.5</v>
      </c>
      <c r="G103" s="2291">
        <v>0</v>
      </c>
      <c r="H103" s="2291">
        <v>47.5</v>
      </c>
      <c r="I103" s="2290"/>
      <c r="J103" s="2292"/>
      <c r="K103" s="2293"/>
      <c r="L103" s="2293"/>
      <c r="M103" s="2290"/>
      <c r="N103" s="2294"/>
    </row>
    <row r="104" spans="1:14" x14ac:dyDescent="0.3">
      <c r="A104" s="2288"/>
      <c r="B104" s="2289"/>
      <c r="C104" s="2290"/>
      <c r="D104" s="2290" t="s">
        <v>31</v>
      </c>
      <c r="E104" s="2291">
        <v>1.9</v>
      </c>
      <c r="F104" s="2291">
        <v>1.9</v>
      </c>
      <c r="G104" s="2291">
        <v>1.9</v>
      </c>
      <c r="H104" s="2291">
        <v>0</v>
      </c>
      <c r="I104" s="2290"/>
      <c r="J104" s="2292"/>
      <c r="K104" s="2293"/>
      <c r="L104" s="2293"/>
      <c r="M104" s="2290"/>
      <c r="N104" s="2294"/>
    </row>
    <row r="105" spans="1:14" ht="16.2" thickBot="1" x14ac:dyDescent="0.35">
      <c r="A105" s="2288"/>
      <c r="B105" s="2289"/>
      <c r="C105" s="2290"/>
      <c r="D105" s="2290" t="s">
        <v>52</v>
      </c>
      <c r="E105" s="2291">
        <v>0</v>
      </c>
      <c r="F105" s="2291">
        <v>1.9</v>
      </c>
      <c r="G105" s="2291">
        <v>0.9</v>
      </c>
      <c r="H105" s="2291">
        <v>1</v>
      </c>
      <c r="I105" s="2290"/>
      <c r="J105" s="2292"/>
      <c r="K105" s="2293"/>
      <c r="L105" s="2293"/>
      <c r="M105" s="2290"/>
      <c r="N105" s="2294"/>
    </row>
    <row r="106" spans="1:14" ht="62.4" x14ac:dyDescent="0.3">
      <c r="A106" s="2302" t="s">
        <v>729</v>
      </c>
      <c r="B106" s="2303" t="s">
        <v>730</v>
      </c>
      <c r="C106" s="2304" t="s">
        <v>698</v>
      </c>
      <c r="D106" s="2304"/>
      <c r="E106" s="2305">
        <f>SUM(E107:E113)</f>
        <v>630.4</v>
      </c>
      <c r="F106" s="2305">
        <f>SUM(F107:F113)-0.1</f>
        <v>680.69999999999993</v>
      </c>
      <c r="G106" s="2305">
        <f>SUM(G107:G113)</f>
        <v>677.8</v>
      </c>
      <c r="H106" s="2305">
        <f>SUM(H107:H113)</f>
        <v>3</v>
      </c>
      <c r="I106" s="2304" t="s">
        <v>731</v>
      </c>
      <c r="J106" s="2306" t="s">
        <v>570</v>
      </c>
      <c r="K106" s="2307" t="s">
        <v>732</v>
      </c>
      <c r="L106" s="2307" t="s">
        <v>690</v>
      </c>
      <c r="M106" s="2304"/>
      <c r="N106" s="2308" t="s">
        <v>733</v>
      </c>
    </row>
    <row r="107" spans="1:14" ht="62.4" x14ac:dyDescent="0.3">
      <c r="A107" s="2288"/>
      <c r="B107" s="2289"/>
      <c r="C107" s="2290"/>
      <c r="D107" s="2290"/>
      <c r="E107" s="2291">
        <v>0</v>
      </c>
      <c r="F107" s="2291">
        <v>0</v>
      </c>
      <c r="G107" s="2291">
        <v>0</v>
      </c>
      <c r="H107" s="2291">
        <v>0</v>
      </c>
      <c r="I107" s="2290" t="s">
        <v>734</v>
      </c>
      <c r="J107" s="2292" t="s">
        <v>575</v>
      </c>
      <c r="K107" s="2293" t="s">
        <v>735</v>
      </c>
      <c r="L107" s="2293" t="s">
        <v>736</v>
      </c>
      <c r="M107" s="2290"/>
      <c r="N107" s="2294" t="s">
        <v>737</v>
      </c>
    </row>
    <row r="108" spans="1:14" ht="62.4" x14ac:dyDescent="0.3">
      <c r="A108" s="2288"/>
      <c r="B108" s="2289"/>
      <c r="C108" s="2290"/>
      <c r="D108" s="2290"/>
      <c r="E108" s="2291">
        <v>0</v>
      </c>
      <c r="F108" s="2291">
        <v>0</v>
      </c>
      <c r="G108" s="2291">
        <v>0</v>
      </c>
      <c r="H108" s="2291">
        <v>0</v>
      </c>
      <c r="I108" s="2290" t="s">
        <v>738</v>
      </c>
      <c r="J108" s="2292" t="s">
        <v>575</v>
      </c>
      <c r="K108" s="2293" t="s">
        <v>739</v>
      </c>
      <c r="L108" s="2293" t="s">
        <v>736</v>
      </c>
      <c r="M108" s="2290"/>
      <c r="N108" s="2294" t="s">
        <v>740</v>
      </c>
    </row>
    <row r="109" spans="1:14" x14ac:dyDescent="0.3">
      <c r="A109" s="2288"/>
      <c r="B109" s="2289"/>
      <c r="C109" s="2290"/>
      <c r="D109" s="2290" t="s">
        <v>68</v>
      </c>
      <c r="E109" s="2291">
        <v>107.4</v>
      </c>
      <c r="F109" s="2291">
        <v>107.4</v>
      </c>
      <c r="G109" s="2291">
        <v>105.9</v>
      </c>
      <c r="H109" s="2291">
        <v>1.5</v>
      </c>
      <c r="I109" s="2290"/>
      <c r="J109" s="2292"/>
      <c r="K109" s="2293"/>
      <c r="L109" s="2293"/>
      <c r="M109" s="2290"/>
      <c r="N109" s="2294"/>
    </row>
    <row r="110" spans="1:14" x14ac:dyDescent="0.3">
      <c r="A110" s="2288"/>
      <c r="B110" s="2289"/>
      <c r="C110" s="2290"/>
      <c r="D110" s="2290" t="s">
        <v>71</v>
      </c>
      <c r="E110" s="2291">
        <v>0</v>
      </c>
      <c r="F110" s="2291">
        <v>11.1</v>
      </c>
      <c r="G110" s="2291">
        <v>11</v>
      </c>
      <c r="H110" s="2291">
        <v>0.1</v>
      </c>
      <c r="I110" s="2290"/>
      <c r="J110" s="2292"/>
      <c r="K110" s="2293"/>
      <c r="L110" s="2293"/>
      <c r="M110" s="2290"/>
      <c r="N110" s="2294"/>
    </row>
    <row r="111" spans="1:14" ht="31.2" x14ac:dyDescent="0.3">
      <c r="A111" s="2288"/>
      <c r="B111" s="2289"/>
      <c r="C111" s="2290"/>
      <c r="D111" s="2290" t="s">
        <v>178</v>
      </c>
      <c r="E111" s="2291">
        <v>6.2</v>
      </c>
      <c r="F111" s="2291">
        <v>6.2</v>
      </c>
      <c r="G111" s="2291">
        <v>6.2</v>
      </c>
      <c r="H111" s="2291">
        <v>0</v>
      </c>
      <c r="I111" s="2290"/>
      <c r="J111" s="2292"/>
      <c r="K111" s="2293"/>
      <c r="L111" s="2293"/>
      <c r="M111" s="2290"/>
      <c r="N111" s="2294"/>
    </row>
    <row r="112" spans="1:14" x14ac:dyDescent="0.3">
      <c r="A112" s="2288"/>
      <c r="B112" s="2289"/>
      <c r="C112" s="2290"/>
      <c r="D112" s="2290" t="s">
        <v>31</v>
      </c>
      <c r="E112" s="2291">
        <v>516.79999999999995</v>
      </c>
      <c r="F112" s="2291">
        <v>555.79999999999995</v>
      </c>
      <c r="G112" s="2291">
        <v>554.4</v>
      </c>
      <c r="H112" s="2291">
        <v>1.4</v>
      </c>
      <c r="I112" s="2290"/>
      <c r="J112" s="2292"/>
      <c r="K112" s="2293"/>
      <c r="L112" s="2293"/>
      <c r="M112" s="2290"/>
      <c r="N112" s="2294"/>
    </row>
    <row r="113" spans="1:14" ht="16.2" thickBot="1" x14ac:dyDescent="0.35">
      <c r="A113" s="2288"/>
      <c r="B113" s="2289"/>
      <c r="C113" s="2290"/>
      <c r="D113" s="2290" t="s">
        <v>103</v>
      </c>
      <c r="E113" s="2291">
        <v>0</v>
      </c>
      <c r="F113" s="2291">
        <v>0.3</v>
      </c>
      <c r="G113" s="2291">
        <v>0.3</v>
      </c>
      <c r="H113" s="2291">
        <v>0</v>
      </c>
      <c r="I113" s="2290"/>
      <c r="J113" s="2292"/>
      <c r="K113" s="2293"/>
      <c r="L113" s="2293"/>
      <c r="M113" s="2290"/>
      <c r="N113" s="2294"/>
    </row>
    <row r="114" spans="1:14" ht="62.4" x14ac:dyDescent="0.3">
      <c r="A114" s="2302" t="s">
        <v>741</v>
      </c>
      <c r="B114" s="2303" t="s">
        <v>742</v>
      </c>
      <c r="C114" s="2304" t="s">
        <v>698</v>
      </c>
      <c r="D114" s="2304"/>
      <c r="E114" s="2305">
        <f>SUM(E115:E124)</f>
        <v>913.40000000000009</v>
      </c>
      <c r="F114" s="2305">
        <f>SUM(F115:F124)</f>
        <v>971.3</v>
      </c>
      <c r="G114" s="2305">
        <f>SUM(G115:G124)</f>
        <v>946.1</v>
      </c>
      <c r="H114" s="2305">
        <f>SUM(H115:H124)</f>
        <v>25.200000000000003</v>
      </c>
      <c r="I114" s="2304" t="s">
        <v>743</v>
      </c>
      <c r="J114" s="2306" t="s">
        <v>575</v>
      </c>
      <c r="K114" s="2307" t="s">
        <v>542</v>
      </c>
      <c r="L114" s="2307" t="s">
        <v>726</v>
      </c>
      <c r="M114" s="2304"/>
      <c r="N114" s="2308" t="s">
        <v>744</v>
      </c>
    </row>
    <row r="115" spans="1:14" ht="78" x14ac:dyDescent="0.3">
      <c r="A115" s="2288"/>
      <c r="B115" s="2289"/>
      <c r="C115" s="2290"/>
      <c r="D115" s="2290"/>
      <c r="E115" s="2291">
        <v>0</v>
      </c>
      <c r="F115" s="2291">
        <v>0</v>
      </c>
      <c r="G115" s="2291">
        <v>0</v>
      </c>
      <c r="H115" s="2291">
        <v>0</v>
      </c>
      <c r="I115" s="2290" t="s">
        <v>745</v>
      </c>
      <c r="J115" s="2292" t="s">
        <v>570</v>
      </c>
      <c r="K115" s="2293" t="s">
        <v>746</v>
      </c>
      <c r="L115" s="2293" t="s">
        <v>747</v>
      </c>
      <c r="M115" s="2290"/>
      <c r="N115" s="2294" t="s">
        <v>748</v>
      </c>
    </row>
    <row r="116" spans="1:14" ht="31.2" x14ac:dyDescent="0.3">
      <c r="A116" s="2288"/>
      <c r="B116" s="2289"/>
      <c r="C116" s="2290"/>
      <c r="D116" s="2290"/>
      <c r="E116" s="2291">
        <v>0</v>
      </c>
      <c r="F116" s="2291">
        <v>0</v>
      </c>
      <c r="G116" s="2291">
        <v>0</v>
      </c>
      <c r="H116" s="2291">
        <v>0</v>
      </c>
      <c r="I116" s="2290" t="s">
        <v>749</v>
      </c>
      <c r="J116" s="2292" t="s">
        <v>575</v>
      </c>
      <c r="K116" s="2293" t="s">
        <v>595</v>
      </c>
      <c r="L116" s="2293" t="s">
        <v>750</v>
      </c>
      <c r="M116" s="2290"/>
      <c r="N116" s="2294" t="s">
        <v>751</v>
      </c>
    </row>
    <row r="117" spans="1:14" ht="31.2" x14ac:dyDescent="0.3">
      <c r="A117" s="2288"/>
      <c r="B117" s="2289"/>
      <c r="C117" s="2290"/>
      <c r="D117" s="2290"/>
      <c r="E117" s="2291">
        <v>0</v>
      </c>
      <c r="F117" s="2291">
        <v>0</v>
      </c>
      <c r="G117" s="2291">
        <v>0</v>
      </c>
      <c r="H117" s="2291">
        <v>0</v>
      </c>
      <c r="I117" s="2290" t="s">
        <v>752</v>
      </c>
      <c r="J117" s="2292" t="s">
        <v>575</v>
      </c>
      <c r="K117" s="2293" t="s">
        <v>550</v>
      </c>
      <c r="L117" s="2293" t="s">
        <v>690</v>
      </c>
      <c r="M117" s="2290"/>
      <c r="N117" s="2294" t="s">
        <v>753</v>
      </c>
    </row>
    <row r="118" spans="1:14" ht="46.8" x14ac:dyDescent="0.3">
      <c r="A118" s="2288"/>
      <c r="B118" s="2289"/>
      <c r="C118" s="2290"/>
      <c r="D118" s="2290"/>
      <c r="E118" s="2291">
        <v>0</v>
      </c>
      <c r="F118" s="2291">
        <v>0</v>
      </c>
      <c r="G118" s="2291">
        <v>0</v>
      </c>
      <c r="H118" s="2291">
        <v>0</v>
      </c>
      <c r="I118" s="2290" t="s">
        <v>754</v>
      </c>
      <c r="J118" s="2292" t="s">
        <v>575</v>
      </c>
      <c r="K118" s="2293" t="s">
        <v>755</v>
      </c>
      <c r="L118" s="2293" t="s">
        <v>755</v>
      </c>
      <c r="M118" s="2290"/>
      <c r="N118" s="2294"/>
    </row>
    <row r="119" spans="1:14" ht="62.4" x14ac:dyDescent="0.3">
      <c r="A119" s="2288"/>
      <c r="B119" s="2289"/>
      <c r="C119" s="2290"/>
      <c r="D119" s="2290"/>
      <c r="E119" s="2291">
        <v>0</v>
      </c>
      <c r="F119" s="2291">
        <v>0</v>
      </c>
      <c r="G119" s="2291">
        <v>0</v>
      </c>
      <c r="H119" s="2291">
        <v>0</v>
      </c>
      <c r="I119" s="2290" t="s">
        <v>756</v>
      </c>
      <c r="J119" s="2292" t="s">
        <v>575</v>
      </c>
      <c r="K119" s="2293" t="s">
        <v>755</v>
      </c>
      <c r="L119" s="2293" t="s">
        <v>755</v>
      </c>
      <c r="M119" s="2290"/>
      <c r="N119" s="2294"/>
    </row>
    <row r="120" spans="1:14" ht="46.8" x14ac:dyDescent="0.3">
      <c r="A120" s="2288"/>
      <c r="B120" s="2289"/>
      <c r="C120" s="2290"/>
      <c r="D120" s="2290"/>
      <c r="E120" s="2291">
        <v>0</v>
      </c>
      <c r="F120" s="2291">
        <v>0</v>
      </c>
      <c r="G120" s="2291">
        <v>0</v>
      </c>
      <c r="H120" s="2291">
        <v>0</v>
      </c>
      <c r="I120" s="2290" t="s">
        <v>440</v>
      </c>
      <c r="J120" s="2292" t="s">
        <v>575</v>
      </c>
      <c r="K120" s="2293" t="s">
        <v>757</v>
      </c>
      <c r="L120" s="2293" t="s">
        <v>758</v>
      </c>
      <c r="M120" s="2290"/>
      <c r="N120" s="2294" t="s">
        <v>759</v>
      </c>
    </row>
    <row r="121" spans="1:14" x14ac:dyDescent="0.3">
      <c r="A121" s="2288"/>
      <c r="B121" s="2289"/>
      <c r="C121" s="2290"/>
      <c r="D121" s="2290" t="s">
        <v>31</v>
      </c>
      <c r="E121" s="2291">
        <v>912.2</v>
      </c>
      <c r="F121" s="2291">
        <v>957.8</v>
      </c>
      <c r="G121" s="2291">
        <v>943</v>
      </c>
      <c r="H121" s="2291">
        <v>14.8</v>
      </c>
      <c r="I121" s="2290"/>
      <c r="J121" s="2292"/>
      <c r="K121" s="2293"/>
      <c r="L121" s="2293"/>
      <c r="M121" s="2290"/>
      <c r="N121" s="2294"/>
    </row>
    <row r="122" spans="1:14" ht="31.2" x14ac:dyDescent="0.3">
      <c r="A122" s="2288"/>
      <c r="B122" s="2289"/>
      <c r="C122" s="2290"/>
      <c r="D122" s="2290" t="s">
        <v>178</v>
      </c>
      <c r="E122" s="2291">
        <v>0.2</v>
      </c>
      <c r="F122" s="2291">
        <v>0.2</v>
      </c>
      <c r="G122" s="2291">
        <v>0.2</v>
      </c>
      <c r="H122" s="2291">
        <v>0</v>
      </c>
      <c r="I122" s="2290"/>
      <c r="J122" s="2292"/>
      <c r="K122" s="2293"/>
      <c r="L122" s="2293"/>
      <c r="M122" s="2290"/>
      <c r="N122" s="2294"/>
    </row>
    <row r="123" spans="1:14" x14ac:dyDescent="0.3">
      <c r="A123" s="2288"/>
      <c r="B123" s="2289"/>
      <c r="C123" s="2290"/>
      <c r="D123" s="2290" t="s">
        <v>71</v>
      </c>
      <c r="E123" s="2291">
        <v>0</v>
      </c>
      <c r="F123" s="2291">
        <v>11.4</v>
      </c>
      <c r="G123" s="2291">
        <v>1.1000000000000001</v>
      </c>
      <c r="H123" s="2291">
        <v>10.3</v>
      </c>
      <c r="I123" s="2290"/>
      <c r="J123" s="2292"/>
      <c r="K123" s="2293"/>
      <c r="L123" s="2293"/>
      <c r="M123" s="2290"/>
      <c r="N123" s="2294"/>
    </row>
    <row r="124" spans="1:14" ht="16.2" thickBot="1" x14ac:dyDescent="0.35">
      <c r="A124" s="2288"/>
      <c r="B124" s="2289"/>
      <c r="C124" s="2290"/>
      <c r="D124" s="2290" t="s">
        <v>68</v>
      </c>
      <c r="E124" s="2291">
        <v>1</v>
      </c>
      <c r="F124" s="2291">
        <v>1.9</v>
      </c>
      <c r="G124" s="2291">
        <v>1.8</v>
      </c>
      <c r="H124" s="2291">
        <v>0.1</v>
      </c>
      <c r="I124" s="2290"/>
      <c r="J124" s="2292"/>
      <c r="K124" s="2293"/>
      <c r="L124" s="2293"/>
      <c r="M124" s="2290"/>
      <c r="N124" s="2294"/>
    </row>
    <row r="125" spans="1:14" ht="62.4" x14ac:dyDescent="0.3">
      <c r="A125" s="2302" t="s">
        <v>760</v>
      </c>
      <c r="B125" s="2303" t="s">
        <v>761</v>
      </c>
      <c r="C125" s="2304" t="s">
        <v>698</v>
      </c>
      <c r="D125" s="2304"/>
      <c r="E125" s="2305">
        <f>SUM(E126:E129)</f>
        <v>17.3</v>
      </c>
      <c r="F125" s="2305">
        <f>SUM(F126:F129)</f>
        <v>33.800000000000004</v>
      </c>
      <c r="G125" s="2305">
        <f>SUM(G126:G129)-0.1</f>
        <v>17.2</v>
      </c>
      <c r="H125" s="2305">
        <f>SUM(H126:H129)</f>
        <v>16.5</v>
      </c>
      <c r="I125" s="2304" t="s">
        <v>443</v>
      </c>
      <c r="J125" s="2306" t="s">
        <v>575</v>
      </c>
      <c r="K125" s="2307" t="s">
        <v>762</v>
      </c>
      <c r="L125" s="2307" t="s">
        <v>762</v>
      </c>
      <c r="M125" s="2304"/>
      <c r="N125" s="2308" t="s">
        <v>763</v>
      </c>
    </row>
    <row r="126" spans="1:14" x14ac:dyDescent="0.3">
      <c r="A126" s="2288"/>
      <c r="B126" s="2289"/>
      <c r="C126" s="2290"/>
      <c r="D126" s="2290" t="s">
        <v>31</v>
      </c>
      <c r="E126" s="2291">
        <v>16</v>
      </c>
      <c r="F126" s="2291">
        <v>16</v>
      </c>
      <c r="G126" s="2291">
        <v>14.4</v>
      </c>
      <c r="H126" s="2291">
        <v>1.6</v>
      </c>
      <c r="I126" s="2290"/>
      <c r="J126" s="2292"/>
      <c r="K126" s="2293"/>
      <c r="L126" s="2293"/>
      <c r="M126" s="2290"/>
      <c r="N126" s="2294"/>
    </row>
    <row r="127" spans="1:14" x14ac:dyDescent="0.3">
      <c r="A127" s="2288"/>
      <c r="B127" s="2289"/>
      <c r="C127" s="2290"/>
      <c r="D127" s="2290" t="s">
        <v>103</v>
      </c>
      <c r="E127" s="2291">
        <v>1.3</v>
      </c>
      <c r="F127" s="2291">
        <v>1.3</v>
      </c>
      <c r="G127" s="2291">
        <v>0.9</v>
      </c>
      <c r="H127" s="2291">
        <v>0.4</v>
      </c>
      <c r="I127" s="2290"/>
      <c r="J127" s="2292"/>
      <c r="K127" s="2293"/>
      <c r="L127" s="2293"/>
      <c r="M127" s="2290"/>
      <c r="N127" s="2294"/>
    </row>
    <row r="128" spans="1:14" x14ac:dyDescent="0.3">
      <c r="A128" s="2288"/>
      <c r="B128" s="2289"/>
      <c r="C128" s="2290"/>
      <c r="D128" s="2290" t="s">
        <v>334</v>
      </c>
      <c r="E128" s="2291">
        <v>0</v>
      </c>
      <c r="F128" s="2291">
        <v>14.8</v>
      </c>
      <c r="G128" s="2291">
        <v>2</v>
      </c>
      <c r="H128" s="2291">
        <v>12.8</v>
      </c>
      <c r="I128" s="2290"/>
      <c r="J128" s="2292"/>
      <c r="K128" s="2293"/>
      <c r="L128" s="2293"/>
      <c r="M128" s="2290"/>
      <c r="N128" s="2294"/>
    </row>
    <row r="129" spans="1:14" ht="16.2" thickBot="1" x14ac:dyDescent="0.35">
      <c r="A129" s="2288"/>
      <c r="B129" s="2289"/>
      <c r="C129" s="2290"/>
      <c r="D129" s="2290" t="s">
        <v>52</v>
      </c>
      <c r="E129" s="2291">
        <v>0</v>
      </c>
      <c r="F129" s="2291">
        <v>1.7</v>
      </c>
      <c r="G129" s="2291">
        <v>0</v>
      </c>
      <c r="H129" s="2291">
        <v>1.7</v>
      </c>
      <c r="I129" s="2290"/>
      <c r="J129" s="2292"/>
      <c r="K129" s="2293"/>
      <c r="L129" s="2293"/>
      <c r="M129" s="2290"/>
      <c r="N129" s="2294"/>
    </row>
    <row r="130" spans="1:14" ht="124.8" x14ac:dyDescent="0.3">
      <c r="A130" s="2302" t="s">
        <v>764</v>
      </c>
      <c r="B130" s="2303" t="s">
        <v>765</v>
      </c>
      <c r="C130" s="2304" t="s">
        <v>698</v>
      </c>
      <c r="D130" s="2304"/>
      <c r="E130" s="2305">
        <f>SUM(E131:E134)</f>
        <v>103.4</v>
      </c>
      <c r="F130" s="2305">
        <f>SUM(F131:F134)</f>
        <v>193.6</v>
      </c>
      <c r="G130" s="2305">
        <f>SUM(G131:G134)</f>
        <v>70.099999999999994</v>
      </c>
      <c r="H130" s="2305">
        <f>SUM(H131:H134)</f>
        <v>123.5</v>
      </c>
      <c r="I130" s="2304" t="s">
        <v>472</v>
      </c>
      <c r="J130" s="2306" t="s">
        <v>575</v>
      </c>
      <c r="K130" s="2307" t="s">
        <v>542</v>
      </c>
      <c r="L130" s="2307" t="s">
        <v>542</v>
      </c>
      <c r="M130" s="2304"/>
      <c r="N130" s="2308"/>
    </row>
    <row r="131" spans="1:14" ht="31.2" x14ac:dyDescent="0.3">
      <c r="A131" s="2288"/>
      <c r="B131" s="2289"/>
      <c r="C131" s="2290"/>
      <c r="D131" s="2290"/>
      <c r="E131" s="2291">
        <v>0</v>
      </c>
      <c r="F131" s="2291">
        <v>0</v>
      </c>
      <c r="G131" s="2291">
        <v>0</v>
      </c>
      <c r="H131" s="2291">
        <v>0</v>
      </c>
      <c r="I131" s="2290" t="s">
        <v>473</v>
      </c>
      <c r="J131" s="2292" t="s">
        <v>570</v>
      </c>
      <c r="K131" s="2293" t="s">
        <v>766</v>
      </c>
      <c r="L131" s="2293" t="s">
        <v>766</v>
      </c>
      <c r="M131" s="2290"/>
      <c r="N131" s="2294"/>
    </row>
    <row r="132" spans="1:14" x14ac:dyDescent="0.3">
      <c r="A132" s="2288"/>
      <c r="B132" s="2289"/>
      <c r="C132" s="2290"/>
      <c r="D132" s="2290" t="s">
        <v>31</v>
      </c>
      <c r="E132" s="2291">
        <v>25.9</v>
      </c>
      <c r="F132" s="2291">
        <v>25.9</v>
      </c>
      <c r="G132" s="2291">
        <v>0</v>
      </c>
      <c r="H132" s="2291">
        <v>25.9</v>
      </c>
      <c r="I132" s="2290"/>
      <c r="J132" s="2292"/>
      <c r="K132" s="2293"/>
      <c r="L132" s="2293"/>
      <c r="M132" s="2290"/>
      <c r="N132" s="2294"/>
    </row>
    <row r="133" spans="1:14" x14ac:dyDescent="0.3">
      <c r="A133" s="2288"/>
      <c r="B133" s="2289"/>
      <c r="C133" s="2290"/>
      <c r="D133" s="2290" t="s">
        <v>334</v>
      </c>
      <c r="E133" s="2291">
        <v>0</v>
      </c>
      <c r="F133" s="2291">
        <v>90.2</v>
      </c>
      <c r="G133" s="2291">
        <v>70.099999999999994</v>
      </c>
      <c r="H133" s="2291">
        <v>20.100000000000001</v>
      </c>
      <c r="I133" s="2290"/>
      <c r="J133" s="2292"/>
      <c r="K133" s="2293"/>
      <c r="L133" s="2293"/>
      <c r="M133" s="2290"/>
      <c r="N133" s="2294"/>
    </row>
    <row r="134" spans="1:14" ht="16.2" thickBot="1" x14ac:dyDescent="0.35">
      <c r="A134" s="2288"/>
      <c r="B134" s="2289"/>
      <c r="C134" s="2290"/>
      <c r="D134" s="2290" t="s">
        <v>103</v>
      </c>
      <c r="E134" s="2291">
        <v>77.5</v>
      </c>
      <c r="F134" s="2291">
        <v>77.5</v>
      </c>
      <c r="G134" s="2291">
        <v>0</v>
      </c>
      <c r="H134" s="2291">
        <v>77.5</v>
      </c>
      <c r="I134" s="2290"/>
      <c r="J134" s="2292"/>
      <c r="K134" s="2293"/>
      <c r="L134" s="2293"/>
      <c r="M134" s="2290"/>
      <c r="N134" s="2294"/>
    </row>
    <row r="135" spans="1:14" ht="62.4" x14ac:dyDescent="0.3">
      <c r="A135" s="2302" t="s">
        <v>767</v>
      </c>
      <c r="B135" s="2303" t="s">
        <v>768</v>
      </c>
      <c r="C135" s="2304" t="s">
        <v>698</v>
      </c>
      <c r="D135" s="2304"/>
      <c r="E135" s="2305">
        <f>SUM(E136:E140)</f>
        <v>593.19999999999993</v>
      </c>
      <c r="F135" s="2305">
        <f>SUM(F136:F140)</f>
        <v>608.29999999999995</v>
      </c>
      <c r="G135" s="2305">
        <f>SUM(G136:G140)</f>
        <v>543.99999999999989</v>
      </c>
      <c r="H135" s="2305">
        <f>SUM(H136:H140)</f>
        <v>64.3</v>
      </c>
      <c r="I135" s="2304" t="s">
        <v>174</v>
      </c>
      <c r="J135" s="2306" t="s">
        <v>575</v>
      </c>
      <c r="K135" s="2307" t="s">
        <v>769</v>
      </c>
      <c r="L135" s="2307" t="s">
        <v>610</v>
      </c>
      <c r="M135" s="2304"/>
      <c r="N135" s="2308" t="s">
        <v>770</v>
      </c>
    </row>
    <row r="136" spans="1:14" ht="62.4" x14ac:dyDescent="0.3">
      <c r="A136" s="2288"/>
      <c r="B136" s="2289"/>
      <c r="C136" s="2290"/>
      <c r="D136" s="2290"/>
      <c r="E136" s="2291">
        <v>0</v>
      </c>
      <c r="F136" s="2291">
        <v>0</v>
      </c>
      <c r="G136" s="2291">
        <v>0</v>
      </c>
      <c r="H136" s="2291">
        <v>0</v>
      </c>
      <c r="I136" s="2290" t="s">
        <v>505</v>
      </c>
      <c r="J136" s="2292" t="s">
        <v>575</v>
      </c>
      <c r="K136" s="2293" t="s">
        <v>561</v>
      </c>
      <c r="L136" s="2293" t="s">
        <v>550</v>
      </c>
      <c r="M136" s="2290"/>
      <c r="N136" s="2294" t="s">
        <v>771</v>
      </c>
    </row>
    <row r="137" spans="1:14" ht="78" x14ac:dyDescent="0.3">
      <c r="A137" s="2288"/>
      <c r="B137" s="2289"/>
      <c r="C137" s="2290"/>
      <c r="D137" s="2290"/>
      <c r="E137" s="2291">
        <v>0</v>
      </c>
      <c r="F137" s="2291">
        <v>0</v>
      </c>
      <c r="G137" s="2291">
        <v>0</v>
      </c>
      <c r="H137" s="2291">
        <v>0</v>
      </c>
      <c r="I137" s="2290" t="s">
        <v>772</v>
      </c>
      <c r="J137" s="2292" t="s">
        <v>575</v>
      </c>
      <c r="K137" s="2293" t="s">
        <v>773</v>
      </c>
      <c r="L137" s="2293" t="s">
        <v>774</v>
      </c>
      <c r="M137" s="2290"/>
      <c r="N137" s="2294" t="s">
        <v>775</v>
      </c>
    </row>
    <row r="138" spans="1:14" ht="31.2" x14ac:dyDescent="0.3">
      <c r="A138" s="2288"/>
      <c r="B138" s="2289"/>
      <c r="C138" s="2290"/>
      <c r="D138" s="2290" t="s">
        <v>178</v>
      </c>
      <c r="E138" s="2291">
        <v>3.9</v>
      </c>
      <c r="F138" s="2291">
        <v>3.9</v>
      </c>
      <c r="G138" s="2291">
        <v>3.9</v>
      </c>
      <c r="H138" s="2291">
        <v>0</v>
      </c>
      <c r="I138" s="2290"/>
      <c r="J138" s="2292"/>
      <c r="K138" s="2293"/>
      <c r="L138" s="2293"/>
      <c r="M138" s="2290"/>
      <c r="N138" s="2294"/>
    </row>
    <row r="139" spans="1:14" x14ac:dyDescent="0.3">
      <c r="A139" s="2288"/>
      <c r="B139" s="2289"/>
      <c r="C139" s="2290"/>
      <c r="D139" s="2290" t="s">
        <v>31</v>
      </c>
      <c r="E139" s="2291">
        <v>567.29999999999995</v>
      </c>
      <c r="F139" s="2291">
        <v>582.4</v>
      </c>
      <c r="G139" s="2291">
        <v>518.29999999999995</v>
      </c>
      <c r="H139" s="2291">
        <v>64.099999999999994</v>
      </c>
      <c r="I139" s="2290"/>
      <c r="J139" s="2292"/>
      <c r="K139" s="2293"/>
      <c r="L139" s="2293"/>
      <c r="M139" s="2290"/>
      <c r="N139" s="2294"/>
    </row>
    <row r="140" spans="1:14" ht="16.2" thickBot="1" x14ac:dyDescent="0.35">
      <c r="A140" s="2288"/>
      <c r="B140" s="2289"/>
      <c r="C140" s="2290"/>
      <c r="D140" s="2290" t="s">
        <v>68</v>
      </c>
      <c r="E140" s="2291">
        <v>22</v>
      </c>
      <c r="F140" s="2291">
        <v>22</v>
      </c>
      <c r="G140" s="2291">
        <v>21.8</v>
      </c>
      <c r="H140" s="2291">
        <v>0.2</v>
      </c>
      <c r="I140" s="2290"/>
      <c r="J140" s="2292"/>
      <c r="K140" s="2293"/>
      <c r="L140" s="2293"/>
      <c r="M140" s="2290"/>
      <c r="N140" s="2294"/>
    </row>
    <row r="141" spans="1:14" ht="78" x14ac:dyDescent="0.3">
      <c r="A141" s="2302" t="s">
        <v>776</v>
      </c>
      <c r="B141" s="2303" t="s">
        <v>777</v>
      </c>
      <c r="C141" s="2304" t="s">
        <v>698</v>
      </c>
      <c r="D141" s="2304"/>
      <c r="E141" s="2305">
        <f>SUM(E142:E144)</f>
        <v>503.6</v>
      </c>
      <c r="F141" s="2305">
        <f>SUM(F142:F144)</f>
        <v>527.20000000000005</v>
      </c>
      <c r="G141" s="2305">
        <f>SUM(G142:G144)-0.1</f>
        <v>483.2</v>
      </c>
      <c r="H141" s="2305">
        <f>SUM(H142:H144)+0.1</f>
        <v>44</v>
      </c>
      <c r="I141" s="2304" t="s">
        <v>778</v>
      </c>
      <c r="J141" s="2306" t="s">
        <v>575</v>
      </c>
      <c r="K141" s="2307" t="s">
        <v>550</v>
      </c>
      <c r="L141" s="2307" t="s">
        <v>663</v>
      </c>
      <c r="M141" s="2304"/>
      <c r="N141" s="2308" t="s">
        <v>779</v>
      </c>
    </row>
    <row r="142" spans="1:14" x14ac:dyDescent="0.3">
      <c r="A142" s="2288"/>
      <c r="B142" s="2289"/>
      <c r="C142" s="2290"/>
      <c r="D142" s="2290" t="s">
        <v>28</v>
      </c>
      <c r="E142" s="2291">
        <v>53</v>
      </c>
      <c r="F142" s="2291">
        <v>53</v>
      </c>
      <c r="G142" s="2291">
        <v>53</v>
      </c>
      <c r="H142" s="2291">
        <v>0</v>
      </c>
      <c r="I142" s="2290"/>
      <c r="J142" s="2292"/>
      <c r="K142" s="2293"/>
      <c r="L142" s="2293"/>
      <c r="M142" s="2290"/>
      <c r="N142" s="2294"/>
    </row>
    <row r="143" spans="1:14" x14ac:dyDescent="0.3">
      <c r="A143" s="2288"/>
      <c r="B143" s="2289"/>
      <c r="C143" s="2290"/>
      <c r="D143" s="2290" t="s">
        <v>31</v>
      </c>
      <c r="E143" s="2291">
        <v>450.6</v>
      </c>
      <c r="F143" s="2291">
        <v>464</v>
      </c>
      <c r="G143" s="2291">
        <v>423.7</v>
      </c>
      <c r="H143" s="2291">
        <v>40.299999999999997</v>
      </c>
      <c r="I143" s="2290"/>
      <c r="J143" s="2292"/>
      <c r="K143" s="2293"/>
      <c r="L143" s="2293"/>
      <c r="M143" s="2290"/>
      <c r="N143" s="2294"/>
    </row>
    <row r="144" spans="1:14" ht="16.2" thickBot="1" x14ac:dyDescent="0.35">
      <c r="A144" s="2288"/>
      <c r="B144" s="2289"/>
      <c r="C144" s="2290"/>
      <c r="D144" s="2290" t="s">
        <v>71</v>
      </c>
      <c r="E144" s="2291">
        <v>0</v>
      </c>
      <c r="F144" s="2291">
        <v>10.199999999999999</v>
      </c>
      <c r="G144" s="2291">
        <v>6.6</v>
      </c>
      <c r="H144" s="2291">
        <v>3.6</v>
      </c>
      <c r="I144" s="2290"/>
      <c r="J144" s="2292"/>
      <c r="K144" s="2293"/>
      <c r="L144" s="2293"/>
      <c r="M144" s="2290"/>
      <c r="N144" s="2294"/>
    </row>
    <row r="145" spans="1:14" ht="62.4" x14ac:dyDescent="0.3">
      <c r="A145" s="2302" t="s">
        <v>780</v>
      </c>
      <c r="B145" s="2303" t="s">
        <v>781</v>
      </c>
      <c r="C145" s="2304" t="s">
        <v>698</v>
      </c>
      <c r="D145" s="2304"/>
      <c r="E145" s="2305">
        <f>SUM(E146:E152)</f>
        <v>375.90000000000003</v>
      </c>
      <c r="F145" s="2305">
        <f>SUM(F146:F152)</f>
        <v>416.7</v>
      </c>
      <c r="G145" s="2305">
        <f>SUM(G146:G152)-0.1</f>
        <v>404.30000000000007</v>
      </c>
      <c r="H145" s="2305">
        <f>SUM(H146:H152)</f>
        <v>12.3</v>
      </c>
      <c r="I145" s="2304" t="s">
        <v>782</v>
      </c>
      <c r="J145" s="2306" t="s">
        <v>575</v>
      </c>
      <c r="K145" s="2307" t="s">
        <v>726</v>
      </c>
      <c r="L145" s="2307" t="s">
        <v>726</v>
      </c>
      <c r="M145" s="2304"/>
      <c r="N145" s="2308"/>
    </row>
    <row r="146" spans="1:14" ht="46.8" x14ac:dyDescent="0.3">
      <c r="A146" s="2288"/>
      <c r="B146" s="2289"/>
      <c r="C146" s="2290"/>
      <c r="D146" s="2290"/>
      <c r="E146" s="2291">
        <v>0</v>
      </c>
      <c r="F146" s="2291">
        <v>0</v>
      </c>
      <c r="G146" s="2291">
        <v>0</v>
      </c>
      <c r="H146" s="2291">
        <v>0</v>
      </c>
      <c r="I146" s="2290" t="s">
        <v>445</v>
      </c>
      <c r="J146" s="2292" t="s">
        <v>575</v>
      </c>
      <c r="K146" s="2293" t="s">
        <v>783</v>
      </c>
      <c r="L146" s="2293" t="s">
        <v>783</v>
      </c>
      <c r="M146" s="2290"/>
      <c r="N146" s="2294" t="s">
        <v>784</v>
      </c>
    </row>
    <row r="147" spans="1:14" ht="31.2" x14ac:dyDescent="0.3">
      <c r="A147" s="2288"/>
      <c r="B147" s="2289"/>
      <c r="C147" s="2290"/>
      <c r="D147" s="2290"/>
      <c r="E147" s="2291">
        <v>0</v>
      </c>
      <c r="F147" s="2291">
        <v>0</v>
      </c>
      <c r="G147" s="2291">
        <v>0</v>
      </c>
      <c r="H147" s="2291">
        <v>0</v>
      </c>
      <c r="I147" s="2290" t="s">
        <v>443</v>
      </c>
      <c r="J147" s="2292" t="s">
        <v>575</v>
      </c>
      <c r="K147" s="2293" t="s">
        <v>618</v>
      </c>
      <c r="L147" s="2293" t="s">
        <v>618</v>
      </c>
      <c r="M147" s="2290"/>
      <c r="N147" s="2294"/>
    </row>
    <row r="148" spans="1:14" x14ac:dyDescent="0.3">
      <c r="A148" s="2288"/>
      <c r="B148" s="2289"/>
      <c r="C148" s="2290"/>
      <c r="D148" s="2290" t="s">
        <v>71</v>
      </c>
      <c r="E148" s="2291">
        <v>0</v>
      </c>
      <c r="F148" s="2291">
        <v>20.2</v>
      </c>
      <c r="G148" s="2291">
        <v>14</v>
      </c>
      <c r="H148" s="2291">
        <v>6.2</v>
      </c>
      <c r="I148" s="2290"/>
      <c r="J148" s="2292"/>
      <c r="K148" s="2293"/>
      <c r="L148" s="2293"/>
      <c r="M148" s="2290"/>
      <c r="N148" s="2294"/>
    </row>
    <row r="149" spans="1:14" x14ac:dyDescent="0.3">
      <c r="A149" s="2288"/>
      <c r="B149" s="2289"/>
      <c r="C149" s="2290"/>
      <c r="D149" s="2290" t="s">
        <v>31</v>
      </c>
      <c r="E149" s="2291">
        <v>273.60000000000002</v>
      </c>
      <c r="F149" s="2291">
        <v>294.2</v>
      </c>
      <c r="G149" s="2291">
        <v>293.10000000000002</v>
      </c>
      <c r="H149" s="2291">
        <v>1.1000000000000001</v>
      </c>
      <c r="I149" s="2290"/>
      <c r="J149" s="2292"/>
      <c r="K149" s="2293"/>
      <c r="L149" s="2293"/>
      <c r="M149" s="2290"/>
      <c r="N149" s="2294"/>
    </row>
    <row r="150" spans="1:14" ht="31.2" x14ac:dyDescent="0.3">
      <c r="A150" s="2288"/>
      <c r="B150" s="2289"/>
      <c r="C150" s="2290"/>
      <c r="D150" s="2290" t="s">
        <v>178</v>
      </c>
      <c r="E150" s="2291">
        <v>15.1</v>
      </c>
      <c r="F150" s="2291">
        <v>15.1</v>
      </c>
      <c r="G150" s="2291">
        <v>15.1</v>
      </c>
      <c r="H150" s="2291">
        <v>0</v>
      </c>
      <c r="I150" s="2290"/>
      <c r="J150" s="2292"/>
      <c r="K150" s="2293"/>
      <c r="L150" s="2293"/>
      <c r="M150" s="2290"/>
      <c r="N150" s="2294"/>
    </row>
    <row r="151" spans="1:14" x14ac:dyDescent="0.3">
      <c r="A151" s="2288"/>
      <c r="B151" s="2289"/>
      <c r="C151" s="2290"/>
      <c r="D151" s="2290" t="s">
        <v>28</v>
      </c>
      <c r="E151" s="2291">
        <v>33</v>
      </c>
      <c r="F151" s="2291">
        <v>33</v>
      </c>
      <c r="G151" s="2291">
        <v>32.6</v>
      </c>
      <c r="H151" s="2291">
        <v>0.4</v>
      </c>
      <c r="I151" s="2290"/>
      <c r="J151" s="2292"/>
      <c r="K151" s="2293"/>
      <c r="L151" s="2293"/>
      <c r="M151" s="2290"/>
      <c r="N151" s="2294"/>
    </row>
    <row r="152" spans="1:14" ht="16.2" thickBot="1" x14ac:dyDescent="0.35">
      <c r="A152" s="2288"/>
      <c r="B152" s="2289"/>
      <c r="C152" s="2290"/>
      <c r="D152" s="2290" t="s">
        <v>68</v>
      </c>
      <c r="E152" s="2291">
        <v>54.2</v>
      </c>
      <c r="F152" s="2291">
        <v>54.2</v>
      </c>
      <c r="G152" s="2291">
        <v>49.6</v>
      </c>
      <c r="H152" s="2291">
        <v>4.5999999999999996</v>
      </c>
      <c r="I152" s="2290"/>
      <c r="J152" s="2292"/>
      <c r="K152" s="2293"/>
      <c r="L152" s="2293"/>
      <c r="M152" s="2290"/>
      <c r="N152" s="2294"/>
    </row>
    <row r="153" spans="1:14" ht="109.8" thickBot="1" x14ac:dyDescent="0.35">
      <c r="A153" s="2302" t="s">
        <v>785</v>
      </c>
      <c r="B153" s="2303" t="s">
        <v>786</v>
      </c>
      <c r="C153" s="2304" t="s">
        <v>581</v>
      </c>
      <c r="D153" s="2304" t="s">
        <v>31</v>
      </c>
      <c r="E153" s="2309">
        <v>401.3</v>
      </c>
      <c r="F153" s="2309">
        <v>392.7</v>
      </c>
      <c r="G153" s="2309">
        <v>389.1</v>
      </c>
      <c r="H153" s="2309">
        <v>3.6</v>
      </c>
      <c r="I153" s="2304"/>
      <c r="J153" s="2306"/>
      <c r="K153" s="2307"/>
      <c r="L153" s="2307"/>
      <c r="M153" s="2304"/>
      <c r="N153" s="2308"/>
    </row>
    <row r="154" spans="1:14" ht="62.4" x14ac:dyDescent="0.3">
      <c r="A154" s="2302" t="s">
        <v>787</v>
      </c>
      <c r="B154" s="2303" t="s">
        <v>788</v>
      </c>
      <c r="C154" s="2304" t="s">
        <v>698</v>
      </c>
      <c r="D154" s="2304"/>
      <c r="E154" s="2305">
        <f>SUM(E155:E163)</f>
        <v>813.90000000000009</v>
      </c>
      <c r="F154" s="2305">
        <f>SUM(F155:F163)</f>
        <v>878.3</v>
      </c>
      <c r="G154" s="2305">
        <f>SUM(G155:G163)</f>
        <v>765</v>
      </c>
      <c r="H154" s="2305">
        <f>SUM(H155:H163)-0.1</f>
        <v>113.20000000000002</v>
      </c>
      <c r="I154" s="2304" t="s">
        <v>778</v>
      </c>
      <c r="J154" s="2306" t="s">
        <v>575</v>
      </c>
      <c r="K154" s="2307" t="s">
        <v>789</v>
      </c>
      <c r="L154" s="2307" t="s">
        <v>789</v>
      </c>
      <c r="M154" s="2304"/>
      <c r="N154" s="2308"/>
    </row>
    <row r="155" spans="1:14" ht="46.8" x14ac:dyDescent="0.3">
      <c r="A155" s="2288"/>
      <c r="B155" s="2289"/>
      <c r="C155" s="2290"/>
      <c r="D155" s="2290"/>
      <c r="E155" s="2291">
        <v>0</v>
      </c>
      <c r="F155" s="2291">
        <v>0</v>
      </c>
      <c r="G155" s="2291">
        <v>0</v>
      </c>
      <c r="H155" s="2291">
        <v>0</v>
      </c>
      <c r="I155" s="2290" t="s">
        <v>790</v>
      </c>
      <c r="J155" s="2292" t="s">
        <v>575</v>
      </c>
      <c r="K155" s="2293" t="s">
        <v>791</v>
      </c>
      <c r="L155" s="2293" t="s">
        <v>792</v>
      </c>
      <c r="M155" s="2290"/>
      <c r="N155" s="2294" t="s">
        <v>793</v>
      </c>
    </row>
    <row r="156" spans="1:14" ht="31.2" x14ac:dyDescent="0.3">
      <c r="A156" s="2288"/>
      <c r="B156" s="2289"/>
      <c r="C156" s="2290"/>
      <c r="D156" s="2290"/>
      <c r="E156" s="2291">
        <v>0</v>
      </c>
      <c r="F156" s="2291">
        <v>0</v>
      </c>
      <c r="G156" s="2291">
        <v>0</v>
      </c>
      <c r="H156" s="2291">
        <v>0</v>
      </c>
      <c r="I156" s="2290" t="s">
        <v>794</v>
      </c>
      <c r="J156" s="2292" t="s">
        <v>575</v>
      </c>
      <c r="K156" s="2293" t="s">
        <v>541</v>
      </c>
      <c r="L156" s="2293" t="s">
        <v>542</v>
      </c>
      <c r="M156" s="2290"/>
      <c r="N156" s="2294" t="s">
        <v>795</v>
      </c>
    </row>
    <row r="157" spans="1:14" ht="62.4" x14ac:dyDescent="0.3">
      <c r="A157" s="2288"/>
      <c r="B157" s="2289"/>
      <c r="C157" s="2290"/>
      <c r="D157" s="2290"/>
      <c r="E157" s="2291">
        <v>0</v>
      </c>
      <c r="F157" s="2291">
        <v>0</v>
      </c>
      <c r="G157" s="2291">
        <v>0</v>
      </c>
      <c r="H157" s="2291">
        <v>0</v>
      </c>
      <c r="I157" s="2290" t="s">
        <v>474</v>
      </c>
      <c r="J157" s="2292" t="s">
        <v>575</v>
      </c>
      <c r="K157" s="2293" t="s">
        <v>541</v>
      </c>
      <c r="L157" s="2293" t="s">
        <v>542</v>
      </c>
      <c r="M157" s="2290"/>
      <c r="N157" s="2294" t="s">
        <v>795</v>
      </c>
    </row>
    <row r="158" spans="1:14" x14ac:dyDescent="0.3">
      <c r="A158" s="2288"/>
      <c r="B158" s="2289"/>
      <c r="C158" s="2290"/>
      <c r="D158" s="2290" t="s">
        <v>31</v>
      </c>
      <c r="E158" s="2291">
        <v>754.7</v>
      </c>
      <c r="F158" s="2291">
        <v>773.4</v>
      </c>
      <c r="G158" s="2291">
        <v>703.2</v>
      </c>
      <c r="H158" s="2291">
        <v>70.2</v>
      </c>
      <c r="I158" s="2290"/>
      <c r="J158" s="2292"/>
      <c r="K158" s="2293"/>
      <c r="L158" s="2293"/>
      <c r="M158" s="2290"/>
      <c r="N158" s="2294"/>
    </row>
    <row r="159" spans="1:14" ht="31.2" x14ac:dyDescent="0.3">
      <c r="A159" s="2288"/>
      <c r="B159" s="2289"/>
      <c r="C159" s="2290"/>
      <c r="D159" s="2290" t="s">
        <v>178</v>
      </c>
      <c r="E159" s="2291">
        <v>12.7</v>
      </c>
      <c r="F159" s="2291">
        <v>12.7</v>
      </c>
      <c r="G159" s="2291">
        <v>12.7</v>
      </c>
      <c r="H159" s="2291">
        <v>0</v>
      </c>
      <c r="I159" s="2290"/>
      <c r="J159" s="2292"/>
      <c r="K159" s="2293"/>
      <c r="L159" s="2293"/>
      <c r="M159" s="2290"/>
      <c r="N159" s="2294"/>
    </row>
    <row r="160" spans="1:14" x14ac:dyDescent="0.3">
      <c r="A160" s="2288"/>
      <c r="B160" s="2289"/>
      <c r="C160" s="2290"/>
      <c r="D160" s="2290" t="s">
        <v>52</v>
      </c>
      <c r="E160" s="2291">
        <v>0</v>
      </c>
      <c r="F160" s="2291">
        <v>1.8</v>
      </c>
      <c r="G160" s="2291">
        <v>0.3</v>
      </c>
      <c r="H160" s="2291">
        <v>1.5</v>
      </c>
      <c r="I160" s="2290"/>
      <c r="J160" s="2292"/>
      <c r="K160" s="2293"/>
      <c r="L160" s="2293"/>
      <c r="M160" s="2290"/>
      <c r="N160" s="2294"/>
    </row>
    <row r="161" spans="1:14" x14ac:dyDescent="0.3">
      <c r="A161" s="2288"/>
      <c r="B161" s="2289"/>
      <c r="C161" s="2290"/>
      <c r="D161" s="2290" t="s">
        <v>28</v>
      </c>
      <c r="E161" s="2291">
        <v>32</v>
      </c>
      <c r="F161" s="2291">
        <v>32</v>
      </c>
      <c r="G161" s="2291">
        <v>32</v>
      </c>
      <c r="H161" s="2291">
        <v>0</v>
      </c>
      <c r="I161" s="2290"/>
      <c r="J161" s="2292"/>
      <c r="K161" s="2293"/>
      <c r="L161" s="2293"/>
      <c r="M161" s="2290"/>
      <c r="N161" s="2294"/>
    </row>
    <row r="162" spans="1:14" x14ac:dyDescent="0.3">
      <c r="A162" s="2288"/>
      <c r="B162" s="2289"/>
      <c r="C162" s="2290"/>
      <c r="D162" s="2290" t="s">
        <v>68</v>
      </c>
      <c r="E162" s="2291">
        <v>14.5</v>
      </c>
      <c r="F162" s="2291">
        <v>14.5</v>
      </c>
      <c r="G162" s="2291">
        <v>5.8</v>
      </c>
      <c r="H162" s="2291">
        <v>8.6999999999999993</v>
      </c>
      <c r="I162" s="2290"/>
      <c r="J162" s="2292"/>
      <c r="K162" s="2293"/>
      <c r="L162" s="2293"/>
      <c r="M162" s="2290"/>
      <c r="N162" s="2294"/>
    </row>
    <row r="163" spans="1:14" ht="16.2" thickBot="1" x14ac:dyDescent="0.35">
      <c r="A163" s="2288"/>
      <c r="B163" s="2289"/>
      <c r="C163" s="2290"/>
      <c r="D163" s="2290" t="s">
        <v>71</v>
      </c>
      <c r="E163" s="2291">
        <v>0</v>
      </c>
      <c r="F163" s="2291">
        <v>43.9</v>
      </c>
      <c r="G163" s="2291">
        <v>11</v>
      </c>
      <c r="H163" s="2291">
        <v>32.9</v>
      </c>
      <c r="I163" s="2290"/>
      <c r="J163" s="2292"/>
      <c r="K163" s="2293"/>
      <c r="L163" s="2293"/>
      <c r="M163" s="2290"/>
      <c r="N163" s="2294"/>
    </row>
    <row r="164" spans="1:14" ht="78.599999999999994" thickBot="1" x14ac:dyDescent="0.35">
      <c r="A164" s="2302" t="s">
        <v>796</v>
      </c>
      <c r="B164" s="2303" t="s">
        <v>446</v>
      </c>
      <c r="C164" s="2304" t="s">
        <v>698</v>
      </c>
      <c r="D164" s="2304" t="s">
        <v>31</v>
      </c>
      <c r="E164" s="2309">
        <v>2.6</v>
      </c>
      <c r="F164" s="2309">
        <v>2.6</v>
      </c>
      <c r="G164" s="2309">
        <v>1.8</v>
      </c>
      <c r="H164" s="2309">
        <v>0.8</v>
      </c>
      <c r="I164" s="2304" t="s">
        <v>797</v>
      </c>
      <c r="J164" s="2306" t="s">
        <v>575</v>
      </c>
      <c r="K164" s="2307" t="s">
        <v>595</v>
      </c>
      <c r="L164" s="2307" t="s">
        <v>595</v>
      </c>
      <c r="M164" s="2304"/>
      <c r="N164" s="2308"/>
    </row>
    <row r="165" spans="1:14" ht="109.8" thickBot="1" x14ac:dyDescent="0.35">
      <c r="A165" s="2302" t="s">
        <v>798</v>
      </c>
      <c r="B165" s="2303" t="s">
        <v>81</v>
      </c>
      <c r="C165" s="2304" t="s">
        <v>581</v>
      </c>
      <c r="D165" s="2304"/>
      <c r="E165" s="2305">
        <f>SUM(E166:E166)</f>
        <v>445.7</v>
      </c>
      <c r="F165" s="2305">
        <f>SUM(F166:F166)</f>
        <v>491.7</v>
      </c>
      <c r="G165" s="2305">
        <f>SUM(G166:G166)</f>
        <v>491.7</v>
      </c>
      <c r="H165" s="2305">
        <f>SUM(H166:H166)</f>
        <v>0</v>
      </c>
      <c r="I165" s="2304"/>
      <c r="J165" s="2306"/>
      <c r="K165" s="2307"/>
      <c r="L165" s="2307"/>
      <c r="M165" s="2304"/>
      <c r="N165" s="2308"/>
    </row>
    <row r="166" spans="1:14" ht="109.8" thickBot="1" x14ac:dyDescent="0.35">
      <c r="A166" s="2302" t="s">
        <v>799</v>
      </c>
      <c r="B166" s="2303" t="s">
        <v>81</v>
      </c>
      <c r="C166" s="2304" t="s">
        <v>581</v>
      </c>
      <c r="D166" s="2304" t="s">
        <v>31</v>
      </c>
      <c r="E166" s="2309">
        <v>445.7</v>
      </c>
      <c r="F166" s="2309">
        <v>491.7</v>
      </c>
      <c r="G166" s="2309">
        <v>491.7</v>
      </c>
      <c r="H166" s="2309">
        <v>0</v>
      </c>
      <c r="I166" s="2304" t="s">
        <v>275</v>
      </c>
      <c r="J166" s="2306" t="s">
        <v>575</v>
      </c>
      <c r="K166" s="2307" t="s">
        <v>800</v>
      </c>
      <c r="L166" s="2307" t="s">
        <v>801</v>
      </c>
      <c r="M166" s="2304"/>
      <c r="N166" s="2308" t="s">
        <v>802</v>
      </c>
    </row>
    <row r="167" spans="1:14" ht="141" thickBot="1" x14ac:dyDescent="0.35">
      <c r="A167" s="2302" t="s">
        <v>803</v>
      </c>
      <c r="B167" s="2303" t="s">
        <v>804</v>
      </c>
      <c r="C167" s="2304" t="s">
        <v>805</v>
      </c>
      <c r="D167" s="2304"/>
      <c r="E167" s="2305">
        <f>SUM(E168:E174)</f>
        <v>646.20000000000016</v>
      </c>
      <c r="F167" s="2305">
        <f>SUM(F168:F174)</f>
        <v>668.20000000000016</v>
      </c>
      <c r="G167" s="2305">
        <f>SUM(G168:G174)</f>
        <v>647.89999999999986</v>
      </c>
      <c r="H167" s="2305">
        <f>SUM(H168:H174)</f>
        <v>20.300000000000004</v>
      </c>
      <c r="I167" s="2304"/>
      <c r="J167" s="2306"/>
      <c r="K167" s="2307"/>
      <c r="L167" s="2307"/>
      <c r="M167" s="2304"/>
      <c r="N167" s="2308"/>
    </row>
    <row r="168" spans="1:14" ht="94.2" thickBot="1" x14ac:dyDescent="0.35">
      <c r="A168" s="2302" t="s">
        <v>806</v>
      </c>
      <c r="B168" s="2303" t="s">
        <v>217</v>
      </c>
      <c r="C168" s="2304" t="s">
        <v>606</v>
      </c>
      <c r="D168" s="2304" t="s">
        <v>31</v>
      </c>
      <c r="E168" s="2309">
        <v>79.599999999999994</v>
      </c>
      <c r="F168" s="2309">
        <v>68.599999999999994</v>
      </c>
      <c r="G168" s="2309">
        <v>65.7</v>
      </c>
      <c r="H168" s="2309">
        <v>2.9</v>
      </c>
      <c r="I168" s="2304" t="s">
        <v>807</v>
      </c>
      <c r="J168" s="2306" t="s">
        <v>575</v>
      </c>
      <c r="K168" s="2307" t="s">
        <v>808</v>
      </c>
      <c r="L168" s="2307" t="s">
        <v>808</v>
      </c>
      <c r="M168" s="2304" t="s">
        <v>809</v>
      </c>
      <c r="N168" s="2308" t="s">
        <v>810</v>
      </c>
    </row>
    <row r="169" spans="1:14" ht="94.2" thickBot="1" x14ac:dyDescent="0.35">
      <c r="A169" s="2302" t="s">
        <v>811</v>
      </c>
      <c r="B169" s="2303" t="s">
        <v>219</v>
      </c>
      <c r="C169" s="2304" t="s">
        <v>606</v>
      </c>
      <c r="D169" s="2304" t="s">
        <v>31</v>
      </c>
      <c r="E169" s="2309">
        <v>71.3</v>
      </c>
      <c r="F169" s="2309">
        <v>69.3</v>
      </c>
      <c r="G169" s="2309">
        <v>67.5</v>
      </c>
      <c r="H169" s="2309">
        <v>1.8</v>
      </c>
      <c r="I169" s="2304" t="s">
        <v>812</v>
      </c>
      <c r="J169" s="2306" t="s">
        <v>575</v>
      </c>
      <c r="K169" s="2307" t="s">
        <v>727</v>
      </c>
      <c r="L169" s="2307" t="s">
        <v>813</v>
      </c>
      <c r="M169" s="2304"/>
      <c r="N169" s="2308" t="s">
        <v>810</v>
      </c>
    </row>
    <row r="170" spans="1:14" ht="78.599999999999994" thickBot="1" x14ac:dyDescent="0.35">
      <c r="A170" s="2302" t="s">
        <v>814</v>
      </c>
      <c r="B170" s="2303" t="s">
        <v>221</v>
      </c>
      <c r="C170" s="2304" t="s">
        <v>606</v>
      </c>
      <c r="D170" s="2304" t="s">
        <v>31</v>
      </c>
      <c r="E170" s="2309">
        <v>132.30000000000001</v>
      </c>
      <c r="F170" s="2309">
        <v>132.30000000000001</v>
      </c>
      <c r="G170" s="2309">
        <v>130.5</v>
      </c>
      <c r="H170" s="2309">
        <v>1.8</v>
      </c>
      <c r="I170" s="2304" t="s">
        <v>815</v>
      </c>
      <c r="J170" s="2306" t="s">
        <v>575</v>
      </c>
      <c r="K170" s="2307" t="s">
        <v>619</v>
      </c>
      <c r="L170" s="2307" t="s">
        <v>619</v>
      </c>
      <c r="M170" s="2304" t="s">
        <v>507</v>
      </c>
      <c r="N170" s="2308" t="s">
        <v>816</v>
      </c>
    </row>
    <row r="171" spans="1:14" ht="94.2" thickBot="1" x14ac:dyDescent="0.35">
      <c r="A171" s="2302" t="s">
        <v>817</v>
      </c>
      <c r="B171" s="2303" t="s">
        <v>223</v>
      </c>
      <c r="C171" s="2304" t="s">
        <v>606</v>
      </c>
      <c r="D171" s="2304" t="s">
        <v>31</v>
      </c>
      <c r="E171" s="2309">
        <v>267</v>
      </c>
      <c r="F171" s="2309">
        <v>332</v>
      </c>
      <c r="G171" s="2309">
        <v>331.2</v>
      </c>
      <c r="H171" s="2309">
        <v>0.8</v>
      </c>
      <c r="I171" s="2304" t="s">
        <v>818</v>
      </c>
      <c r="J171" s="2306" t="s">
        <v>575</v>
      </c>
      <c r="K171" s="2307" t="s">
        <v>545</v>
      </c>
      <c r="L171" s="2307" t="s">
        <v>819</v>
      </c>
      <c r="M171" s="2304"/>
      <c r="N171" s="2308" t="s">
        <v>820</v>
      </c>
    </row>
    <row r="172" spans="1:14" ht="125.4" thickBot="1" x14ac:dyDescent="0.35">
      <c r="A172" s="2302" t="s">
        <v>821</v>
      </c>
      <c r="B172" s="2303" t="s">
        <v>224</v>
      </c>
      <c r="C172" s="2304" t="s">
        <v>606</v>
      </c>
      <c r="D172" s="2304" t="s">
        <v>31</v>
      </c>
      <c r="E172" s="2309">
        <v>41.2</v>
      </c>
      <c r="F172" s="2309">
        <v>26.2</v>
      </c>
      <c r="G172" s="2309">
        <v>17.899999999999999</v>
      </c>
      <c r="H172" s="2309">
        <v>8.3000000000000007</v>
      </c>
      <c r="I172" s="2304" t="s">
        <v>449</v>
      </c>
      <c r="J172" s="2306" t="s">
        <v>575</v>
      </c>
      <c r="K172" s="2307" t="s">
        <v>822</v>
      </c>
      <c r="L172" s="2307" t="s">
        <v>823</v>
      </c>
      <c r="M172" s="2304"/>
      <c r="N172" s="2308" t="s">
        <v>824</v>
      </c>
    </row>
    <row r="173" spans="1:14" ht="78.599999999999994" thickBot="1" x14ac:dyDescent="0.35">
      <c r="A173" s="2302" t="s">
        <v>825</v>
      </c>
      <c r="B173" s="2303" t="s">
        <v>826</v>
      </c>
      <c r="C173" s="2304" t="s">
        <v>606</v>
      </c>
      <c r="D173" s="2304" t="s">
        <v>31</v>
      </c>
      <c r="E173" s="2309">
        <v>23.6</v>
      </c>
      <c r="F173" s="2309">
        <v>8.6</v>
      </c>
      <c r="G173" s="2309">
        <v>8.3000000000000007</v>
      </c>
      <c r="H173" s="2309">
        <v>0.3</v>
      </c>
      <c r="I173" s="2304" t="s">
        <v>450</v>
      </c>
      <c r="J173" s="2306" t="s">
        <v>575</v>
      </c>
      <c r="K173" s="2307" t="s">
        <v>542</v>
      </c>
      <c r="L173" s="2307" t="s">
        <v>542</v>
      </c>
      <c r="M173" s="2304"/>
      <c r="N173" s="2308"/>
    </row>
    <row r="174" spans="1:14" ht="94.2" thickBot="1" x14ac:dyDescent="0.35">
      <c r="A174" s="2302" t="s">
        <v>827</v>
      </c>
      <c r="B174" s="2303" t="s">
        <v>88</v>
      </c>
      <c r="C174" s="2304" t="s">
        <v>606</v>
      </c>
      <c r="D174" s="2304" t="s">
        <v>31</v>
      </c>
      <c r="E174" s="2309">
        <v>31.2</v>
      </c>
      <c r="F174" s="2309">
        <v>31.2</v>
      </c>
      <c r="G174" s="2309">
        <v>26.8</v>
      </c>
      <c r="H174" s="2309">
        <v>4.4000000000000004</v>
      </c>
      <c r="I174" s="2304" t="s">
        <v>828</v>
      </c>
      <c r="J174" s="2306" t="s">
        <v>575</v>
      </c>
      <c r="K174" s="2307" t="s">
        <v>727</v>
      </c>
      <c r="L174" s="2307" t="s">
        <v>829</v>
      </c>
      <c r="M174" s="2304"/>
      <c r="N174" s="2308" t="s">
        <v>830</v>
      </c>
    </row>
    <row r="175" spans="1:14" ht="31.8" thickBot="1" x14ac:dyDescent="0.35">
      <c r="A175" s="2302" t="s">
        <v>831</v>
      </c>
      <c r="B175" s="2303" t="s">
        <v>832</v>
      </c>
      <c r="C175" s="2304" t="s">
        <v>581</v>
      </c>
      <c r="D175" s="2304"/>
      <c r="E175" s="2305">
        <f>SUM(E176:E177)</f>
        <v>93.4</v>
      </c>
      <c r="F175" s="2305">
        <f>SUM(F176:F177)</f>
        <v>335.29999999999995</v>
      </c>
      <c r="G175" s="2305">
        <f>SUM(G176:G177)</f>
        <v>334.2</v>
      </c>
      <c r="H175" s="2305">
        <f>SUM(H176:H177)</f>
        <v>1.1000000000000001</v>
      </c>
      <c r="I175" s="2304"/>
      <c r="J175" s="2306"/>
      <c r="K175" s="2307"/>
      <c r="L175" s="2307"/>
      <c r="M175" s="2304"/>
      <c r="N175" s="2308"/>
    </row>
    <row r="176" spans="1:14" ht="78.599999999999994" thickBot="1" x14ac:dyDescent="0.35">
      <c r="A176" s="2302" t="s">
        <v>833</v>
      </c>
      <c r="B176" s="2303" t="s">
        <v>230</v>
      </c>
      <c r="C176" s="2304" t="s">
        <v>606</v>
      </c>
      <c r="D176" s="2304" t="s">
        <v>31</v>
      </c>
      <c r="E176" s="2309">
        <v>41.9</v>
      </c>
      <c r="F176" s="2309">
        <v>41.9</v>
      </c>
      <c r="G176" s="2309">
        <v>41.9</v>
      </c>
      <c r="H176" s="2309">
        <v>0</v>
      </c>
      <c r="I176" s="2304" t="s">
        <v>90</v>
      </c>
      <c r="J176" s="2306" t="s">
        <v>575</v>
      </c>
      <c r="K176" s="2307" t="s">
        <v>783</v>
      </c>
      <c r="L176" s="2307" t="s">
        <v>834</v>
      </c>
      <c r="M176" s="2304"/>
      <c r="N176" s="2308" t="s">
        <v>835</v>
      </c>
    </row>
    <row r="177" spans="1:14" ht="93.6" x14ac:dyDescent="0.3">
      <c r="A177" s="2302" t="s">
        <v>836</v>
      </c>
      <c r="B177" s="2303" t="s">
        <v>837</v>
      </c>
      <c r="C177" s="2304" t="s">
        <v>581</v>
      </c>
      <c r="D177" s="2304"/>
      <c r="E177" s="2305">
        <f>SUM(E178:E179)</f>
        <v>51.5</v>
      </c>
      <c r="F177" s="2305">
        <f>SUM(F178:F179)</f>
        <v>293.39999999999998</v>
      </c>
      <c r="G177" s="2305">
        <f>SUM(G178:G179)</f>
        <v>292.3</v>
      </c>
      <c r="H177" s="2305">
        <f>SUM(H178:H179)</f>
        <v>1.1000000000000001</v>
      </c>
      <c r="I177" s="2304" t="s">
        <v>838</v>
      </c>
      <c r="J177" s="2306" t="s">
        <v>570</v>
      </c>
      <c r="K177" s="2307" t="s">
        <v>839</v>
      </c>
      <c r="L177" s="2307" t="s">
        <v>755</v>
      </c>
      <c r="M177" s="2304"/>
      <c r="N177" s="2308"/>
    </row>
    <row r="178" spans="1:14" x14ac:dyDescent="0.3">
      <c r="A178" s="2288"/>
      <c r="B178" s="2289"/>
      <c r="C178" s="2290"/>
      <c r="D178" s="2290" t="s">
        <v>31</v>
      </c>
      <c r="E178" s="2291">
        <v>51.5</v>
      </c>
      <c r="F178" s="2291">
        <v>51.5</v>
      </c>
      <c r="G178" s="2291">
        <v>51.5</v>
      </c>
      <c r="H178" s="2291">
        <v>0</v>
      </c>
      <c r="I178" s="2290"/>
      <c r="J178" s="2292"/>
      <c r="K178" s="2293"/>
      <c r="L178" s="2293"/>
      <c r="M178" s="2290"/>
      <c r="N178" s="2294"/>
    </row>
    <row r="179" spans="1:14" ht="16.2" thickBot="1" x14ac:dyDescent="0.35">
      <c r="A179" s="2288"/>
      <c r="B179" s="2289"/>
      <c r="C179" s="2290"/>
      <c r="D179" s="2290" t="s">
        <v>52</v>
      </c>
      <c r="E179" s="2291">
        <v>0</v>
      </c>
      <c r="F179" s="2291">
        <v>241.9</v>
      </c>
      <c r="G179" s="2291">
        <v>240.8</v>
      </c>
      <c r="H179" s="2291">
        <v>1.1000000000000001</v>
      </c>
      <c r="I179" s="2290"/>
      <c r="J179" s="2292"/>
      <c r="K179" s="2293"/>
      <c r="L179" s="2293"/>
      <c r="M179" s="2290"/>
      <c r="N179" s="2294"/>
    </row>
    <row r="180" spans="1:14" ht="31.8" thickBot="1" x14ac:dyDescent="0.35">
      <c r="A180" s="2302" t="s">
        <v>840</v>
      </c>
      <c r="B180" s="2303" t="s">
        <v>94</v>
      </c>
      <c r="C180" s="2304" t="s">
        <v>841</v>
      </c>
      <c r="D180" s="2304"/>
      <c r="E180" s="2305">
        <f>SUM(E181:E181)</f>
        <v>90</v>
      </c>
      <c r="F180" s="2305">
        <f>SUM(F181:F181)</f>
        <v>208.1</v>
      </c>
      <c r="G180" s="2305">
        <f>SUM(G181:G181)</f>
        <v>191.7</v>
      </c>
      <c r="H180" s="2305">
        <f>SUM(H181:H181)</f>
        <v>16.5</v>
      </c>
      <c r="I180" s="2304"/>
      <c r="J180" s="2306"/>
      <c r="K180" s="2307"/>
      <c r="L180" s="2307"/>
      <c r="M180" s="2304"/>
      <c r="N180" s="2308"/>
    </row>
    <row r="181" spans="1:14" ht="62.4" x14ac:dyDescent="0.3">
      <c r="A181" s="2302" t="s">
        <v>842</v>
      </c>
      <c r="B181" s="2303" t="s">
        <v>94</v>
      </c>
      <c r="C181" s="2304" t="s">
        <v>841</v>
      </c>
      <c r="D181" s="2304"/>
      <c r="E181" s="2305">
        <f>SUM(E182:E186)</f>
        <v>90</v>
      </c>
      <c r="F181" s="2305">
        <f>SUM(F182:F186)</f>
        <v>208.1</v>
      </c>
      <c r="G181" s="2305">
        <f>SUM(G182:G186)</f>
        <v>191.7</v>
      </c>
      <c r="H181" s="2305">
        <f>SUM(H182:H186)</f>
        <v>16.5</v>
      </c>
      <c r="I181" s="2304" t="s">
        <v>843</v>
      </c>
      <c r="J181" s="2306" t="s">
        <v>570</v>
      </c>
      <c r="K181" s="2307" t="s">
        <v>844</v>
      </c>
      <c r="L181" s="2307" t="s">
        <v>595</v>
      </c>
      <c r="M181" s="2304"/>
      <c r="N181" s="2308" t="s">
        <v>845</v>
      </c>
    </row>
    <row r="182" spans="1:14" ht="31.2" x14ac:dyDescent="0.3">
      <c r="A182" s="2288"/>
      <c r="B182" s="2289"/>
      <c r="C182" s="2290"/>
      <c r="D182" s="2290"/>
      <c r="E182" s="2291">
        <v>0</v>
      </c>
      <c r="F182" s="2291">
        <v>0</v>
      </c>
      <c r="G182" s="2291">
        <v>0</v>
      </c>
      <c r="H182" s="2291">
        <v>0</v>
      </c>
      <c r="I182" s="2290" t="s">
        <v>846</v>
      </c>
      <c r="J182" s="2292" t="s">
        <v>570</v>
      </c>
      <c r="K182" s="2293" t="s">
        <v>762</v>
      </c>
      <c r="L182" s="2293" t="s">
        <v>727</v>
      </c>
      <c r="M182" s="2290"/>
      <c r="N182" s="2294" t="s">
        <v>847</v>
      </c>
    </row>
    <row r="183" spans="1:14" ht="31.2" x14ac:dyDescent="0.3">
      <c r="A183" s="2288"/>
      <c r="B183" s="2289"/>
      <c r="C183" s="2290"/>
      <c r="D183" s="2290"/>
      <c r="E183" s="2291">
        <v>0</v>
      </c>
      <c r="F183" s="2291">
        <v>0</v>
      </c>
      <c r="G183" s="2291">
        <v>0</v>
      </c>
      <c r="H183" s="2291">
        <v>0</v>
      </c>
      <c r="I183" s="2290" t="s">
        <v>848</v>
      </c>
      <c r="J183" s="2292" t="s">
        <v>575</v>
      </c>
      <c r="K183" s="2293" t="s">
        <v>550</v>
      </c>
      <c r="L183" s="2293" t="s">
        <v>550</v>
      </c>
      <c r="M183" s="2290"/>
      <c r="N183" s="2294" t="s">
        <v>849</v>
      </c>
    </row>
    <row r="184" spans="1:14" ht="31.2" x14ac:dyDescent="0.3">
      <c r="A184" s="2288"/>
      <c r="B184" s="2289"/>
      <c r="C184" s="2290"/>
      <c r="D184" s="2290"/>
      <c r="E184" s="2291">
        <v>0</v>
      </c>
      <c r="F184" s="2291">
        <v>0</v>
      </c>
      <c r="G184" s="2291">
        <v>0</v>
      </c>
      <c r="H184" s="2291">
        <v>0</v>
      </c>
      <c r="I184" s="2290" t="s">
        <v>850</v>
      </c>
      <c r="J184" s="2292" t="s">
        <v>656</v>
      </c>
      <c r="K184" s="2293" t="s">
        <v>541</v>
      </c>
      <c r="L184" s="2293" t="s">
        <v>844</v>
      </c>
      <c r="M184" s="2290"/>
      <c r="N184" s="2294" t="s">
        <v>851</v>
      </c>
    </row>
    <row r="185" spans="1:14" x14ac:dyDescent="0.3">
      <c r="A185" s="2288"/>
      <c r="B185" s="2289"/>
      <c r="C185" s="2290"/>
      <c r="D185" s="2290" t="s">
        <v>31</v>
      </c>
      <c r="E185" s="2291">
        <v>90</v>
      </c>
      <c r="F185" s="2291">
        <v>90</v>
      </c>
      <c r="G185" s="2291">
        <v>75</v>
      </c>
      <c r="H185" s="2291">
        <v>15</v>
      </c>
      <c r="I185" s="2290"/>
      <c r="J185" s="2292"/>
      <c r="K185" s="2293"/>
      <c r="L185" s="2293"/>
      <c r="M185" s="2290"/>
      <c r="N185" s="2294"/>
    </row>
    <row r="186" spans="1:14" ht="16.2" thickBot="1" x14ac:dyDescent="0.35">
      <c r="A186" s="2288"/>
      <c r="B186" s="2289"/>
      <c r="C186" s="2290"/>
      <c r="D186" s="2290" t="s">
        <v>52</v>
      </c>
      <c r="E186" s="2291">
        <v>0</v>
      </c>
      <c r="F186" s="2291">
        <v>118.1</v>
      </c>
      <c r="G186" s="2291">
        <v>116.7</v>
      </c>
      <c r="H186" s="2291">
        <v>1.5</v>
      </c>
      <c r="I186" s="2290"/>
      <c r="J186" s="2292"/>
      <c r="K186" s="2293"/>
      <c r="L186" s="2293"/>
      <c r="M186" s="2290"/>
      <c r="N186" s="2294"/>
    </row>
    <row r="187" spans="1:14" ht="31.8" thickBot="1" x14ac:dyDescent="0.35">
      <c r="A187" s="2302" t="s">
        <v>852</v>
      </c>
      <c r="B187" s="2303" t="s">
        <v>301</v>
      </c>
      <c r="C187" s="2304" t="s">
        <v>581</v>
      </c>
      <c r="D187" s="2304"/>
      <c r="E187" s="2305">
        <f>SUM(E188:E188)</f>
        <v>5</v>
      </c>
      <c r="F187" s="2305">
        <f>SUM(F188:F188)</f>
        <v>5</v>
      </c>
      <c r="G187" s="2305">
        <f>SUM(G188:G188)</f>
        <v>4.4000000000000004</v>
      </c>
      <c r="H187" s="2305">
        <f>SUM(H188:H188)</f>
        <v>0.6</v>
      </c>
      <c r="I187" s="2304"/>
      <c r="J187" s="2306"/>
      <c r="K187" s="2307"/>
      <c r="L187" s="2307"/>
      <c r="M187" s="2304"/>
      <c r="N187" s="2308"/>
    </row>
    <row r="188" spans="1:14" ht="31.8" thickBot="1" x14ac:dyDescent="0.35">
      <c r="A188" s="2302" t="s">
        <v>853</v>
      </c>
      <c r="B188" s="2303" t="s">
        <v>301</v>
      </c>
      <c r="C188" s="2304" t="s">
        <v>581</v>
      </c>
      <c r="D188" s="2304" t="s">
        <v>31</v>
      </c>
      <c r="E188" s="2309">
        <v>5</v>
      </c>
      <c r="F188" s="2309">
        <v>5</v>
      </c>
      <c r="G188" s="2309">
        <v>4.4000000000000004</v>
      </c>
      <c r="H188" s="2309">
        <v>0.6</v>
      </c>
      <c r="I188" s="2304" t="s">
        <v>307</v>
      </c>
      <c r="J188" s="2306" t="s">
        <v>570</v>
      </c>
      <c r="K188" s="2307" t="s">
        <v>541</v>
      </c>
      <c r="L188" s="2307" t="s">
        <v>541</v>
      </c>
      <c r="M188" s="2304"/>
      <c r="N188" s="2308"/>
    </row>
    <row r="189" spans="1:14" ht="78.599999999999994" thickBot="1" x14ac:dyDescent="0.35">
      <c r="A189" s="2302" t="s">
        <v>854</v>
      </c>
      <c r="B189" s="2303" t="s">
        <v>337</v>
      </c>
      <c r="C189" s="2304" t="s">
        <v>855</v>
      </c>
      <c r="D189" s="2304"/>
      <c r="E189" s="2305">
        <f>E190+E193+E196+E199+E202+E205</f>
        <v>528.19999999999993</v>
      </c>
      <c r="F189" s="2305">
        <f>F190+F193+F196+F199+F202+F205</f>
        <v>434.4</v>
      </c>
      <c r="G189" s="2305">
        <f>G190+G193+G196+G199+G202+G205</f>
        <v>374</v>
      </c>
      <c r="H189" s="2305">
        <f>H190+H193+H196+H199+H202+H205+0.1</f>
        <v>60.500000000000007</v>
      </c>
      <c r="I189" s="2304" t="s">
        <v>443</v>
      </c>
      <c r="J189" s="2306" t="s">
        <v>575</v>
      </c>
      <c r="K189" s="2307" t="s">
        <v>856</v>
      </c>
      <c r="L189" s="2307" t="s">
        <v>700</v>
      </c>
      <c r="M189" s="2304"/>
      <c r="N189" s="2308"/>
    </row>
    <row r="190" spans="1:14" ht="124.8" x14ac:dyDescent="0.3">
      <c r="A190" s="2302" t="s">
        <v>857</v>
      </c>
      <c r="B190" s="2303" t="s">
        <v>858</v>
      </c>
      <c r="C190" s="2304"/>
      <c r="D190" s="2304"/>
      <c r="E190" s="2305">
        <f>SUM(E191:E192)</f>
        <v>40.900000000000006</v>
      </c>
      <c r="F190" s="2305">
        <f>SUM(F191:F192)</f>
        <v>46.8</v>
      </c>
      <c r="G190" s="2305">
        <f>SUM(G191:G192)</f>
        <v>21.5</v>
      </c>
      <c r="H190" s="2305">
        <f>SUM(H191:H192)</f>
        <v>25.299999999999997</v>
      </c>
      <c r="I190" s="2304"/>
      <c r="J190" s="2306"/>
      <c r="K190" s="2307"/>
      <c r="L190" s="2307"/>
      <c r="M190" s="2304"/>
      <c r="N190" s="2308"/>
    </row>
    <row r="191" spans="1:14" x14ac:dyDescent="0.3">
      <c r="A191" s="2288"/>
      <c r="B191" s="2289"/>
      <c r="C191" s="2290"/>
      <c r="D191" s="2290" t="s">
        <v>334</v>
      </c>
      <c r="E191" s="2291">
        <v>20.6</v>
      </c>
      <c r="F191" s="2291">
        <v>26.5</v>
      </c>
      <c r="G191" s="2291">
        <v>2.1</v>
      </c>
      <c r="H191" s="2291">
        <v>24.4</v>
      </c>
      <c r="I191" s="2290"/>
      <c r="J191" s="2292"/>
      <c r="K191" s="2293"/>
      <c r="L191" s="2293"/>
      <c r="M191" s="2290"/>
      <c r="N191" s="2294"/>
    </row>
    <row r="192" spans="1:14" ht="31.8" thickBot="1" x14ac:dyDescent="0.35">
      <c r="A192" s="2288"/>
      <c r="B192" s="2289"/>
      <c r="C192" s="2290"/>
      <c r="D192" s="2290" t="s">
        <v>399</v>
      </c>
      <c r="E192" s="2291">
        <v>20.3</v>
      </c>
      <c r="F192" s="2291">
        <v>20.3</v>
      </c>
      <c r="G192" s="2291">
        <v>19.399999999999999</v>
      </c>
      <c r="H192" s="2291">
        <v>0.9</v>
      </c>
      <c r="I192" s="2290"/>
      <c r="J192" s="2292"/>
      <c r="K192" s="2293"/>
      <c r="L192" s="2293"/>
      <c r="M192" s="2290"/>
      <c r="N192" s="2294"/>
    </row>
    <row r="193" spans="1:14" ht="124.8" x14ac:dyDescent="0.3">
      <c r="A193" s="2302" t="s">
        <v>859</v>
      </c>
      <c r="B193" s="2303" t="s">
        <v>860</v>
      </c>
      <c r="C193" s="2304"/>
      <c r="D193" s="2304"/>
      <c r="E193" s="2305">
        <f>SUM(E194:E195)</f>
        <v>27.5</v>
      </c>
      <c r="F193" s="2305">
        <f>SUM(F194:F195)-0.1</f>
        <v>66.300000000000011</v>
      </c>
      <c r="G193" s="2305">
        <f>SUM(G194:G195)</f>
        <v>37.599999999999994</v>
      </c>
      <c r="H193" s="2305">
        <f>SUM(H194:H195)</f>
        <v>28.7</v>
      </c>
      <c r="I193" s="2304"/>
      <c r="J193" s="2306"/>
      <c r="K193" s="2307"/>
      <c r="L193" s="2307"/>
      <c r="M193" s="2304"/>
      <c r="N193" s="2308"/>
    </row>
    <row r="194" spans="1:14" ht="31.2" x14ac:dyDescent="0.3">
      <c r="A194" s="2288"/>
      <c r="B194" s="2289"/>
      <c r="C194" s="2290"/>
      <c r="D194" s="2290" t="s">
        <v>399</v>
      </c>
      <c r="E194" s="2291">
        <v>1.4</v>
      </c>
      <c r="F194" s="2291">
        <v>15.5</v>
      </c>
      <c r="G194" s="2291">
        <v>2.2999999999999998</v>
      </c>
      <c r="H194" s="2291">
        <v>13.1</v>
      </c>
      <c r="I194" s="2290"/>
      <c r="J194" s="2292"/>
      <c r="K194" s="2293"/>
      <c r="L194" s="2293"/>
      <c r="M194" s="2290"/>
      <c r="N194" s="2294"/>
    </row>
    <row r="195" spans="1:14" ht="16.2" thickBot="1" x14ac:dyDescent="0.35">
      <c r="A195" s="2288"/>
      <c r="B195" s="2289"/>
      <c r="C195" s="2290"/>
      <c r="D195" s="2290" t="s">
        <v>334</v>
      </c>
      <c r="E195" s="2291">
        <v>26.1</v>
      </c>
      <c r="F195" s="2291">
        <v>50.9</v>
      </c>
      <c r="G195" s="2291">
        <v>35.299999999999997</v>
      </c>
      <c r="H195" s="2291">
        <v>15.6</v>
      </c>
      <c r="I195" s="2290"/>
      <c r="J195" s="2292"/>
      <c r="K195" s="2293"/>
      <c r="L195" s="2293"/>
      <c r="M195" s="2290"/>
      <c r="N195" s="2294"/>
    </row>
    <row r="196" spans="1:14" ht="109.2" x14ac:dyDescent="0.3">
      <c r="A196" s="2302" t="s">
        <v>861</v>
      </c>
      <c r="B196" s="2303" t="s">
        <v>862</v>
      </c>
      <c r="C196" s="2304"/>
      <c r="D196" s="2304"/>
      <c r="E196" s="2305">
        <f>SUM(E197:E198)</f>
        <v>349.9</v>
      </c>
      <c r="F196" s="2305">
        <f>SUM(F197:F198)</f>
        <v>210.20000000000002</v>
      </c>
      <c r="G196" s="2305">
        <f>SUM(G197:G198)</f>
        <v>204</v>
      </c>
      <c r="H196" s="2305">
        <f>SUM(H197:H198)</f>
        <v>6.2</v>
      </c>
      <c r="I196" s="2304"/>
      <c r="J196" s="2306"/>
      <c r="K196" s="2307"/>
      <c r="L196" s="2307"/>
      <c r="M196" s="2304"/>
      <c r="N196" s="2308"/>
    </row>
    <row r="197" spans="1:14" x14ac:dyDescent="0.3">
      <c r="A197" s="2288"/>
      <c r="B197" s="2289"/>
      <c r="C197" s="2290"/>
      <c r="D197" s="2290" t="s">
        <v>334</v>
      </c>
      <c r="E197" s="2291">
        <v>296</v>
      </c>
      <c r="F197" s="2291">
        <v>156.30000000000001</v>
      </c>
      <c r="G197" s="2291">
        <v>150.30000000000001</v>
      </c>
      <c r="H197" s="2291">
        <v>6</v>
      </c>
      <c r="I197" s="2290"/>
      <c r="J197" s="2292"/>
      <c r="K197" s="2293"/>
      <c r="L197" s="2293"/>
      <c r="M197" s="2290"/>
      <c r="N197" s="2294"/>
    </row>
    <row r="198" spans="1:14" ht="31.8" thickBot="1" x14ac:dyDescent="0.35">
      <c r="A198" s="2288"/>
      <c r="B198" s="2289"/>
      <c r="C198" s="2290"/>
      <c r="D198" s="2290" t="s">
        <v>399</v>
      </c>
      <c r="E198" s="2291">
        <v>53.9</v>
      </c>
      <c r="F198" s="2291">
        <v>53.9</v>
      </c>
      <c r="G198" s="2291">
        <v>53.7</v>
      </c>
      <c r="H198" s="2291">
        <v>0.2</v>
      </c>
      <c r="I198" s="2290"/>
      <c r="J198" s="2292"/>
      <c r="K198" s="2293"/>
      <c r="L198" s="2293"/>
      <c r="M198" s="2290"/>
      <c r="N198" s="2294"/>
    </row>
    <row r="199" spans="1:14" ht="140.4" x14ac:dyDescent="0.3">
      <c r="A199" s="2302" t="s">
        <v>863</v>
      </c>
      <c r="B199" s="2303" t="s">
        <v>864</v>
      </c>
      <c r="C199" s="2304"/>
      <c r="D199" s="2304"/>
      <c r="E199" s="2305">
        <f>SUM(E200:E201)</f>
        <v>90.7</v>
      </c>
      <c r="F199" s="2305">
        <f>SUM(F200:F201)</f>
        <v>90.6</v>
      </c>
      <c r="G199" s="2305">
        <f>SUM(G200:G201)</f>
        <v>90.5</v>
      </c>
      <c r="H199" s="2305">
        <f>SUM(H200:H201)</f>
        <v>0.1</v>
      </c>
      <c r="I199" s="2304"/>
      <c r="J199" s="2306"/>
      <c r="K199" s="2307"/>
      <c r="L199" s="2307"/>
      <c r="M199" s="2304"/>
      <c r="N199" s="2308"/>
    </row>
    <row r="200" spans="1:14" ht="31.2" x14ac:dyDescent="0.3">
      <c r="A200" s="2288"/>
      <c r="B200" s="2289"/>
      <c r="C200" s="2290"/>
      <c r="D200" s="2290" t="s">
        <v>399</v>
      </c>
      <c r="E200" s="2291">
        <v>33.700000000000003</v>
      </c>
      <c r="F200" s="2291">
        <v>33.700000000000003</v>
      </c>
      <c r="G200" s="2291">
        <v>33.6</v>
      </c>
      <c r="H200" s="2291">
        <v>0.1</v>
      </c>
      <c r="I200" s="2290"/>
      <c r="J200" s="2292"/>
      <c r="K200" s="2293"/>
      <c r="L200" s="2293"/>
      <c r="M200" s="2290"/>
      <c r="N200" s="2294"/>
    </row>
    <row r="201" spans="1:14" ht="16.2" thickBot="1" x14ac:dyDescent="0.35">
      <c r="A201" s="2288"/>
      <c r="B201" s="2289"/>
      <c r="C201" s="2290"/>
      <c r="D201" s="2290" t="s">
        <v>334</v>
      </c>
      <c r="E201" s="2291">
        <v>57</v>
      </c>
      <c r="F201" s="2291">
        <v>56.9</v>
      </c>
      <c r="G201" s="2291">
        <v>56.9</v>
      </c>
      <c r="H201" s="2291">
        <v>0</v>
      </c>
      <c r="I201" s="2290"/>
      <c r="J201" s="2292"/>
      <c r="K201" s="2293"/>
      <c r="L201" s="2293"/>
      <c r="M201" s="2290"/>
      <c r="N201" s="2294"/>
    </row>
    <row r="202" spans="1:14" ht="109.2" x14ac:dyDescent="0.3">
      <c r="A202" s="2302" t="s">
        <v>865</v>
      </c>
      <c r="B202" s="2303" t="s">
        <v>866</v>
      </c>
      <c r="C202" s="2304"/>
      <c r="D202" s="2304"/>
      <c r="E202" s="2305">
        <f>SUM(E203:E204)</f>
        <v>19.200000000000003</v>
      </c>
      <c r="F202" s="2305">
        <f>SUM(F203:F204)</f>
        <v>17</v>
      </c>
      <c r="G202" s="2305">
        <f>SUM(G203:G204)</f>
        <v>16.899999999999999</v>
      </c>
      <c r="H202" s="2305">
        <f>SUM(H203:H204)</f>
        <v>0.1</v>
      </c>
      <c r="I202" s="2304"/>
      <c r="J202" s="2306"/>
      <c r="K202" s="2307"/>
      <c r="L202" s="2307"/>
      <c r="M202" s="2304"/>
      <c r="N202" s="2308"/>
    </row>
    <row r="203" spans="1:14" ht="31.2" x14ac:dyDescent="0.3">
      <c r="A203" s="2288"/>
      <c r="B203" s="2289"/>
      <c r="C203" s="2290"/>
      <c r="D203" s="2290" t="s">
        <v>399</v>
      </c>
      <c r="E203" s="2291">
        <v>3.1</v>
      </c>
      <c r="F203" s="2291">
        <v>3.1</v>
      </c>
      <c r="G203" s="2291">
        <v>3</v>
      </c>
      <c r="H203" s="2291">
        <v>0.1</v>
      </c>
      <c r="I203" s="2290"/>
      <c r="J203" s="2292"/>
      <c r="K203" s="2293"/>
      <c r="L203" s="2293"/>
      <c r="M203" s="2290"/>
      <c r="N203" s="2294"/>
    </row>
    <row r="204" spans="1:14" ht="16.2" thickBot="1" x14ac:dyDescent="0.35">
      <c r="A204" s="2288"/>
      <c r="B204" s="2289"/>
      <c r="C204" s="2290"/>
      <c r="D204" s="2290" t="s">
        <v>334</v>
      </c>
      <c r="E204" s="2291">
        <v>16.100000000000001</v>
      </c>
      <c r="F204" s="2291">
        <v>13.9</v>
      </c>
      <c r="G204" s="2291">
        <v>13.9</v>
      </c>
      <c r="H204" s="2291">
        <v>0</v>
      </c>
      <c r="I204" s="2290"/>
      <c r="J204" s="2292"/>
      <c r="K204" s="2293"/>
      <c r="L204" s="2293"/>
      <c r="M204" s="2290"/>
      <c r="N204" s="2294"/>
    </row>
    <row r="205" spans="1:14" ht="125.4" thickBot="1" x14ac:dyDescent="0.35">
      <c r="A205" s="2302" t="s">
        <v>867</v>
      </c>
      <c r="B205" s="2303" t="s">
        <v>868</v>
      </c>
      <c r="C205" s="2304"/>
      <c r="D205" s="2304" t="s">
        <v>334</v>
      </c>
      <c r="E205" s="2309">
        <v>0</v>
      </c>
      <c r="F205" s="2309">
        <v>3.5</v>
      </c>
      <c r="G205" s="2309">
        <v>3.5</v>
      </c>
      <c r="H205" s="2309">
        <v>0</v>
      </c>
      <c r="I205" s="2304"/>
      <c r="J205" s="2306"/>
      <c r="K205" s="2307"/>
      <c r="L205" s="2307"/>
      <c r="M205" s="2304"/>
      <c r="N205" s="2308"/>
    </row>
    <row r="206" spans="1:14" ht="203.4" thickBot="1" x14ac:dyDescent="0.35">
      <c r="A206" s="2302" t="s">
        <v>869</v>
      </c>
      <c r="B206" s="2303" t="s">
        <v>870</v>
      </c>
      <c r="C206" s="2304" t="s">
        <v>649</v>
      </c>
      <c r="D206" s="2304"/>
      <c r="E206" s="2305">
        <f>SUM(E207:E207)</f>
        <v>263.10000000000002</v>
      </c>
      <c r="F206" s="2305">
        <f>SUM(F207:F207)</f>
        <v>263.10000000000002</v>
      </c>
      <c r="G206" s="2305">
        <f>SUM(G207:G207)</f>
        <v>46.7</v>
      </c>
      <c r="H206" s="2305">
        <f>SUM(H207:H207)</f>
        <v>216.39999999999998</v>
      </c>
      <c r="I206" s="2304"/>
      <c r="J206" s="2306"/>
      <c r="K206" s="2307"/>
      <c r="L206" s="2307"/>
      <c r="M206" s="2304"/>
      <c r="N206" s="2308"/>
    </row>
    <row r="207" spans="1:14" ht="202.8" x14ac:dyDescent="0.3">
      <c r="A207" s="2302" t="s">
        <v>871</v>
      </c>
      <c r="B207" s="2303" t="s">
        <v>870</v>
      </c>
      <c r="C207" s="2304" t="s">
        <v>649</v>
      </c>
      <c r="D207" s="2304"/>
      <c r="E207" s="2305">
        <f>SUM(E208:E210)</f>
        <v>263.10000000000002</v>
      </c>
      <c r="F207" s="2305">
        <f>SUM(F208:F210)</f>
        <v>263.10000000000002</v>
      </c>
      <c r="G207" s="2305">
        <f>SUM(G208:G210)</f>
        <v>46.7</v>
      </c>
      <c r="H207" s="2305">
        <f>SUM(H208:H210)</f>
        <v>216.39999999999998</v>
      </c>
      <c r="I207" s="2304" t="s">
        <v>872</v>
      </c>
      <c r="J207" s="2306" t="s">
        <v>575</v>
      </c>
      <c r="K207" s="2307" t="s">
        <v>873</v>
      </c>
      <c r="L207" s="2307" t="s">
        <v>700</v>
      </c>
      <c r="M207" s="2304"/>
      <c r="N207" s="2308" t="s">
        <v>874</v>
      </c>
    </row>
    <row r="208" spans="1:14" ht="78" x14ac:dyDescent="0.3">
      <c r="A208" s="2288"/>
      <c r="B208" s="2289"/>
      <c r="C208" s="2290"/>
      <c r="D208" s="2290"/>
      <c r="E208" s="2291">
        <v>0</v>
      </c>
      <c r="F208" s="2291">
        <v>0</v>
      </c>
      <c r="G208" s="2291">
        <v>0</v>
      </c>
      <c r="H208" s="2291">
        <v>0</v>
      </c>
      <c r="I208" s="2290" t="s">
        <v>875</v>
      </c>
      <c r="J208" s="2292" t="s">
        <v>575</v>
      </c>
      <c r="K208" s="2293" t="s">
        <v>542</v>
      </c>
      <c r="L208" s="2293" t="s">
        <v>542</v>
      </c>
      <c r="M208" s="2290"/>
      <c r="N208" s="2294" t="s">
        <v>876</v>
      </c>
    </row>
    <row r="209" spans="1:14" x14ac:dyDescent="0.3">
      <c r="A209" s="2288"/>
      <c r="B209" s="2289"/>
      <c r="C209" s="2290"/>
      <c r="D209" s="2290" t="s">
        <v>334</v>
      </c>
      <c r="E209" s="2291">
        <v>223.6</v>
      </c>
      <c r="F209" s="2291">
        <v>223.6</v>
      </c>
      <c r="G209" s="2291">
        <v>38.4</v>
      </c>
      <c r="H209" s="2291">
        <v>185.2</v>
      </c>
      <c r="I209" s="2290"/>
      <c r="J209" s="2292"/>
      <c r="K209" s="2293"/>
      <c r="L209" s="2293"/>
      <c r="M209" s="2290"/>
      <c r="N209" s="2294"/>
    </row>
    <row r="210" spans="1:14" ht="16.2" thickBot="1" x14ac:dyDescent="0.35">
      <c r="A210" s="2288"/>
      <c r="B210" s="2289"/>
      <c r="C210" s="2290"/>
      <c r="D210" s="2290" t="s">
        <v>31</v>
      </c>
      <c r="E210" s="2291">
        <v>39.5</v>
      </c>
      <c r="F210" s="2291">
        <v>39.5</v>
      </c>
      <c r="G210" s="2291">
        <v>8.3000000000000007</v>
      </c>
      <c r="H210" s="2291">
        <v>31.2</v>
      </c>
      <c r="I210" s="2290"/>
      <c r="J210" s="2292"/>
      <c r="K210" s="2293"/>
      <c r="L210" s="2293"/>
      <c r="M210" s="2290"/>
      <c r="N210" s="2294"/>
    </row>
    <row r="211" spans="1:14" ht="125.4" thickBot="1" x14ac:dyDescent="0.35">
      <c r="A211" s="2302" t="s">
        <v>877</v>
      </c>
      <c r="B211" s="2303" t="s">
        <v>878</v>
      </c>
      <c r="C211" s="2304"/>
      <c r="D211" s="2304"/>
      <c r="E211" s="2305">
        <f>SUM(E212:E212)</f>
        <v>137.30000000000001</v>
      </c>
      <c r="F211" s="2305">
        <f>SUM(F212:F212)</f>
        <v>137.30000000000001</v>
      </c>
      <c r="G211" s="2305">
        <f>SUM(G212:G212)</f>
        <v>93.3</v>
      </c>
      <c r="H211" s="2305">
        <f>SUM(H212:H212)</f>
        <v>44</v>
      </c>
      <c r="I211" s="2304"/>
      <c r="J211" s="2306"/>
      <c r="K211" s="2307"/>
      <c r="L211" s="2307"/>
      <c r="M211" s="2304"/>
      <c r="N211" s="2308"/>
    </row>
    <row r="212" spans="1:14" ht="124.8" x14ac:dyDescent="0.3">
      <c r="A212" s="2302" t="s">
        <v>879</v>
      </c>
      <c r="B212" s="2303" t="s">
        <v>878</v>
      </c>
      <c r="C212" s="2304" t="s">
        <v>880</v>
      </c>
      <c r="D212" s="2304"/>
      <c r="E212" s="2305">
        <f>SUM(E213:E214)</f>
        <v>137.30000000000001</v>
      </c>
      <c r="F212" s="2305">
        <f>SUM(F213:F214)</f>
        <v>137.30000000000001</v>
      </c>
      <c r="G212" s="2305">
        <f>SUM(G213:G214)</f>
        <v>93.3</v>
      </c>
      <c r="H212" s="2305">
        <f>SUM(H213:H214)</f>
        <v>44</v>
      </c>
      <c r="I212" s="2304" t="s">
        <v>881</v>
      </c>
      <c r="J212" s="2306" t="s">
        <v>575</v>
      </c>
      <c r="K212" s="2307" t="s">
        <v>755</v>
      </c>
      <c r="L212" s="2401" t="s">
        <v>624</v>
      </c>
      <c r="M212" s="2304"/>
      <c r="N212" s="2402" t="s">
        <v>882</v>
      </c>
    </row>
    <row r="213" spans="1:14" x14ac:dyDescent="0.3">
      <c r="A213" s="2288"/>
      <c r="B213" s="2289"/>
      <c r="C213" s="2290"/>
      <c r="D213" s="2290" t="s">
        <v>176</v>
      </c>
      <c r="E213" s="2291">
        <v>50</v>
      </c>
      <c r="F213" s="2291">
        <v>50</v>
      </c>
      <c r="G213" s="2291">
        <v>50</v>
      </c>
      <c r="H213" s="2291">
        <v>0</v>
      </c>
      <c r="I213" s="2290"/>
      <c r="J213" s="2292"/>
      <c r="K213" s="2293"/>
      <c r="L213" s="2293"/>
      <c r="M213" s="2290"/>
      <c r="N213" s="2294"/>
    </row>
    <row r="214" spans="1:14" ht="16.2" thickBot="1" x14ac:dyDescent="0.35">
      <c r="A214" s="2288"/>
      <c r="B214" s="2289"/>
      <c r="C214" s="2290"/>
      <c r="D214" s="2290" t="s">
        <v>31</v>
      </c>
      <c r="E214" s="2291">
        <v>87.3</v>
      </c>
      <c r="F214" s="2291">
        <v>87.3</v>
      </c>
      <c r="G214" s="2291">
        <v>43.3</v>
      </c>
      <c r="H214" s="2291">
        <v>44</v>
      </c>
      <c r="I214" s="2290"/>
      <c r="J214" s="2292"/>
      <c r="K214" s="2293"/>
      <c r="L214" s="2293"/>
      <c r="M214" s="2290"/>
      <c r="N214" s="2294"/>
    </row>
    <row r="215" spans="1:14" ht="125.4" thickBot="1" x14ac:dyDescent="0.35">
      <c r="A215" s="2295" t="s">
        <v>883</v>
      </c>
      <c r="B215" s="2296" t="s">
        <v>884</v>
      </c>
      <c r="C215" s="2297" t="s">
        <v>885</v>
      </c>
      <c r="D215" s="2297"/>
      <c r="E215" s="2298">
        <f>SUM(E216:E216)</f>
        <v>1663.8</v>
      </c>
      <c r="F215" s="2298">
        <f>SUM(F216:F216)</f>
        <v>1396.4</v>
      </c>
      <c r="G215" s="2298">
        <f>SUM(G216:G216)</f>
        <v>963.5</v>
      </c>
      <c r="H215" s="2298">
        <f>SUM(H216:H216)</f>
        <v>432.9</v>
      </c>
      <c r="I215" s="2297"/>
      <c r="J215" s="2299"/>
      <c r="K215" s="2300"/>
      <c r="L215" s="2300"/>
      <c r="M215" s="2297"/>
      <c r="N215" s="2301"/>
    </row>
    <row r="216" spans="1:14" ht="94.2" thickBot="1" x14ac:dyDescent="0.35">
      <c r="A216" s="2302" t="s">
        <v>886</v>
      </c>
      <c r="B216" s="2303" t="s">
        <v>887</v>
      </c>
      <c r="C216" s="2304" t="s">
        <v>888</v>
      </c>
      <c r="D216" s="2304"/>
      <c r="E216" s="2305">
        <f>E217+E223+E228+E232+E235+E238</f>
        <v>1663.8</v>
      </c>
      <c r="F216" s="2305">
        <f>F217+F223+F228+F232+F235+F238</f>
        <v>1396.4</v>
      </c>
      <c r="G216" s="2305">
        <f>G217+G223+G228+G232+G235+G238</f>
        <v>963.5</v>
      </c>
      <c r="H216" s="2305">
        <f>H217+H223+H228+H232+H235+H238</f>
        <v>432.9</v>
      </c>
      <c r="I216" s="2304"/>
      <c r="J216" s="2306"/>
      <c r="K216" s="2307"/>
      <c r="L216" s="2307"/>
      <c r="M216" s="2304"/>
      <c r="N216" s="2308"/>
    </row>
    <row r="217" spans="1:14" ht="46.8" x14ac:dyDescent="0.3">
      <c r="A217" s="2302" t="s">
        <v>889</v>
      </c>
      <c r="B217" s="2303" t="s">
        <v>890</v>
      </c>
      <c r="C217" s="2304" t="s">
        <v>891</v>
      </c>
      <c r="D217" s="2304"/>
      <c r="E217" s="2305">
        <f>SUM(E218:E222)</f>
        <v>205.1</v>
      </c>
      <c r="F217" s="2305">
        <f>SUM(F218:F222)</f>
        <v>197.20000000000002</v>
      </c>
      <c r="G217" s="2305">
        <f>SUM(G218:G222)-0.1</f>
        <v>194.4</v>
      </c>
      <c r="H217" s="2305">
        <f>SUM(H218:H222)+0.1</f>
        <v>2.8000000000000003</v>
      </c>
      <c r="I217" s="2304" t="s">
        <v>892</v>
      </c>
      <c r="J217" s="2306" t="s">
        <v>554</v>
      </c>
      <c r="K217" s="2307" t="s">
        <v>893</v>
      </c>
      <c r="L217" s="2307" t="s">
        <v>893</v>
      </c>
      <c r="M217" s="2304"/>
      <c r="N217" s="2308" t="s">
        <v>894</v>
      </c>
    </row>
    <row r="218" spans="1:14" ht="62.4" x14ac:dyDescent="0.3">
      <c r="A218" s="2288"/>
      <c r="B218" s="2289"/>
      <c r="C218" s="2290"/>
      <c r="D218" s="2290"/>
      <c r="E218" s="2291">
        <v>0</v>
      </c>
      <c r="F218" s="2291">
        <v>0</v>
      </c>
      <c r="G218" s="2291">
        <v>0</v>
      </c>
      <c r="H218" s="2291">
        <v>0</v>
      </c>
      <c r="I218" s="2290" t="s">
        <v>895</v>
      </c>
      <c r="J218" s="2292" t="s">
        <v>554</v>
      </c>
      <c r="K218" s="2293" t="s">
        <v>893</v>
      </c>
      <c r="L218" s="2293" t="s">
        <v>893</v>
      </c>
      <c r="M218" s="2290"/>
      <c r="N218" s="2294" t="s">
        <v>896</v>
      </c>
    </row>
    <row r="219" spans="1:14" ht="31.2" x14ac:dyDescent="0.3">
      <c r="A219" s="2288"/>
      <c r="B219" s="2289"/>
      <c r="C219" s="2290"/>
      <c r="D219" s="2290" t="s">
        <v>399</v>
      </c>
      <c r="E219" s="2291">
        <v>2</v>
      </c>
      <c r="F219" s="2291">
        <v>2</v>
      </c>
      <c r="G219" s="2291">
        <v>2</v>
      </c>
      <c r="H219" s="2291">
        <v>0</v>
      </c>
      <c r="I219" s="2290"/>
      <c r="J219" s="2292"/>
      <c r="K219" s="2293"/>
      <c r="L219" s="2293"/>
      <c r="M219" s="2290"/>
      <c r="N219" s="2294"/>
    </row>
    <row r="220" spans="1:14" x14ac:dyDescent="0.3">
      <c r="A220" s="2288"/>
      <c r="B220" s="2289"/>
      <c r="C220" s="2290"/>
      <c r="D220" s="2290" t="s">
        <v>334</v>
      </c>
      <c r="E220" s="2291">
        <v>121.6</v>
      </c>
      <c r="F220" s="2291">
        <v>113.7</v>
      </c>
      <c r="G220" s="2291">
        <v>113.3</v>
      </c>
      <c r="H220" s="2291">
        <v>0.4</v>
      </c>
      <c r="I220" s="2290"/>
      <c r="J220" s="2292"/>
      <c r="K220" s="2293"/>
      <c r="L220" s="2293"/>
      <c r="M220" s="2290"/>
      <c r="N220" s="2294"/>
    </row>
    <row r="221" spans="1:14" x14ac:dyDescent="0.3">
      <c r="A221" s="2288"/>
      <c r="B221" s="2289"/>
      <c r="C221" s="2290"/>
      <c r="D221" s="2290" t="s">
        <v>176</v>
      </c>
      <c r="E221" s="2291">
        <v>30.6</v>
      </c>
      <c r="F221" s="2291">
        <v>30.6</v>
      </c>
      <c r="G221" s="2291">
        <v>30.5</v>
      </c>
      <c r="H221" s="2291">
        <v>0.1</v>
      </c>
      <c r="I221" s="2290"/>
      <c r="J221" s="2292"/>
      <c r="K221" s="2293"/>
      <c r="L221" s="2293"/>
      <c r="M221" s="2290"/>
      <c r="N221" s="2294"/>
    </row>
    <row r="222" spans="1:14" ht="16.2" thickBot="1" x14ac:dyDescent="0.35">
      <c r="A222" s="2288"/>
      <c r="B222" s="2289"/>
      <c r="C222" s="2290"/>
      <c r="D222" s="2290" t="s">
        <v>31</v>
      </c>
      <c r="E222" s="2291">
        <v>50.9</v>
      </c>
      <c r="F222" s="2291">
        <v>50.9</v>
      </c>
      <c r="G222" s="2291">
        <v>48.7</v>
      </c>
      <c r="H222" s="2291">
        <v>2.2000000000000002</v>
      </c>
      <c r="I222" s="2290"/>
      <c r="J222" s="2292"/>
      <c r="K222" s="2293"/>
      <c r="L222" s="2293"/>
      <c r="M222" s="2290"/>
      <c r="N222" s="2294"/>
    </row>
    <row r="223" spans="1:14" ht="124.8" x14ac:dyDescent="0.3">
      <c r="A223" s="2302" t="s">
        <v>897</v>
      </c>
      <c r="B223" s="2303" t="s">
        <v>898</v>
      </c>
      <c r="C223" s="2304" t="s">
        <v>891</v>
      </c>
      <c r="D223" s="2304"/>
      <c r="E223" s="2305">
        <f>SUM(E224:E227)</f>
        <v>279.10000000000002</v>
      </c>
      <c r="F223" s="2305">
        <f>SUM(F224:F227)</f>
        <v>53.8</v>
      </c>
      <c r="G223" s="2305">
        <f>SUM(G224:G227)</f>
        <v>0.2</v>
      </c>
      <c r="H223" s="2305">
        <f>SUM(H224:H227)</f>
        <v>53.599999999999994</v>
      </c>
      <c r="I223" s="2304" t="s">
        <v>899</v>
      </c>
      <c r="J223" s="2306" t="s">
        <v>554</v>
      </c>
      <c r="K223" s="2307" t="s">
        <v>893</v>
      </c>
      <c r="L223" s="2307" t="s">
        <v>700</v>
      </c>
      <c r="M223" s="2304"/>
      <c r="N223" s="2308" t="s">
        <v>900</v>
      </c>
    </row>
    <row r="224" spans="1:14" ht="31.2" x14ac:dyDescent="0.3">
      <c r="A224" s="2288"/>
      <c r="B224" s="2289"/>
      <c r="C224" s="2290"/>
      <c r="D224" s="2290"/>
      <c r="E224" s="2291">
        <v>0</v>
      </c>
      <c r="F224" s="2291">
        <v>0</v>
      </c>
      <c r="G224" s="2291">
        <v>0</v>
      </c>
      <c r="H224" s="2291">
        <v>0</v>
      </c>
      <c r="I224" s="2290" t="s">
        <v>901</v>
      </c>
      <c r="J224" s="2292" t="s">
        <v>554</v>
      </c>
      <c r="K224" s="2293" t="s">
        <v>893</v>
      </c>
      <c r="L224" s="2293" t="s">
        <v>700</v>
      </c>
      <c r="M224" s="2290"/>
      <c r="N224" s="2294"/>
    </row>
    <row r="225" spans="1:14" x14ac:dyDescent="0.3">
      <c r="A225" s="2288"/>
      <c r="B225" s="2289"/>
      <c r="C225" s="2290"/>
      <c r="D225" s="2290" t="s">
        <v>31</v>
      </c>
      <c r="E225" s="2291">
        <v>42.6</v>
      </c>
      <c r="F225" s="2291">
        <v>42.6</v>
      </c>
      <c r="G225" s="2291">
        <v>0.2</v>
      </c>
      <c r="H225" s="2291">
        <v>42.4</v>
      </c>
      <c r="I225" s="2290"/>
      <c r="J225" s="2292"/>
      <c r="K225" s="2293"/>
      <c r="L225" s="2293"/>
      <c r="M225" s="2290"/>
      <c r="N225" s="2294"/>
    </row>
    <row r="226" spans="1:14" x14ac:dyDescent="0.3">
      <c r="A226" s="2288"/>
      <c r="B226" s="2289"/>
      <c r="C226" s="2290"/>
      <c r="D226" s="2290" t="s">
        <v>176</v>
      </c>
      <c r="E226" s="2291">
        <v>10.4</v>
      </c>
      <c r="F226" s="2291">
        <v>10.4</v>
      </c>
      <c r="G226" s="2291">
        <v>0</v>
      </c>
      <c r="H226" s="2291">
        <v>10.4</v>
      </c>
      <c r="I226" s="2290"/>
      <c r="J226" s="2292"/>
      <c r="K226" s="2293"/>
      <c r="L226" s="2293"/>
      <c r="M226" s="2290"/>
      <c r="N226" s="2294"/>
    </row>
    <row r="227" spans="1:14" ht="16.2" thickBot="1" x14ac:dyDescent="0.35">
      <c r="A227" s="2288"/>
      <c r="B227" s="2289"/>
      <c r="C227" s="2290"/>
      <c r="D227" s="2290" t="s">
        <v>334</v>
      </c>
      <c r="E227" s="2291">
        <v>226.1</v>
      </c>
      <c r="F227" s="2291">
        <v>0.8</v>
      </c>
      <c r="G227" s="2291">
        <v>0</v>
      </c>
      <c r="H227" s="2291">
        <v>0.8</v>
      </c>
      <c r="I227" s="2290"/>
      <c r="J227" s="2292"/>
      <c r="K227" s="2293"/>
      <c r="L227" s="2293"/>
      <c r="M227" s="2290"/>
      <c r="N227" s="2294"/>
    </row>
    <row r="228" spans="1:14" ht="109.2" x14ac:dyDescent="0.3">
      <c r="A228" s="2302" t="s">
        <v>902</v>
      </c>
      <c r="B228" s="2303" t="s">
        <v>903</v>
      </c>
      <c r="C228" s="2304" t="s">
        <v>904</v>
      </c>
      <c r="D228" s="2304"/>
      <c r="E228" s="2305">
        <f>SUM(E229:E231)</f>
        <v>132</v>
      </c>
      <c r="F228" s="2305">
        <f>SUM(F229:F231)</f>
        <v>132</v>
      </c>
      <c r="G228" s="2305">
        <f>SUM(G229:G231)</f>
        <v>5</v>
      </c>
      <c r="H228" s="2305">
        <f>SUM(H229:H231)</f>
        <v>127</v>
      </c>
      <c r="I228" s="2304" t="s">
        <v>102</v>
      </c>
      <c r="J228" s="2306" t="s">
        <v>575</v>
      </c>
      <c r="K228" s="2307" t="s">
        <v>542</v>
      </c>
      <c r="L228" s="2307" t="s">
        <v>700</v>
      </c>
      <c r="M228" s="2304"/>
      <c r="N228" s="2308" t="s">
        <v>905</v>
      </c>
    </row>
    <row r="229" spans="1:14" x14ac:dyDescent="0.3">
      <c r="A229" s="2288"/>
      <c r="B229" s="2289"/>
      <c r="C229" s="2290"/>
      <c r="D229" s="2290"/>
      <c r="E229" s="2291">
        <v>0</v>
      </c>
      <c r="F229" s="2291">
        <v>0</v>
      </c>
      <c r="G229" s="2291">
        <v>0</v>
      </c>
      <c r="H229" s="2291">
        <v>0</v>
      </c>
      <c r="I229" s="2290" t="s">
        <v>906</v>
      </c>
      <c r="J229" s="2292" t="s">
        <v>554</v>
      </c>
      <c r="K229" s="2293" t="s">
        <v>700</v>
      </c>
      <c r="L229" s="2293" t="s">
        <v>700</v>
      </c>
      <c r="M229" s="2290"/>
      <c r="N229" s="2294"/>
    </row>
    <row r="230" spans="1:14" x14ac:dyDescent="0.3">
      <c r="A230" s="2288"/>
      <c r="B230" s="2289"/>
      <c r="C230" s="2290"/>
      <c r="D230" s="2290" t="s">
        <v>176</v>
      </c>
      <c r="E230" s="2291">
        <v>43.2</v>
      </c>
      <c r="F230" s="2291">
        <v>43.2</v>
      </c>
      <c r="G230" s="2291">
        <v>5</v>
      </c>
      <c r="H230" s="2291">
        <v>38.200000000000003</v>
      </c>
      <c r="I230" s="2290"/>
      <c r="J230" s="2292"/>
      <c r="K230" s="2293"/>
      <c r="L230" s="2293"/>
      <c r="M230" s="2290"/>
      <c r="N230" s="2294"/>
    </row>
    <row r="231" spans="1:14" ht="16.2" thickBot="1" x14ac:dyDescent="0.35">
      <c r="A231" s="2288"/>
      <c r="B231" s="2289"/>
      <c r="C231" s="2290"/>
      <c r="D231" s="2290" t="s">
        <v>31</v>
      </c>
      <c r="E231" s="2291">
        <v>88.8</v>
      </c>
      <c r="F231" s="2291">
        <v>88.8</v>
      </c>
      <c r="G231" s="2291">
        <v>0</v>
      </c>
      <c r="H231" s="2291">
        <v>88.8</v>
      </c>
      <c r="I231" s="2290"/>
      <c r="J231" s="2292"/>
      <c r="K231" s="2293"/>
      <c r="L231" s="2293"/>
      <c r="M231" s="2290"/>
      <c r="N231" s="2294"/>
    </row>
    <row r="232" spans="1:14" ht="93.6" x14ac:dyDescent="0.3">
      <c r="A232" s="2302" t="s">
        <v>907</v>
      </c>
      <c r="B232" s="2303" t="s">
        <v>908</v>
      </c>
      <c r="C232" s="2304" t="s">
        <v>909</v>
      </c>
      <c r="D232" s="2304"/>
      <c r="E232" s="2305">
        <f>SUM(E233:E234)</f>
        <v>477</v>
      </c>
      <c r="F232" s="2305">
        <f>SUM(F233:F234)</f>
        <v>442.8</v>
      </c>
      <c r="G232" s="2305">
        <f>SUM(G233:G234)</f>
        <v>395.8</v>
      </c>
      <c r="H232" s="2305">
        <f>SUM(H233:H234)</f>
        <v>47</v>
      </c>
      <c r="I232" s="2304" t="s">
        <v>899</v>
      </c>
      <c r="J232" s="2306" t="s">
        <v>554</v>
      </c>
      <c r="K232" s="2307" t="s">
        <v>893</v>
      </c>
      <c r="L232" s="2307" t="s">
        <v>576</v>
      </c>
      <c r="M232" s="2304"/>
      <c r="N232" s="2308" t="s">
        <v>910</v>
      </c>
    </row>
    <row r="233" spans="1:14" x14ac:dyDescent="0.3">
      <c r="A233" s="2288"/>
      <c r="B233" s="2289"/>
      <c r="C233" s="2290"/>
      <c r="D233" s="2290" t="s">
        <v>176</v>
      </c>
      <c r="E233" s="2291">
        <v>100</v>
      </c>
      <c r="F233" s="2291">
        <v>100</v>
      </c>
      <c r="G233" s="2291">
        <v>100</v>
      </c>
      <c r="H233" s="2291">
        <v>0</v>
      </c>
      <c r="I233" s="2290"/>
      <c r="J233" s="2292"/>
      <c r="K233" s="2293"/>
      <c r="L233" s="2293"/>
      <c r="M233" s="2290"/>
      <c r="N233" s="2294"/>
    </row>
    <row r="234" spans="1:14" ht="16.2" thickBot="1" x14ac:dyDescent="0.35">
      <c r="A234" s="2288"/>
      <c r="B234" s="2289"/>
      <c r="C234" s="2290"/>
      <c r="D234" s="2290" t="s">
        <v>31</v>
      </c>
      <c r="E234" s="2291">
        <v>377</v>
      </c>
      <c r="F234" s="2291">
        <v>342.8</v>
      </c>
      <c r="G234" s="2291">
        <v>295.8</v>
      </c>
      <c r="H234" s="2291">
        <v>47</v>
      </c>
      <c r="I234" s="2290"/>
      <c r="J234" s="2292"/>
      <c r="K234" s="2293"/>
      <c r="L234" s="2293"/>
      <c r="M234" s="2290"/>
      <c r="N234" s="2294"/>
    </row>
    <row r="235" spans="1:14" ht="46.8" x14ac:dyDescent="0.3">
      <c r="A235" s="2302" t="s">
        <v>911</v>
      </c>
      <c r="B235" s="2303" t="s">
        <v>912</v>
      </c>
      <c r="C235" s="2304" t="s">
        <v>913</v>
      </c>
      <c r="D235" s="2304"/>
      <c r="E235" s="2305">
        <f>SUM(E236:E237)</f>
        <v>110.6</v>
      </c>
      <c r="F235" s="2305">
        <f>SUM(F236:F237)</f>
        <v>110.6</v>
      </c>
      <c r="G235" s="2305">
        <f>SUM(G236:G237)</f>
        <v>94.3</v>
      </c>
      <c r="H235" s="2305">
        <f>SUM(H236:H237)</f>
        <v>16.3</v>
      </c>
      <c r="I235" s="2304" t="s">
        <v>914</v>
      </c>
      <c r="J235" s="2306" t="s">
        <v>570</v>
      </c>
      <c r="K235" s="2307" t="s">
        <v>657</v>
      </c>
      <c r="L235" s="2307" t="s">
        <v>657</v>
      </c>
      <c r="M235" s="2304"/>
      <c r="N235" s="2308" t="s">
        <v>849</v>
      </c>
    </row>
    <row r="236" spans="1:14" x14ac:dyDescent="0.3">
      <c r="A236" s="2288"/>
      <c r="B236" s="2289"/>
      <c r="C236" s="2290"/>
      <c r="D236" s="2290" t="s">
        <v>176</v>
      </c>
      <c r="E236" s="2291">
        <v>17</v>
      </c>
      <c r="F236" s="2291">
        <v>17</v>
      </c>
      <c r="G236" s="2291">
        <v>17</v>
      </c>
      <c r="H236" s="2291">
        <v>0</v>
      </c>
      <c r="I236" s="2290"/>
      <c r="J236" s="2292"/>
      <c r="K236" s="2293"/>
      <c r="L236" s="2293"/>
      <c r="M236" s="2290"/>
      <c r="N236" s="2294"/>
    </row>
    <row r="237" spans="1:14" ht="16.2" thickBot="1" x14ac:dyDescent="0.35">
      <c r="A237" s="2288"/>
      <c r="B237" s="2289"/>
      <c r="C237" s="2290"/>
      <c r="D237" s="2290" t="s">
        <v>31</v>
      </c>
      <c r="E237" s="2291">
        <v>93.6</v>
      </c>
      <c r="F237" s="2291">
        <v>93.6</v>
      </c>
      <c r="G237" s="2291">
        <v>77.3</v>
      </c>
      <c r="H237" s="2291">
        <v>16.3</v>
      </c>
      <c r="I237" s="2290"/>
      <c r="J237" s="2292"/>
      <c r="K237" s="2293"/>
      <c r="L237" s="2293"/>
      <c r="M237" s="2290"/>
      <c r="N237" s="2294"/>
    </row>
    <row r="238" spans="1:14" ht="62.4" x14ac:dyDescent="0.3">
      <c r="A238" s="2302" t="s">
        <v>915</v>
      </c>
      <c r="B238" s="2303" t="s">
        <v>327</v>
      </c>
      <c r="C238" s="2304" t="s">
        <v>916</v>
      </c>
      <c r="D238" s="2304"/>
      <c r="E238" s="2305">
        <f>SUM(E239:E240)</f>
        <v>460</v>
      </c>
      <c r="F238" s="2305">
        <f>SUM(F239:F240)</f>
        <v>460</v>
      </c>
      <c r="G238" s="2305">
        <f>SUM(G239:G240)</f>
        <v>273.8</v>
      </c>
      <c r="H238" s="2305">
        <f>SUM(H239:H240)</f>
        <v>186.2</v>
      </c>
      <c r="I238" s="2304" t="s">
        <v>917</v>
      </c>
      <c r="J238" s="2306" t="s">
        <v>570</v>
      </c>
      <c r="K238" s="2307" t="s">
        <v>726</v>
      </c>
      <c r="L238" s="2307" t="s">
        <v>542</v>
      </c>
      <c r="M238" s="2304"/>
      <c r="N238" s="2308" t="s">
        <v>918</v>
      </c>
    </row>
    <row r="239" spans="1:14" x14ac:dyDescent="0.3">
      <c r="A239" s="2288"/>
      <c r="B239" s="2289"/>
      <c r="C239" s="2290"/>
      <c r="D239" s="2290" t="s">
        <v>176</v>
      </c>
      <c r="E239" s="2291">
        <v>345.8</v>
      </c>
      <c r="F239" s="2291">
        <v>345.8</v>
      </c>
      <c r="G239" s="2291">
        <v>273.8</v>
      </c>
      <c r="H239" s="2291">
        <v>72</v>
      </c>
      <c r="I239" s="2290"/>
      <c r="J239" s="2292"/>
      <c r="K239" s="2293"/>
      <c r="L239" s="2293"/>
      <c r="M239" s="2290"/>
      <c r="N239" s="2294"/>
    </row>
    <row r="240" spans="1:14" ht="16.2" thickBot="1" x14ac:dyDescent="0.35">
      <c r="A240" s="2288"/>
      <c r="B240" s="2289"/>
      <c r="C240" s="2290"/>
      <c r="D240" s="2290" t="s">
        <v>31</v>
      </c>
      <c r="E240" s="2291">
        <v>114.2</v>
      </c>
      <c r="F240" s="2291">
        <v>114.2</v>
      </c>
      <c r="G240" s="2291">
        <v>0</v>
      </c>
      <c r="H240" s="2291">
        <v>114.2</v>
      </c>
      <c r="I240" s="2290"/>
      <c r="J240" s="2292"/>
      <c r="K240" s="2293"/>
      <c r="L240" s="2293"/>
      <c r="M240" s="2290"/>
      <c r="N240" s="2294"/>
    </row>
    <row r="241" spans="1:14" ht="109.8" thickBot="1" x14ac:dyDescent="0.35">
      <c r="A241" s="2295" t="s">
        <v>919</v>
      </c>
      <c r="B241" s="2296" t="s">
        <v>920</v>
      </c>
      <c r="C241" s="2297" t="s">
        <v>921</v>
      </c>
      <c r="D241" s="2297"/>
      <c r="E241" s="2298">
        <f>E242+E249+E266</f>
        <v>4638.2</v>
      </c>
      <c r="F241" s="2298">
        <f>F242+F249+F266</f>
        <v>2957.6</v>
      </c>
      <c r="G241" s="2298">
        <f>G242+G249+G266</f>
        <v>1622.9</v>
      </c>
      <c r="H241" s="2298">
        <f>H242+H249+H266</f>
        <v>1334.7</v>
      </c>
      <c r="I241" s="2297"/>
      <c r="J241" s="2299"/>
      <c r="K241" s="2300"/>
      <c r="L241" s="2300"/>
      <c r="M241" s="2297"/>
      <c r="N241" s="2301"/>
    </row>
    <row r="242" spans="1:14" ht="78.599999999999994" thickBot="1" x14ac:dyDescent="0.35">
      <c r="A242" s="2302" t="s">
        <v>922</v>
      </c>
      <c r="B242" s="2303" t="s">
        <v>923</v>
      </c>
      <c r="C242" s="2304" t="s">
        <v>885</v>
      </c>
      <c r="D242" s="2304"/>
      <c r="E242" s="2305">
        <f>SUM(E243:E244)</f>
        <v>2711.4</v>
      </c>
      <c r="F242" s="2305">
        <f>SUM(F243:F244)</f>
        <v>977.7</v>
      </c>
      <c r="G242" s="2305">
        <f>SUM(G243:G244)</f>
        <v>774.5</v>
      </c>
      <c r="H242" s="2305">
        <f>SUM(H243:H244)</f>
        <v>203.2</v>
      </c>
      <c r="I242" s="2304"/>
      <c r="J242" s="2306"/>
      <c r="K242" s="2307"/>
      <c r="L242" s="2307"/>
      <c r="M242" s="2304"/>
      <c r="N242" s="2308"/>
    </row>
    <row r="243" spans="1:14" ht="31.8" thickBot="1" x14ac:dyDescent="0.35">
      <c r="A243" s="2302" t="s">
        <v>924</v>
      </c>
      <c r="B243" s="2303" t="s">
        <v>418</v>
      </c>
      <c r="C243" s="2304" t="s">
        <v>925</v>
      </c>
      <c r="D243" s="2304" t="s">
        <v>31</v>
      </c>
      <c r="E243" s="2309">
        <v>350</v>
      </c>
      <c r="F243" s="2309">
        <v>350</v>
      </c>
      <c r="G243" s="2309">
        <v>268.5</v>
      </c>
      <c r="H243" s="2309">
        <v>81.5</v>
      </c>
      <c r="I243" s="2304" t="s">
        <v>926</v>
      </c>
      <c r="J243" s="2306" t="s">
        <v>570</v>
      </c>
      <c r="K243" s="2307" t="s">
        <v>658</v>
      </c>
      <c r="L243" s="2307" t="s">
        <v>844</v>
      </c>
      <c r="M243" s="2304"/>
      <c r="N243" s="2308" t="s">
        <v>927</v>
      </c>
    </row>
    <row r="244" spans="1:14" ht="218.4" x14ac:dyDescent="0.3">
      <c r="A244" s="2302" t="s">
        <v>928</v>
      </c>
      <c r="B244" s="2303" t="s">
        <v>929</v>
      </c>
      <c r="C244" s="2304" t="s">
        <v>930</v>
      </c>
      <c r="D244" s="2304"/>
      <c r="E244" s="2305">
        <f>SUM(E245:E248)</f>
        <v>2361.4</v>
      </c>
      <c r="F244" s="2305">
        <f>SUM(F245:F248)</f>
        <v>627.70000000000005</v>
      </c>
      <c r="G244" s="2305">
        <f>SUM(G245:G248)</f>
        <v>506</v>
      </c>
      <c r="H244" s="2305">
        <f>SUM(H245:H248)</f>
        <v>121.7</v>
      </c>
      <c r="I244" s="2304" t="s">
        <v>931</v>
      </c>
      <c r="J244" s="2306" t="s">
        <v>554</v>
      </c>
      <c r="K244" s="2307" t="s">
        <v>576</v>
      </c>
      <c r="L244" s="2307" t="s">
        <v>932</v>
      </c>
      <c r="M244" s="2304"/>
      <c r="N244" s="2308" t="s">
        <v>933</v>
      </c>
    </row>
    <row r="245" spans="1:14" ht="31.2" x14ac:dyDescent="0.3">
      <c r="A245" s="2288"/>
      <c r="B245" s="2289"/>
      <c r="C245" s="2290"/>
      <c r="D245" s="2290" t="s">
        <v>399</v>
      </c>
      <c r="E245" s="2291">
        <v>88.2</v>
      </c>
      <c r="F245" s="2291">
        <v>88.2</v>
      </c>
      <c r="G245" s="2291">
        <v>88.2</v>
      </c>
      <c r="H245" s="2291">
        <v>0</v>
      </c>
      <c r="I245" s="2290"/>
      <c r="J245" s="2292"/>
      <c r="K245" s="2293"/>
      <c r="L245" s="2293"/>
      <c r="M245" s="2290"/>
      <c r="N245" s="2294"/>
    </row>
    <row r="246" spans="1:14" x14ac:dyDescent="0.3">
      <c r="A246" s="2288"/>
      <c r="B246" s="2289"/>
      <c r="C246" s="2290"/>
      <c r="D246" s="2290" t="s">
        <v>334</v>
      </c>
      <c r="E246" s="2291">
        <v>1806.7</v>
      </c>
      <c r="F246" s="2291">
        <v>73</v>
      </c>
      <c r="G246" s="2291">
        <v>72.3</v>
      </c>
      <c r="H246" s="2291">
        <v>0.7</v>
      </c>
      <c r="I246" s="2290"/>
      <c r="J246" s="2292"/>
      <c r="K246" s="2293"/>
      <c r="L246" s="2293"/>
      <c r="M246" s="2290"/>
      <c r="N246" s="2294"/>
    </row>
    <row r="247" spans="1:14" x14ac:dyDescent="0.3">
      <c r="A247" s="2288"/>
      <c r="B247" s="2289"/>
      <c r="C247" s="2290"/>
      <c r="D247" s="2290" t="s">
        <v>31</v>
      </c>
      <c r="E247" s="2291">
        <v>461.5</v>
      </c>
      <c r="F247" s="2291">
        <v>461.5</v>
      </c>
      <c r="G247" s="2291">
        <v>341.1</v>
      </c>
      <c r="H247" s="2291">
        <v>120.4</v>
      </c>
      <c r="I247" s="2290"/>
      <c r="J247" s="2292"/>
      <c r="K247" s="2293"/>
      <c r="L247" s="2293"/>
      <c r="M247" s="2290"/>
      <c r="N247" s="2294"/>
    </row>
    <row r="248" spans="1:14" ht="16.2" thickBot="1" x14ac:dyDescent="0.35">
      <c r="A248" s="2288"/>
      <c r="B248" s="2289"/>
      <c r="C248" s="2290"/>
      <c r="D248" s="2290" t="s">
        <v>176</v>
      </c>
      <c r="E248" s="2291">
        <v>5</v>
      </c>
      <c r="F248" s="2291">
        <v>5</v>
      </c>
      <c r="G248" s="2291">
        <v>4.4000000000000004</v>
      </c>
      <c r="H248" s="2291">
        <v>0.6</v>
      </c>
      <c r="I248" s="2290"/>
      <c r="J248" s="2292"/>
      <c r="K248" s="2293"/>
      <c r="L248" s="2293"/>
      <c r="M248" s="2290"/>
      <c r="N248" s="2294"/>
    </row>
    <row r="249" spans="1:14" ht="78.599999999999994" thickBot="1" x14ac:dyDescent="0.35">
      <c r="A249" s="2302" t="s">
        <v>934</v>
      </c>
      <c r="B249" s="2303" t="s">
        <v>935</v>
      </c>
      <c r="C249" s="2304" t="s">
        <v>936</v>
      </c>
      <c r="D249" s="2304"/>
      <c r="E249" s="2305">
        <f>E250+E253+E257+E260+E263</f>
        <v>1926.8</v>
      </c>
      <c r="F249" s="2305">
        <f>F250+F253+F257+F260+F263</f>
        <v>1929.8999999999999</v>
      </c>
      <c r="G249" s="2305">
        <f>G250+G253+G257+G260+G263</f>
        <v>808</v>
      </c>
      <c r="H249" s="2305">
        <f>H250+H253+H257+H260+H263</f>
        <v>1121.9000000000001</v>
      </c>
      <c r="I249" s="2304"/>
      <c r="J249" s="2306"/>
      <c r="K249" s="2307"/>
      <c r="L249" s="2307"/>
      <c r="M249" s="2304"/>
      <c r="N249" s="2308"/>
    </row>
    <row r="250" spans="1:14" ht="62.4" x14ac:dyDescent="0.3">
      <c r="A250" s="2302" t="s">
        <v>937</v>
      </c>
      <c r="B250" s="2303" t="s">
        <v>938</v>
      </c>
      <c r="C250" s="2304" t="s">
        <v>698</v>
      </c>
      <c r="D250" s="2304"/>
      <c r="E250" s="2305">
        <f>SUM(E251:E252)</f>
        <v>997.5</v>
      </c>
      <c r="F250" s="2305">
        <f>SUM(F251:F252)</f>
        <v>997.5</v>
      </c>
      <c r="G250" s="2305">
        <f>SUM(G251:G252)</f>
        <v>169.9</v>
      </c>
      <c r="H250" s="2305">
        <f>SUM(H251:H252)</f>
        <v>827.6</v>
      </c>
      <c r="I250" s="2304" t="s">
        <v>939</v>
      </c>
      <c r="J250" s="2306" t="s">
        <v>570</v>
      </c>
      <c r="K250" s="2307" t="s">
        <v>940</v>
      </c>
      <c r="L250" s="2307" t="s">
        <v>941</v>
      </c>
      <c r="M250" s="2304"/>
      <c r="N250" s="2308" t="s">
        <v>942</v>
      </c>
    </row>
    <row r="251" spans="1:14" x14ac:dyDescent="0.3">
      <c r="A251" s="2288"/>
      <c r="B251" s="2289"/>
      <c r="C251" s="2290"/>
      <c r="D251" s="2290" t="s">
        <v>68</v>
      </c>
      <c r="E251" s="2291">
        <v>500</v>
      </c>
      <c r="F251" s="2291">
        <v>500</v>
      </c>
      <c r="G251" s="2291">
        <v>0</v>
      </c>
      <c r="H251" s="2291">
        <v>500</v>
      </c>
      <c r="I251" s="2290"/>
      <c r="J251" s="2292"/>
      <c r="K251" s="2293"/>
      <c r="L251" s="2293"/>
      <c r="M251" s="2290"/>
      <c r="N251" s="2294"/>
    </row>
    <row r="252" spans="1:14" ht="31.8" thickBot="1" x14ac:dyDescent="0.35">
      <c r="A252" s="2288"/>
      <c r="B252" s="2289"/>
      <c r="C252" s="2290"/>
      <c r="D252" s="2290" t="s">
        <v>178</v>
      </c>
      <c r="E252" s="2291">
        <v>497.5</v>
      </c>
      <c r="F252" s="2291">
        <v>497.5</v>
      </c>
      <c r="G252" s="2291">
        <v>169.9</v>
      </c>
      <c r="H252" s="2291">
        <v>327.60000000000002</v>
      </c>
      <c r="I252" s="2290"/>
      <c r="J252" s="2292"/>
      <c r="K252" s="2293"/>
      <c r="L252" s="2293"/>
      <c r="M252" s="2290"/>
      <c r="N252" s="2294"/>
    </row>
    <row r="253" spans="1:14" ht="124.8" x14ac:dyDescent="0.3">
      <c r="A253" s="2302" t="s">
        <v>943</v>
      </c>
      <c r="B253" s="2303" t="s">
        <v>944</v>
      </c>
      <c r="C253" s="2304" t="s">
        <v>698</v>
      </c>
      <c r="D253" s="2304"/>
      <c r="E253" s="2305">
        <f>SUM(E254:E256)</f>
        <v>333</v>
      </c>
      <c r="F253" s="2305">
        <f>SUM(F254:F256)</f>
        <v>336.1</v>
      </c>
      <c r="G253" s="2305">
        <f>SUM(G254:G256)</f>
        <v>209.3</v>
      </c>
      <c r="H253" s="2305">
        <f>SUM(H254:H256)</f>
        <v>126.8</v>
      </c>
      <c r="I253" s="2304" t="s">
        <v>277</v>
      </c>
      <c r="J253" s="2306" t="s">
        <v>575</v>
      </c>
      <c r="K253" s="2307" t="s">
        <v>945</v>
      </c>
      <c r="L253" s="2307" t="s">
        <v>946</v>
      </c>
      <c r="M253" s="2304"/>
      <c r="N253" s="2308"/>
    </row>
    <row r="254" spans="1:14" ht="31.2" x14ac:dyDescent="0.3">
      <c r="A254" s="2288"/>
      <c r="B254" s="2289"/>
      <c r="C254" s="2290"/>
      <c r="D254" s="2290" t="s">
        <v>178</v>
      </c>
      <c r="E254" s="2291">
        <v>203</v>
      </c>
      <c r="F254" s="2291">
        <v>203</v>
      </c>
      <c r="G254" s="2291">
        <v>200.8</v>
      </c>
      <c r="H254" s="2291">
        <v>2.2000000000000002</v>
      </c>
      <c r="I254" s="2290"/>
      <c r="J254" s="2292"/>
      <c r="K254" s="2293"/>
      <c r="L254" s="2293"/>
      <c r="M254" s="2290"/>
      <c r="N254" s="2294"/>
    </row>
    <row r="255" spans="1:14" x14ac:dyDescent="0.3">
      <c r="A255" s="2288"/>
      <c r="B255" s="2289"/>
      <c r="C255" s="2290"/>
      <c r="D255" s="2290" t="s">
        <v>68</v>
      </c>
      <c r="E255" s="2291">
        <v>130</v>
      </c>
      <c r="F255" s="2291">
        <v>130</v>
      </c>
      <c r="G255" s="2291">
        <v>5.4</v>
      </c>
      <c r="H255" s="2291">
        <v>124.6</v>
      </c>
      <c r="I255" s="2290"/>
      <c r="J255" s="2292"/>
      <c r="K255" s="2293"/>
      <c r="L255" s="2293"/>
      <c r="M255" s="2290"/>
      <c r="N255" s="2294"/>
    </row>
    <row r="256" spans="1:14" ht="16.2" thickBot="1" x14ac:dyDescent="0.35">
      <c r="A256" s="2288"/>
      <c r="B256" s="2289"/>
      <c r="C256" s="2290"/>
      <c r="D256" s="2290" t="s">
        <v>52</v>
      </c>
      <c r="E256" s="2291">
        <v>0</v>
      </c>
      <c r="F256" s="2291">
        <v>3.1</v>
      </c>
      <c r="G256" s="2291">
        <v>3.1</v>
      </c>
      <c r="H256" s="2291">
        <v>0</v>
      </c>
      <c r="I256" s="2290"/>
      <c r="J256" s="2292"/>
      <c r="K256" s="2293"/>
      <c r="L256" s="2293"/>
      <c r="M256" s="2290"/>
      <c r="N256" s="2294"/>
    </row>
    <row r="257" spans="1:14" ht="78" x14ac:dyDescent="0.3">
      <c r="A257" s="2302" t="s">
        <v>947</v>
      </c>
      <c r="B257" s="2303" t="s">
        <v>128</v>
      </c>
      <c r="C257" s="2304" t="s">
        <v>698</v>
      </c>
      <c r="D257" s="2304"/>
      <c r="E257" s="2305">
        <f>SUM(E258:E259)</f>
        <v>63.3</v>
      </c>
      <c r="F257" s="2305">
        <f>SUM(F258:F259)</f>
        <v>63.3</v>
      </c>
      <c r="G257" s="2305">
        <f>SUM(G258:G259)</f>
        <v>26.6</v>
      </c>
      <c r="H257" s="2305">
        <f>SUM(H258:H259)</f>
        <v>36.699999999999996</v>
      </c>
      <c r="I257" s="2304" t="s">
        <v>948</v>
      </c>
      <c r="J257" s="2306" t="s">
        <v>570</v>
      </c>
      <c r="K257" s="2307" t="s">
        <v>622</v>
      </c>
      <c r="L257" s="2307" t="s">
        <v>615</v>
      </c>
      <c r="M257" s="2304"/>
      <c r="N257" s="2308"/>
    </row>
    <row r="258" spans="1:14" x14ac:dyDescent="0.3">
      <c r="A258" s="2288"/>
      <c r="B258" s="2289"/>
      <c r="C258" s="2290"/>
      <c r="D258" s="2290" t="s">
        <v>68</v>
      </c>
      <c r="E258" s="2291">
        <v>33.299999999999997</v>
      </c>
      <c r="F258" s="2291">
        <v>33.299999999999997</v>
      </c>
      <c r="G258" s="2291">
        <v>0</v>
      </c>
      <c r="H258" s="2291">
        <v>33.299999999999997</v>
      </c>
      <c r="I258" s="2290"/>
      <c r="J258" s="2292"/>
      <c r="K258" s="2293"/>
      <c r="L258" s="2293"/>
      <c r="M258" s="2290"/>
      <c r="N258" s="2294"/>
    </row>
    <row r="259" spans="1:14" ht="31.8" thickBot="1" x14ac:dyDescent="0.35">
      <c r="A259" s="2288"/>
      <c r="B259" s="2289"/>
      <c r="C259" s="2290"/>
      <c r="D259" s="2290" t="s">
        <v>178</v>
      </c>
      <c r="E259" s="2291">
        <v>30</v>
      </c>
      <c r="F259" s="2291">
        <v>30</v>
      </c>
      <c r="G259" s="2291">
        <v>26.6</v>
      </c>
      <c r="H259" s="2291">
        <v>3.4</v>
      </c>
      <c r="I259" s="2290"/>
      <c r="J259" s="2292"/>
      <c r="K259" s="2293"/>
      <c r="L259" s="2293"/>
      <c r="M259" s="2290"/>
      <c r="N259" s="2294"/>
    </row>
    <row r="260" spans="1:14" ht="62.4" x14ac:dyDescent="0.3">
      <c r="A260" s="2302" t="s">
        <v>949</v>
      </c>
      <c r="B260" s="2303" t="s">
        <v>129</v>
      </c>
      <c r="C260" s="2304" t="s">
        <v>698</v>
      </c>
      <c r="D260" s="2304"/>
      <c r="E260" s="2305">
        <f>SUM(E261:E262)</f>
        <v>313</v>
      </c>
      <c r="F260" s="2305">
        <f>SUM(F261:F262)</f>
        <v>313</v>
      </c>
      <c r="G260" s="2305">
        <f>SUM(G261:G262)</f>
        <v>242.4</v>
      </c>
      <c r="H260" s="2305">
        <f>SUM(H261:H262)</f>
        <v>70.599999999999994</v>
      </c>
      <c r="I260" s="2304" t="s">
        <v>950</v>
      </c>
      <c r="J260" s="2306" t="s">
        <v>554</v>
      </c>
      <c r="K260" s="2307" t="s">
        <v>714</v>
      </c>
      <c r="L260" s="2307" t="s">
        <v>951</v>
      </c>
      <c r="M260" s="2304"/>
      <c r="N260" s="2308"/>
    </row>
    <row r="261" spans="1:14" x14ac:dyDescent="0.3">
      <c r="A261" s="2288"/>
      <c r="B261" s="2289"/>
      <c r="C261" s="2290"/>
      <c r="D261" s="2290" t="s">
        <v>68</v>
      </c>
      <c r="E261" s="2291">
        <v>263</v>
      </c>
      <c r="F261" s="2291">
        <v>263</v>
      </c>
      <c r="G261" s="2291">
        <v>192.4</v>
      </c>
      <c r="H261" s="2291">
        <v>70.599999999999994</v>
      </c>
      <c r="I261" s="2290"/>
      <c r="J261" s="2292"/>
      <c r="K261" s="2293"/>
      <c r="L261" s="2293"/>
      <c r="M261" s="2290"/>
      <c r="N261" s="2294"/>
    </row>
    <row r="262" spans="1:14" ht="31.8" thickBot="1" x14ac:dyDescent="0.35">
      <c r="A262" s="2288"/>
      <c r="B262" s="2289"/>
      <c r="C262" s="2290"/>
      <c r="D262" s="2290" t="s">
        <v>178</v>
      </c>
      <c r="E262" s="2291">
        <v>50</v>
      </c>
      <c r="F262" s="2291">
        <v>50</v>
      </c>
      <c r="G262" s="2291">
        <v>50</v>
      </c>
      <c r="H262" s="2291">
        <v>0</v>
      </c>
      <c r="I262" s="2290"/>
      <c r="J262" s="2292"/>
      <c r="K262" s="2293"/>
      <c r="L262" s="2293"/>
      <c r="M262" s="2290"/>
      <c r="N262" s="2294"/>
    </row>
    <row r="263" spans="1:14" ht="93.6" x14ac:dyDescent="0.3">
      <c r="A263" s="2302" t="s">
        <v>952</v>
      </c>
      <c r="B263" s="2303" t="s">
        <v>132</v>
      </c>
      <c r="C263" s="2304" t="s">
        <v>698</v>
      </c>
      <c r="D263" s="2304"/>
      <c r="E263" s="2305">
        <f>SUM(E264:E265)</f>
        <v>220</v>
      </c>
      <c r="F263" s="2305">
        <f>SUM(F264:F265)</f>
        <v>220</v>
      </c>
      <c r="G263" s="2305">
        <f>SUM(G264:G265)</f>
        <v>159.80000000000001</v>
      </c>
      <c r="H263" s="2305">
        <f>SUM(H264:H265)</f>
        <v>60.2</v>
      </c>
      <c r="I263" s="2304" t="s">
        <v>953</v>
      </c>
      <c r="J263" s="2306" t="s">
        <v>554</v>
      </c>
      <c r="K263" s="2307" t="s">
        <v>893</v>
      </c>
      <c r="L263" s="2307" t="s">
        <v>893</v>
      </c>
      <c r="M263" s="2304"/>
      <c r="N263" s="2308"/>
    </row>
    <row r="264" spans="1:14" x14ac:dyDescent="0.3">
      <c r="A264" s="2288"/>
      <c r="B264" s="2289"/>
      <c r="C264" s="2290"/>
      <c r="D264" s="2290" t="s">
        <v>68</v>
      </c>
      <c r="E264" s="2291">
        <v>170</v>
      </c>
      <c r="F264" s="2291">
        <v>170</v>
      </c>
      <c r="G264" s="2291">
        <v>109.8</v>
      </c>
      <c r="H264" s="2291">
        <v>60.2</v>
      </c>
      <c r="I264" s="2290"/>
      <c r="J264" s="2292"/>
      <c r="K264" s="2293"/>
      <c r="L264" s="2293"/>
      <c r="M264" s="2290"/>
      <c r="N264" s="2294"/>
    </row>
    <row r="265" spans="1:14" ht="31.8" thickBot="1" x14ac:dyDescent="0.35">
      <c r="A265" s="2288"/>
      <c r="B265" s="2289"/>
      <c r="C265" s="2290"/>
      <c r="D265" s="2290" t="s">
        <v>178</v>
      </c>
      <c r="E265" s="2291">
        <v>50</v>
      </c>
      <c r="F265" s="2291">
        <v>50</v>
      </c>
      <c r="G265" s="2291">
        <v>50</v>
      </c>
      <c r="H265" s="2291">
        <v>0</v>
      </c>
      <c r="I265" s="2290"/>
      <c r="J265" s="2292"/>
      <c r="K265" s="2293"/>
      <c r="L265" s="2293"/>
      <c r="M265" s="2290"/>
      <c r="N265" s="2294"/>
    </row>
    <row r="266" spans="1:14" ht="78.599999999999994" thickBot="1" x14ac:dyDescent="0.35">
      <c r="A266" s="2302" t="s">
        <v>954</v>
      </c>
      <c r="B266" s="2303" t="s">
        <v>955</v>
      </c>
      <c r="C266" s="2304" t="s">
        <v>925</v>
      </c>
      <c r="D266" s="2304"/>
      <c r="E266" s="2305">
        <f>SUM(E267:E267)</f>
        <v>0</v>
      </c>
      <c r="F266" s="2305">
        <f>SUM(F267:F267)</f>
        <v>50</v>
      </c>
      <c r="G266" s="2305">
        <f>SUM(G267:G267)</f>
        <v>40.4</v>
      </c>
      <c r="H266" s="2305">
        <f>SUM(H267:H267)</f>
        <v>9.6</v>
      </c>
      <c r="I266" s="2304"/>
      <c r="J266" s="2306"/>
      <c r="K266" s="2307"/>
      <c r="L266" s="2307"/>
      <c r="M266" s="2304"/>
      <c r="N266" s="2308"/>
    </row>
    <row r="267" spans="1:14" ht="63" thickBot="1" x14ac:dyDescent="0.35">
      <c r="A267" s="2310" t="s">
        <v>956</v>
      </c>
      <c r="B267" s="2311" t="s">
        <v>957</v>
      </c>
      <c r="C267" s="2312" t="s">
        <v>925</v>
      </c>
      <c r="D267" s="2312" t="s">
        <v>28</v>
      </c>
      <c r="E267" s="2313">
        <v>0</v>
      </c>
      <c r="F267" s="2313">
        <v>50</v>
      </c>
      <c r="G267" s="2313">
        <v>40.4</v>
      </c>
      <c r="H267" s="2313">
        <v>9.6</v>
      </c>
      <c r="I267" s="2312" t="s">
        <v>926</v>
      </c>
      <c r="J267" s="2314" t="s">
        <v>570</v>
      </c>
      <c r="K267" s="2315" t="s">
        <v>542</v>
      </c>
      <c r="L267" s="2315" t="s">
        <v>542</v>
      </c>
      <c r="M267" s="2312"/>
      <c r="N267" s="2316" t="s">
        <v>958</v>
      </c>
    </row>
    <row r="268" spans="1:14" x14ac:dyDescent="0.3">
      <c r="A268" s="2317"/>
      <c r="B268" s="2317"/>
      <c r="C268" s="2318"/>
      <c r="D268" s="2318"/>
      <c r="E268" s="2319"/>
      <c r="F268" s="2319"/>
      <c r="G268" s="2319"/>
      <c r="H268" s="2319"/>
      <c r="I268" s="2318"/>
      <c r="J268" s="2320"/>
      <c r="K268" s="2321"/>
      <c r="L268" s="2321"/>
      <c r="M268" s="2318"/>
      <c r="N268" s="2318"/>
    </row>
    <row r="269" spans="1:14" x14ac:dyDescent="0.3">
      <c r="A269" s="2317"/>
      <c r="B269" s="2317"/>
      <c r="C269" s="2318"/>
      <c r="D269" s="2318"/>
      <c r="E269" s="2319"/>
      <c r="F269" s="2319"/>
      <c r="G269" s="2319"/>
      <c r="H269" s="2319"/>
      <c r="I269" s="2318"/>
      <c r="J269" s="2320"/>
      <c r="K269" s="2321"/>
      <c r="L269" s="2321"/>
      <c r="M269" s="2318"/>
      <c r="N269" s="2318"/>
    </row>
    <row r="270" spans="1:14" x14ac:dyDescent="0.3">
      <c r="A270" s="2317"/>
      <c r="B270" s="2317"/>
      <c r="C270" s="2318"/>
      <c r="D270" s="2318"/>
      <c r="E270" s="2319"/>
      <c r="F270" s="2319"/>
      <c r="G270" s="2319"/>
      <c r="H270" s="2319"/>
      <c r="I270" s="2318"/>
      <c r="J270" s="2320"/>
      <c r="K270" s="2321"/>
      <c r="L270" s="2321"/>
      <c r="M270" s="2318"/>
      <c r="N270" s="2318"/>
    </row>
    <row r="271" spans="1:14" x14ac:dyDescent="0.3">
      <c r="A271" s="2317"/>
      <c r="B271" s="2317"/>
      <c r="C271" s="2318"/>
      <c r="D271" s="2318"/>
      <c r="E271" s="2319"/>
      <c r="F271" s="2319"/>
      <c r="G271" s="2319"/>
      <c r="H271" s="2319"/>
      <c r="I271" s="2318"/>
      <c r="J271" s="2320"/>
      <c r="K271" s="2321"/>
      <c r="L271" s="2321"/>
      <c r="M271" s="2318"/>
      <c r="N271" s="2318"/>
    </row>
    <row r="272" spans="1:14" x14ac:dyDescent="0.3">
      <c r="A272" s="2317"/>
      <c r="B272" s="2317"/>
      <c r="C272" s="2318"/>
      <c r="D272" s="2318"/>
      <c r="E272" s="2319"/>
      <c r="F272" s="2319"/>
      <c r="G272" s="2319"/>
      <c r="H272" s="2319"/>
      <c r="I272" s="2318"/>
      <c r="J272" s="2320"/>
      <c r="K272" s="2321"/>
      <c r="L272" s="2321"/>
      <c r="M272" s="2318"/>
      <c r="N272" s="2318"/>
    </row>
    <row r="273" spans="1:6" ht="78" x14ac:dyDescent="0.3">
      <c r="A273" s="2322" t="s">
        <v>519</v>
      </c>
      <c r="B273" s="2322" t="s">
        <v>520</v>
      </c>
      <c r="C273" s="2322" t="s">
        <v>523</v>
      </c>
      <c r="D273" s="2322" t="s">
        <v>524</v>
      </c>
      <c r="E273" s="2322" t="s">
        <v>525</v>
      </c>
      <c r="F273" s="2322" t="s">
        <v>526</v>
      </c>
    </row>
    <row r="274" spans="1:6" ht="31.2" x14ac:dyDescent="0.3">
      <c r="A274" s="2289" t="s">
        <v>103</v>
      </c>
      <c r="B274" s="2289" t="s">
        <v>959</v>
      </c>
      <c r="C274" s="2291">
        <v>81.599999999999994</v>
      </c>
      <c r="D274" s="2291">
        <v>129.69999999999999</v>
      </c>
      <c r="E274" s="2291">
        <v>6.1</v>
      </c>
      <c r="F274" s="2291">
        <v>123.6</v>
      </c>
    </row>
    <row r="275" spans="1:6" ht="62.4" x14ac:dyDescent="0.3">
      <c r="A275" s="2289" t="s">
        <v>399</v>
      </c>
      <c r="B275" s="2289" t="s">
        <v>960</v>
      </c>
      <c r="C275" s="2291">
        <v>409.6</v>
      </c>
      <c r="D275" s="2291">
        <v>423.7</v>
      </c>
      <c r="E275" s="2291">
        <v>407.4</v>
      </c>
      <c r="F275" s="2291">
        <v>16.3</v>
      </c>
    </row>
    <row r="276" spans="1:6" ht="46.8" x14ac:dyDescent="0.3">
      <c r="A276" s="2289" t="s">
        <v>176</v>
      </c>
      <c r="B276" s="2289" t="s">
        <v>961</v>
      </c>
      <c r="C276" s="2291">
        <v>926.5</v>
      </c>
      <c r="D276" s="2291">
        <v>1573</v>
      </c>
      <c r="E276" s="2291">
        <v>805.2</v>
      </c>
      <c r="F276" s="2291">
        <v>767.8</v>
      </c>
    </row>
    <row r="277" spans="1:6" x14ac:dyDescent="0.3">
      <c r="A277" s="2289" t="s">
        <v>68</v>
      </c>
      <c r="B277" s="2289" t="s">
        <v>962</v>
      </c>
      <c r="C277" s="2291">
        <v>1743.2</v>
      </c>
      <c r="D277" s="2291">
        <v>1766.5</v>
      </c>
      <c r="E277" s="2291">
        <v>944.2</v>
      </c>
      <c r="F277" s="2291">
        <v>822.3</v>
      </c>
    </row>
    <row r="278" spans="1:6" ht="31.2" x14ac:dyDescent="0.3">
      <c r="A278" s="2289" t="s">
        <v>178</v>
      </c>
      <c r="B278" s="2289" t="s">
        <v>963</v>
      </c>
      <c r="C278" s="2291">
        <v>891.4</v>
      </c>
      <c r="D278" s="2291">
        <v>891.4</v>
      </c>
      <c r="E278" s="2291">
        <v>558.20000000000005</v>
      </c>
      <c r="F278" s="2291">
        <v>333.2</v>
      </c>
    </row>
    <row r="279" spans="1:6" ht="46.8" x14ac:dyDescent="0.3">
      <c r="A279" s="2289" t="s">
        <v>28</v>
      </c>
      <c r="B279" s="2289" t="s">
        <v>964</v>
      </c>
      <c r="C279" s="2291">
        <v>4696.8999999999996</v>
      </c>
      <c r="D279" s="2291">
        <v>6215.7</v>
      </c>
      <c r="E279" s="2291">
        <v>6028.4</v>
      </c>
      <c r="F279" s="2291">
        <v>187.3</v>
      </c>
    </row>
    <row r="280" spans="1:6" x14ac:dyDescent="0.3">
      <c r="A280" s="2289" t="s">
        <v>71</v>
      </c>
      <c r="B280" s="2289" t="s">
        <v>965</v>
      </c>
      <c r="C280" s="2291">
        <v>0</v>
      </c>
      <c r="D280" s="2291">
        <v>125.4</v>
      </c>
      <c r="E280" s="2291">
        <v>60.6</v>
      </c>
      <c r="F280" s="2291">
        <v>64.7</v>
      </c>
    </row>
    <row r="281" spans="1:6" ht="31.2" x14ac:dyDescent="0.3">
      <c r="A281" s="2289" t="s">
        <v>52</v>
      </c>
      <c r="B281" s="2289" t="s">
        <v>966</v>
      </c>
      <c r="C281" s="2291">
        <v>0</v>
      </c>
      <c r="D281" s="2291">
        <v>37707.4</v>
      </c>
      <c r="E281" s="2291">
        <v>28694.3</v>
      </c>
      <c r="F281" s="2291">
        <v>9013.1</v>
      </c>
    </row>
    <row r="282" spans="1:6" x14ac:dyDescent="0.3">
      <c r="A282" s="2289" t="s">
        <v>31</v>
      </c>
      <c r="B282" s="2289" t="s">
        <v>967</v>
      </c>
      <c r="C282" s="2291">
        <v>11598.6</v>
      </c>
      <c r="D282" s="2291">
        <v>11379.9</v>
      </c>
      <c r="E282" s="2291">
        <v>9750.9</v>
      </c>
      <c r="F282" s="2291">
        <v>1629</v>
      </c>
    </row>
    <row r="283" spans="1:6" ht="62.4" x14ac:dyDescent="0.3">
      <c r="A283" s="2289" t="s">
        <v>334</v>
      </c>
      <c r="B283" s="2289" t="s">
        <v>968</v>
      </c>
      <c r="C283" s="2291">
        <v>2817.1</v>
      </c>
      <c r="D283" s="2291">
        <v>917.2</v>
      </c>
      <c r="E283" s="2291">
        <v>621.6</v>
      </c>
      <c r="F283" s="2291">
        <v>295.60000000000002</v>
      </c>
    </row>
    <row r="284" spans="1:6" x14ac:dyDescent="0.3">
      <c r="A284" s="2323"/>
      <c r="B284" s="2324" t="s">
        <v>152</v>
      </c>
      <c r="C284" s="2325">
        <f>SUM(C274:C283)</f>
        <v>23164.9</v>
      </c>
      <c r="D284" s="2325">
        <f>SUM(D274:D283)</f>
        <v>61129.9</v>
      </c>
      <c r="E284" s="2325">
        <f>SUM(E274:E283)</f>
        <v>47876.9</v>
      </c>
      <c r="F284" s="2325">
        <f>SUM(F274:F283)</f>
        <v>13252.9</v>
      </c>
    </row>
  </sheetData>
  <mergeCells count="14">
    <mergeCell ref="F1:F3"/>
    <mergeCell ref="A1:A3"/>
    <mergeCell ref="B1:B3"/>
    <mergeCell ref="C1:C3"/>
    <mergeCell ref="D1:D3"/>
    <mergeCell ref="E1:E3"/>
    <mergeCell ref="G1:G3"/>
    <mergeCell ref="H1:H3"/>
    <mergeCell ref="I1:N1"/>
    <mergeCell ref="I2:I3"/>
    <mergeCell ref="J2:J3"/>
    <mergeCell ref="K2:L2"/>
    <mergeCell ref="M2:M3"/>
    <mergeCell ref="N2: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40"/>
  <sheetViews>
    <sheetView topLeftCell="A58" zoomScaleNormal="100" workbookViewId="0">
      <selection activeCell="I74" sqref="I74"/>
    </sheetView>
  </sheetViews>
  <sheetFormatPr defaultColWidth="9.109375" defaultRowHeight="14.4" x14ac:dyDescent="0.3"/>
  <cols>
    <col min="1" max="4" width="2.88671875" style="1043" customWidth="1"/>
    <col min="5" max="5" width="25.5546875" style="1043" customWidth="1"/>
    <col min="6" max="8" width="3.33203125" style="1043" customWidth="1"/>
    <col min="9" max="9" width="10.6640625" style="1043" customWidth="1"/>
    <col min="10" max="10" width="6.88671875" style="1043" customWidth="1"/>
    <col min="11" max="12" width="10" style="1170" customWidth="1"/>
    <col min="13" max="13" width="11.44140625" style="1170" customWidth="1"/>
    <col min="14" max="14" width="11.33203125" style="1170" customWidth="1"/>
    <col min="15" max="15" width="10.33203125" style="1170" customWidth="1"/>
    <col min="16" max="16" width="10.44140625" style="1170" customWidth="1"/>
    <col min="17" max="17" width="11.6640625" style="1170" customWidth="1"/>
    <col min="18" max="18" width="11.109375" style="1170" customWidth="1"/>
    <col min="19" max="19" width="22.44140625" style="1043" customWidth="1"/>
    <col min="20" max="22" width="5.33203125" style="1043" customWidth="1"/>
    <col min="23" max="16384" width="9.109375" style="1043"/>
  </cols>
  <sheetData>
    <row r="1" spans="1:27" s="1165" customFormat="1" ht="15.6" x14ac:dyDescent="0.3">
      <c r="K1" s="1035"/>
      <c r="L1" s="1035"/>
      <c r="M1" s="1035"/>
      <c r="N1" s="1035"/>
      <c r="O1" s="1035"/>
      <c r="P1" s="1035"/>
      <c r="Q1" s="1035"/>
      <c r="R1" s="1035"/>
      <c r="S1" s="2932" t="s">
        <v>299</v>
      </c>
      <c r="T1" s="2932"/>
      <c r="U1" s="2932"/>
      <c r="V1" s="2932"/>
    </row>
    <row r="2" spans="1:27" s="1035" customFormat="1" ht="16.5" customHeight="1" x14ac:dyDescent="0.3">
      <c r="A2" s="2852" t="s">
        <v>0</v>
      </c>
      <c r="B2" s="2852"/>
      <c r="C2" s="2852"/>
      <c r="D2" s="2852"/>
      <c r="E2" s="2852"/>
      <c r="F2" s="2852"/>
      <c r="G2" s="2852"/>
      <c r="H2" s="2852"/>
      <c r="I2" s="2852"/>
      <c r="J2" s="2852"/>
      <c r="K2" s="2852"/>
      <c r="L2" s="2852"/>
      <c r="M2" s="2852"/>
      <c r="N2" s="2852"/>
      <c r="O2" s="2852"/>
      <c r="P2" s="2852"/>
      <c r="Q2" s="2852"/>
      <c r="R2" s="2852"/>
      <c r="S2" s="2852"/>
      <c r="T2" s="2852"/>
      <c r="U2" s="2852"/>
      <c r="V2" s="2852"/>
    </row>
    <row r="3" spans="1:27" s="1036" customFormat="1" ht="16.5" customHeight="1" x14ac:dyDescent="0.3">
      <c r="A3" s="3109" t="s">
        <v>1</v>
      </c>
      <c r="B3" s="3109"/>
      <c r="C3" s="3109"/>
      <c r="D3" s="3109"/>
      <c r="E3" s="3109"/>
      <c r="F3" s="3109"/>
      <c r="G3" s="3109"/>
      <c r="H3" s="3109"/>
      <c r="I3" s="3109"/>
      <c r="J3" s="3109"/>
      <c r="K3" s="3109"/>
      <c r="L3" s="3109"/>
      <c r="M3" s="3109"/>
      <c r="N3" s="3109"/>
      <c r="O3" s="3109"/>
      <c r="P3" s="3109"/>
      <c r="Q3" s="3109"/>
      <c r="R3" s="3109"/>
      <c r="S3" s="3109"/>
      <c r="T3" s="3109"/>
      <c r="U3" s="3109"/>
      <c r="V3" s="3109"/>
    </row>
    <row r="4" spans="1:27" s="1036" customFormat="1" ht="16.5" customHeight="1" x14ac:dyDescent="0.3">
      <c r="A4" s="3110" t="s">
        <v>300</v>
      </c>
      <c r="B4" s="3110"/>
      <c r="C4" s="3110"/>
      <c r="D4" s="3110"/>
      <c r="E4" s="3110"/>
      <c r="F4" s="3110"/>
      <c r="G4" s="3110"/>
      <c r="H4" s="3110"/>
      <c r="I4" s="3110"/>
      <c r="J4" s="3110"/>
      <c r="K4" s="3110"/>
      <c r="L4" s="3110"/>
      <c r="M4" s="3110"/>
      <c r="N4" s="3110"/>
      <c r="O4" s="3110"/>
      <c r="P4" s="3110"/>
      <c r="Q4" s="3110"/>
      <c r="R4" s="3110"/>
      <c r="S4" s="3110"/>
      <c r="T4" s="3110"/>
      <c r="U4" s="3110"/>
      <c r="V4" s="3110"/>
    </row>
    <row r="5" spans="1:27" s="2" customFormat="1" ht="16.5" customHeight="1" thickBot="1" x14ac:dyDescent="0.35">
      <c r="A5" s="3111" t="s">
        <v>153</v>
      </c>
      <c r="B5" s="3111"/>
      <c r="C5" s="3111"/>
      <c r="D5" s="3111"/>
      <c r="E5" s="3111"/>
      <c r="F5" s="3111"/>
      <c r="G5" s="3111"/>
      <c r="H5" s="3111"/>
      <c r="I5" s="3111"/>
      <c r="J5" s="3111"/>
      <c r="K5" s="3111"/>
      <c r="L5" s="3111"/>
      <c r="M5" s="3111"/>
      <c r="N5" s="3111"/>
      <c r="O5" s="3111"/>
      <c r="P5" s="3111"/>
      <c r="Q5" s="3111"/>
      <c r="R5" s="3111"/>
      <c r="S5" s="3111"/>
      <c r="T5" s="3111"/>
      <c r="U5" s="3111"/>
      <c r="V5" s="3111"/>
    </row>
    <row r="6" spans="1:27" s="3" customFormat="1" ht="60.75" customHeight="1" thickBot="1" x14ac:dyDescent="0.35">
      <c r="A6" s="2866" t="s">
        <v>4</v>
      </c>
      <c r="B6" s="2869" t="s">
        <v>5</v>
      </c>
      <c r="C6" s="2872" t="s">
        <v>6</v>
      </c>
      <c r="D6" s="1046"/>
      <c r="E6" s="2875" t="s">
        <v>7</v>
      </c>
      <c r="F6" s="3112" t="s">
        <v>8</v>
      </c>
      <c r="G6" s="3115" t="s">
        <v>9</v>
      </c>
      <c r="H6" s="3131" t="s">
        <v>10</v>
      </c>
      <c r="I6" s="2858" t="s">
        <v>154</v>
      </c>
      <c r="J6" s="3134" t="s">
        <v>11</v>
      </c>
      <c r="K6" s="903" t="s">
        <v>155</v>
      </c>
      <c r="L6" s="904" t="s">
        <v>156</v>
      </c>
      <c r="M6" s="3137" t="s">
        <v>12</v>
      </c>
      <c r="N6" s="3138"/>
      <c r="O6" s="3138"/>
      <c r="P6" s="3139"/>
      <c r="Q6" s="3140" t="s">
        <v>13</v>
      </c>
      <c r="R6" s="3140" t="s">
        <v>14</v>
      </c>
      <c r="S6" s="3118" t="s">
        <v>15</v>
      </c>
      <c r="T6" s="3119"/>
      <c r="U6" s="3119"/>
      <c r="V6" s="3120"/>
    </row>
    <row r="7" spans="1:27" s="3" customFormat="1" ht="16.5" customHeight="1" x14ac:dyDescent="0.3">
      <c r="A7" s="2867"/>
      <c r="B7" s="2870"/>
      <c r="C7" s="2873"/>
      <c r="D7" s="1047"/>
      <c r="E7" s="2876"/>
      <c r="F7" s="3113"/>
      <c r="G7" s="3116"/>
      <c r="H7" s="3132"/>
      <c r="I7" s="2859"/>
      <c r="J7" s="3135"/>
      <c r="K7" s="3121" t="s">
        <v>157</v>
      </c>
      <c r="L7" s="3123" t="s">
        <v>157</v>
      </c>
      <c r="M7" s="3125" t="s">
        <v>157</v>
      </c>
      <c r="N7" s="3127" t="s">
        <v>158</v>
      </c>
      <c r="O7" s="3128"/>
      <c r="P7" s="3129" t="s">
        <v>159</v>
      </c>
      <c r="Q7" s="3141"/>
      <c r="R7" s="3141"/>
      <c r="S7" s="2983" t="s">
        <v>7</v>
      </c>
      <c r="T7" s="2897" t="s">
        <v>16</v>
      </c>
      <c r="U7" s="3146"/>
      <c r="V7" s="2898"/>
    </row>
    <row r="8" spans="1:27" s="3" customFormat="1" ht="94.5" customHeight="1" thickBot="1" x14ac:dyDescent="0.35">
      <c r="A8" s="2868"/>
      <c r="B8" s="2871"/>
      <c r="C8" s="2874"/>
      <c r="D8" s="1048"/>
      <c r="E8" s="2877"/>
      <c r="F8" s="3114"/>
      <c r="G8" s="3117"/>
      <c r="H8" s="3133"/>
      <c r="I8" s="2860"/>
      <c r="J8" s="3136"/>
      <c r="K8" s="3122"/>
      <c r="L8" s="3124"/>
      <c r="M8" s="3126"/>
      <c r="N8" s="374" t="s">
        <v>157</v>
      </c>
      <c r="O8" s="374" t="s">
        <v>160</v>
      </c>
      <c r="P8" s="3130"/>
      <c r="Q8" s="3142"/>
      <c r="R8" s="3142"/>
      <c r="S8" s="3145"/>
      <c r="T8" s="4" t="s">
        <v>17</v>
      </c>
      <c r="U8" s="4" t="s">
        <v>18</v>
      </c>
      <c r="V8" s="5" t="s">
        <v>19</v>
      </c>
    </row>
    <row r="9" spans="1:27" s="2" customFormat="1" ht="16.5" customHeight="1" x14ac:dyDescent="0.3">
      <c r="A9" s="3147" t="s">
        <v>20</v>
      </c>
      <c r="B9" s="3148"/>
      <c r="C9" s="3148"/>
      <c r="D9" s="3148"/>
      <c r="E9" s="3148"/>
      <c r="F9" s="3148"/>
      <c r="G9" s="3148"/>
      <c r="H9" s="3148"/>
      <c r="I9" s="3148"/>
      <c r="J9" s="3148"/>
      <c r="K9" s="3148"/>
      <c r="L9" s="3148"/>
      <c r="M9" s="3148"/>
      <c r="N9" s="3148"/>
      <c r="O9" s="3148"/>
      <c r="P9" s="3148"/>
      <c r="Q9" s="3148"/>
      <c r="R9" s="3148"/>
      <c r="S9" s="3148"/>
      <c r="T9" s="3148"/>
      <c r="U9" s="3148"/>
      <c r="V9" s="3149"/>
    </row>
    <row r="10" spans="1:27" s="2" customFormat="1" ht="16.5" customHeight="1" thickBot="1" x14ac:dyDescent="0.35">
      <c r="A10" s="3150" t="s">
        <v>21</v>
      </c>
      <c r="B10" s="3151"/>
      <c r="C10" s="3151"/>
      <c r="D10" s="3151"/>
      <c r="E10" s="3151"/>
      <c r="F10" s="3151"/>
      <c r="G10" s="3151"/>
      <c r="H10" s="3151"/>
      <c r="I10" s="3151"/>
      <c r="J10" s="3151"/>
      <c r="K10" s="3151"/>
      <c r="L10" s="3151"/>
      <c r="M10" s="3151"/>
      <c r="N10" s="3151"/>
      <c r="O10" s="3151"/>
      <c r="P10" s="3151"/>
      <c r="Q10" s="3151"/>
      <c r="R10" s="3151"/>
      <c r="S10" s="3151"/>
      <c r="T10" s="3151"/>
      <c r="U10" s="3151"/>
      <c r="V10" s="3152"/>
      <c r="AA10" s="3"/>
    </row>
    <row r="11" spans="1:27" s="3" customFormat="1" ht="16.5" customHeight="1" thickBot="1" x14ac:dyDescent="0.35">
      <c r="A11" s="6" t="s">
        <v>22</v>
      </c>
      <c r="B11" s="3153" t="s">
        <v>23</v>
      </c>
      <c r="C11" s="3153"/>
      <c r="D11" s="3153"/>
      <c r="E11" s="3153"/>
      <c r="F11" s="3153"/>
      <c r="G11" s="3153"/>
      <c r="H11" s="3153"/>
      <c r="I11" s="3153"/>
      <c r="J11" s="3153"/>
      <c r="K11" s="3153"/>
      <c r="L11" s="3153"/>
      <c r="M11" s="3153"/>
      <c r="N11" s="3153"/>
      <c r="O11" s="3153"/>
      <c r="P11" s="3153"/>
      <c r="Q11" s="3153"/>
      <c r="R11" s="3153"/>
      <c r="S11" s="3153"/>
      <c r="T11" s="3153"/>
      <c r="U11" s="3153"/>
      <c r="V11" s="3154"/>
    </row>
    <row r="12" spans="1:27" s="3" customFormat="1" ht="16.5" customHeight="1" thickBot="1" x14ac:dyDescent="0.35">
      <c r="A12" s="7" t="s">
        <v>22</v>
      </c>
      <c r="B12" s="8" t="s">
        <v>22</v>
      </c>
      <c r="C12" s="3155" t="s">
        <v>24</v>
      </c>
      <c r="D12" s="3155"/>
      <c r="E12" s="3155"/>
      <c r="F12" s="3155"/>
      <c r="G12" s="3155"/>
      <c r="H12" s="3155"/>
      <c r="I12" s="3156"/>
      <c r="J12" s="3156"/>
      <c r="K12" s="3156"/>
      <c r="L12" s="3156"/>
      <c r="M12" s="3156"/>
      <c r="N12" s="3156"/>
      <c r="O12" s="3156"/>
      <c r="P12" s="3156"/>
      <c r="Q12" s="3156"/>
      <c r="R12" s="3156"/>
      <c r="S12" s="3156"/>
      <c r="T12" s="3156"/>
      <c r="U12" s="3156"/>
      <c r="V12" s="3157"/>
    </row>
    <row r="13" spans="1:27" s="3" customFormat="1" ht="43.5" customHeight="1" x14ac:dyDescent="0.3">
      <c r="A13" s="1056" t="s">
        <v>22</v>
      </c>
      <c r="B13" s="9" t="s">
        <v>22</v>
      </c>
      <c r="C13" s="1060" t="s">
        <v>22</v>
      </c>
      <c r="D13" s="375"/>
      <c r="E13" s="11" t="s">
        <v>25</v>
      </c>
      <c r="F13" s="1062"/>
      <c r="G13" s="1108" t="s">
        <v>26</v>
      </c>
      <c r="H13" s="12" t="s">
        <v>27</v>
      </c>
      <c r="I13" s="3070" t="s">
        <v>161</v>
      </c>
      <c r="J13" s="13"/>
      <c r="K13" s="107"/>
      <c r="L13" s="376"/>
      <c r="M13" s="972"/>
      <c r="N13" s="974"/>
      <c r="O13" s="381"/>
      <c r="P13" s="973"/>
      <c r="Q13" s="377"/>
      <c r="R13" s="377"/>
      <c r="S13" s="1069"/>
      <c r="T13" s="1076"/>
      <c r="U13" s="1072"/>
      <c r="V13" s="1073"/>
    </row>
    <row r="14" spans="1:27" s="3" customFormat="1" ht="59.25" customHeight="1" x14ac:dyDescent="0.3">
      <c r="A14" s="1066"/>
      <c r="B14" s="18"/>
      <c r="C14" s="158"/>
      <c r="D14" s="382" t="s">
        <v>22</v>
      </c>
      <c r="E14" s="2679" t="s">
        <v>30</v>
      </c>
      <c r="F14" s="91"/>
      <c r="G14" s="1128"/>
      <c r="H14" s="21"/>
      <c r="I14" s="3143"/>
      <c r="J14" s="43" t="s">
        <v>28</v>
      </c>
      <c r="K14" s="383">
        <v>2201</v>
      </c>
      <c r="L14" s="2973">
        <v>991856</v>
      </c>
      <c r="M14" s="384">
        <v>2200</v>
      </c>
      <c r="N14" s="385">
        <v>2200</v>
      </c>
      <c r="O14" s="386"/>
      <c r="P14" s="387"/>
      <c r="Q14" s="388">
        <v>2200</v>
      </c>
      <c r="R14" s="389">
        <v>2200</v>
      </c>
      <c r="S14" s="162" t="s">
        <v>29</v>
      </c>
      <c r="T14" s="121">
        <v>5</v>
      </c>
      <c r="U14" s="1083">
        <v>5</v>
      </c>
      <c r="V14" s="122">
        <v>5</v>
      </c>
    </row>
    <row r="15" spans="1:27" s="3" customFormat="1" ht="44.25" customHeight="1" x14ac:dyDescent="0.3">
      <c r="A15" s="1066"/>
      <c r="B15" s="18"/>
      <c r="C15" s="158"/>
      <c r="D15" s="382"/>
      <c r="E15" s="2680"/>
      <c r="F15" s="20"/>
      <c r="G15" s="1128"/>
      <c r="H15" s="27"/>
      <c r="I15" s="3143"/>
      <c r="J15" s="43" t="s">
        <v>28</v>
      </c>
      <c r="K15" s="383">
        <v>665981</v>
      </c>
      <c r="L15" s="3144"/>
      <c r="M15" s="390">
        <v>707500</v>
      </c>
      <c r="N15" s="386">
        <v>707500</v>
      </c>
      <c r="O15" s="385"/>
      <c r="P15" s="387"/>
      <c r="Q15" s="388">
        <f>M15</f>
        <v>707500</v>
      </c>
      <c r="R15" s="388">
        <f>M15</f>
        <v>707500</v>
      </c>
      <c r="S15" s="241" t="s">
        <v>32</v>
      </c>
      <c r="T15" s="25">
        <v>196</v>
      </c>
      <c r="U15" s="1114">
        <v>196</v>
      </c>
      <c r="V15" s="26">
        <v>196</v>
      </c>
    </row>
    <row r="16" spans="1:27" s="3" customFormat="1" ht="69" customHeight="1" x14ac:dyDescent="0.3">
      <c r="A16" s="1066"/>
      <c r="B16" s="18"/>
      <c r="C16" s="158"/>
      <c r="D16" s="382"/>
      <c r="E16" s="31"/>
      <c r="F16" s="91"/>
      <c r="G16" s="1128"/>
      <c r="H16" s="21"/>
      <c r="I16" s="3143"/>
      <c r="J16" s="43" t="s">
        <v>28</v>
      </c>
      <c r="K16" s="383">
        <v>434444</v>
      </c>
      <c r="L16" s="2974"/>
      <c r="M16" s="390">
        <v>450000</v>
      </c>
      <c r="N16" s="386">
        <v>450000</v>
      </c>
      <c r="O16" s="385"/>
      <c r="P16" s="387"/>
      <c r="Q16" s="388">
        <v>500000</v>
      </c>
      <c r="R16" s="389">
        <v>500000</v>
      </c>
      <c r="S16" s="241" t="s">
        <v>289</v>
      </c>
      <c r="T16" s="30">
        <v>60</v>
      </c>
      <c r="U16" s="1114">
        <v>65</v>
      </c>
      <c r="V16" s="1116">
        <v>70</v>
      </c>
    </row>
    <row r="17" spans="1:22" s="3" customFormat="1" ht="27" customHeight="1" x14ac:dyDescent="0.3">
      <c r="A17" s="1066"/>
      <c r="B17" s="18"/>
      <c r="C17" s="158"/>
      <c r="D17" s="382"/>
      <c r="E17" s="31"/>
      <c r="F17" s="91"/>
      <c r="G17" s="1128"/>
      <c r="H17" s="21"/>
      <c r="I17" s="3143"/>
      <c r="J17" s="43" t="s">
        <v>31</v>
      </c>
      <c r="K17" s="383">
        <v>3765060</v>
      </c>
      <c r="L17" s="2973">
        <v>5613611</v>
      </c>
      <c r="M17" s="383">
        <f>2272000-3500</f>
        <v>2268500</v>
      </c>
      <c r="N17" s="391">
        <f>M17</f>
        <v>2268500</v>
      </c>
      <c r="O17" s="949"/>
      <c r="P17" s="498"/>
      <c r="Q17" s="422">
        <f>M17</f>
        <v>2268500</v>
      </c>
      <c r="R17" s="566">
        <f>M17</f>
        <v>2268500</v>
      </c>
      <c r="S17" s="979" t="s">
        <v>33</v>
      </c>
      <c r="T17" s="30">
        <v>3500</v>
      </c>
      <c r="U17" s="1114">
        <v>3500</v>
      </c>
      <c r="V17" s="1116">
        <v>3500</v>
      </c>
    </row>
    <row r="18" spans="1:22" s="3" customFormat="1" ht="39.75" customHeight="1" x14ac:dyDescent="0.3">
      <c r="A18" s="1066"/>
      <c r="B18" s="18"/>
      <c r="C18" s="158"/>
      <c r="D18" s="382"/>
      <c r="E18" s="31"/>
      <c r="F18" s="91"/>
      <c r="G18" s="1128"/>
      <c r="H18" s="21"/>
      <c r="I18" s="3143"/>
      <c r="J18" s="43" t="s">
        <v>31</v>
      </c>
      <c r="K18" s="383">
        <v>2412101</v>
      </c>
      <c r="L18" s="3144"/>
      <c r="M18" s="383">
        <f>2169500-181600</f>
        <v>1987900</v>
      </c>
      <c r="N18" s="391">
        <f>M18</f>
        <v>1987900</v>
      </c>
      <c r="O18" s="949"/>
      <c r="P18" s="498"/>
      <c r="Q18" s="422">
        <f>M18</f>
        <v>1987900</v>
      </c>
      <c r="R18" s="422">
        <f>M18</f>
        <v>1987900</v>
      </c>
      <c r="S18" s="980" t="s">
        <v>34</v>
      </c>
      <c r="T18" s="975">
        <v>17026</v>
      </c>
      <c r="U18" s="976">
        <v>17026</v>
      </c>
      <c r="V18" s="977">
        <v>17026</v>
      </c>
    </row>
    <row r="19" spans="1:22" s="3" customFormat="1" ht="37.5" customHeight="1" x14ac:dyDescent="0.3">
      <c r="A19" s="1066"/>
      <c r="B19" s="18"/>
      <c r="C19" s="158"/>
      <c r="D19" s="382"/>
      <c r="E19" s="31"/>
      <c r="F19" s="20"/>
      <c r="G19" s="1128"/>
      <c r="H19" s="27"/>
      <c r="I19" s="3143"/>
      <c r="J19" s="43" t="s">
        <v>31</v>
      </c>
      <c r="K19" s="383">
        <v>44688</v>
      </c>
      <c r="L19" s="2974"/>
      <c r="M19" s="392">
        <f>N19</f>
        <v>53400</v>
      </c>
      <c r="N19" s="393">
        <v>53400</v>
      </c>
      <c r="O19" s="394"/>
      <c r="P19" s="395"/>
      <c r="Q19" s="396">
        <v>53500</v>
      </c>
      <c r="R19" s="396">
        <v>53600</v>
      </c>
      <c r="S19" s="2847" t="s">
        <v>35</v>
      </c>
      <c r="T19" s="25">
        <v>95</v>
      </c>
      <c r="U19" s="1114">
        <v>104</v>
      </c>
      <c r="V19" s="26">
        <v>114</v>
      </c>
    </row>
    <row r="20" spans="1:22" s="3" customFormat="1" ht="17.25" customHeight="1" x14ac:dyDescent="0.3">
      <c r="A20" s="1066"/>
      <c r="B20" s="18"/>
      <c r="C20" s="158"/>
      <c r="D20" s="382"/>
      <c r="E20" s="1064"/>
      <c r="F20" s="91"/>
      <c r="G20" s="1128"/>
      <c r="H20" s="21"/>
      <c r="I20" s="1096"/>
      <c r="J20" s="36" t="s">
        <v>36</v>
      </c>
      <c r="K20" s="397">
        <f>SUM(K14:K19)</f>
        <v>7324475</v>
      </c>
      <c r="L20" s="398">
        <f>SUM(L14:L19)</f>
        <v>6605467</v>
      </c>
      <c r="M20" s="397">
        <f t="shared" ref="M20:P20" si="0">SUM(M13:M19)</f>
        <v>5469500</v>
      </c>
      <c r="N20" s="399">
        <f t="shared" si="0"/>
        <v>5469500</v>
      </c>
      <c r="O20" s="400">
        <f t="shared" si="0"/>
        <v>0</v>
      </c>
      <c r="P20" s="398">
        <f t="shared" si="0"/>
        <v>0</v>
      </c>
      <c r="Q20" s="401">
        <f>SUM(Q14:Q19)</f>
        <v>5519600</v>
      </c>
      <c r="R20" s="401">
        <f>SUM(R13:R19)</f>
        <v>5519700</v>
      </c>
      <c r="S20" s="2848"/>
      <c r="T20" s="320"/>
      <c r="U20" s="40"/>
      <c r="V20" s="84"/>
    </row>
    <row r="21" spans="1:22" s="3" customFormat="1" ht="54.75" customHeight="1" x14ac:dyDescent="0.3">
      <c r="A21" s="1104"/>
      <c r="B21" s="905"/>
      <c r="C21" s="906"/>
      <c r="D21" s="997" t="s">
        <v>50</v>
      </c>
      <c r="E21" s="998" t="s">
        <v>37</v>
      </c>
      <c r="F21" s="517"/>
      <c r="G21" s="831" t="s">
        <v>26</v>
      </c>
      <c r="H21" s="999" t="s">
        <v>27</v>
      </c>
      <c r="I21" s="513" t="s">
        <v>162</v>
      </c>
      <c r="J21" s="121" t="s">
        <v>28</v>
      </c>
      <c r="K21" s="383">
        <v>881482</v>
      </c>
      <c r="L21" s="419">
        <v>1561132</v>
      </c>
      <c r="M21" s="403">
        <v>1118800</v>
      </c>
      <c r="N21" s="391">
        <f>M21</f>
        <v>1118800</v>
      </c>
      <c r="O21" s="391"/>
      <c r="P21" s="1085"/>
      <c r="Q21" s="43">
        <f>M21</f>
        <v>1118800</v>
      </c>
      <c r="R21" s="43">
        <f>Q21</f>
        <v>1118800</v>
      </c>
      <c r="S21" s="921" t="s">
        <v>163</v>
      </c>
      <c r="T21" s="114">
        <v>353</v>
      </c>
      <c r="U21" s="115">
        <v>353</v>
      </c>
      <c r="V21" s="116">
        <v>353</v>
      </c>
    </row>
    <row r="22" spans="1:22" s="3" customFormat="1" ht="54.75" customHeight="1" x14ac:dyDescent="0.3">
      <c r="A22" s="1066"/>
      <c r="B22" s="18"/>
      <c r="C22" s="158"/>
      <c r="D22" s="981"/>
      <c r="E22" s="31"/>
      <c r="F22" s="20"/>
      <c r="G22" s="1128"/>
      <c r="H22" s="21"/>
      <c r="I22" s="1096"/>
      <c r="J22" s="416" t="s">
        <v>28</v>
      </c>
      <c r="K22" s="407">
        <v>354292</v>
      </c>
      <c r="L22" s="417"/>
      <c r="M22" s="66">
        <v>378900</v>
      </c>
      <c r="N22" s="950">
        <f>M22</f>
        <v>378900</v>
      </c>
      <c r="O22" s="67">
        <v>263013</v>
      </c>
      <c r="P22" s="68"/>
      <c r="Q22" s="35">
        <f>M22</f>
        <v>378900</v>
      </c>
      <c r="R22" s="35">
        <f>Q22</f>
        <v>378900</v>
      </c>
      <c r="S22" s="1107" t="s">
        <v>164</v>
      </c>
      <c r="T22" s="416">
        <v>110</v>
      </c>
      <c r="U22" s="67">
        <v>110</v>
      </c>
      <c r="V22" s="491">
        <v>110</v>
      </c>
    </row>
    <row r="23" spans="1:22" s="3" customFormat="1" ht="52.5" customHeight="1" x14ac:dyDescent="0.3">
      <c r="A23" s="1066"/>
      <c r="B23" s="18"/>
      <c r="C23" s="158"/>
      <c r="D23" s="404"/>
      <c r="E23" s="31"/>
      <c r="F23" s="91"/>
      <c r="G23" s="1128"/>
      <c r="H23" s="21"/>
      <c r="I23" s="1096"/>
      <c r="J23" s="416" t="s">
        <v>28</v>
      </c>
      <c r="K23" s="407">
        <v>105190</v>
      </c>
      <c r="L23" s="405"/>
      <c r="M23" s="66">
        <v>119200</v>
      </c>
      <c r="N23" s="950">
        <f>M23</f>
        <v>119200</v>
      </c>
      <c r="O23" s="67">
        <v>75827</v>
      </c>
      <c r="P23" s="68"/>
      <c r="Q23" s="35">
        <f>M23</f>
        <v>119200</v>
      </c>
      <c r="R23" s="35">
        <f>Q23</f>
        <v>119200</v>
      </c>
      <c r="S23" s="1107" t="s">
        <v>165</v>
      </c>
      <c r="T23" s="1077">
        <v>55</v>
      </c>
      <c r="U23" s="1054">
        <v>55</v>
      </c>
      <c r="V23" s="1079">
        <v>55</v>
      </c>
    </row>
    <row r="24" spans="1:22" s="3" customFormat="1" ht="55.5" customHeight="1" x14ac:dyDescent="0.3">
      <c r="A24" s="1066"/>
      <c r="B24" s="18"/>
      <c r="C24" s="158"/>
      <c r="D24" s="408"/>
      <c r="E24" s="31"/>
      <c r="F24" s="91"/>
      <c r="G24" s="1128"/>
      <c r="H24" s="21"/>
      <c r="I24" s="1096"/>
      <c r="J24" s="121" t="s">
        <v>28</v>
      </c>
      <c r="K24" s="407">
        <v>82889</v>
      </c>
      <c r="L24" s="417"/>
      <c r="M24" s="1082">
        <v>90200</v>
      </c>
      <c r="N24" s="406">
        <f>M24</f>
        <v>90200</v>
      </c>
      <c r="O24" s="1083">
        <v>68850</v>
      </c>
      <c r="P24" s="1085"/>
      <c r="Q24" s="43">
        <f>M24</f>
        <v>90200</v>
      </c>
      <c r="R24" s="43">
        <f>M24</f>
        <v>90200</v>
      </c>
      <c r="S24" s="921" t="s">
        <v>166</v>
      </c>
      <c r="T24" s="411">
        <v>29</v>
      </c>
      <c r="U24" s="164">
        <v>30</v>
      </c>
      <c r="V24" s="412">
        <v>30</v>
      </c>
    </row>
    <row r="25" spans="1:22" s="3" customFormat="1" ht="79.5" customHeight="1" x14ac:dyDescent="0.3">
      <c r="A25" s="1066"/>
      <c r="B25" s="18"/>
      <c r="C25" s="158"/>
      <c r="D25" s="408"/>
      <c r="E25" s="31"/>
      <c r="F25" s="91"/>
      <c r="G25" s="1128"/>
      <c r="H25" s="21"/>
      <c r="I25" s="1096"/>
      <c r="J25" s="39" t="s">
        <v>28</v>
      </c>
      <c r="K25" s="409">
        <v>98007</v>
      </c>
      <c r="L25" s="405"/>
      <c r="M25" s="320">
        <v>195700</v>
      </c>
      <c r="N25" s="40">
        <f>M25</f>
        <v>195700</v>
      </c>
      <c r="O25" s="40">
        <v>139435</v>
      </c>
      <c r="P25" s="84"/>
      <c r="Q25" s="951">
        <f>M25</f>
        <v>195700</v>
      </c>
      <c r="R25" s="951">
        <f>N25</f>
        <v>195700</v>
      </c>
      <c r="S25" s="1107" t="s">
        <v>167</v>
      </c>
      <c r="T25" s="1052">
        <v>20</v>
      </c>
      <c r="U25" s="1054">
        <v>20</v>
      </c>
      <c r="V25" s="1055">
        <v>20</v>
      </c>
    </row>
    <row r="26" spans="1:22" s="3" customFormat="1" ht="93.75" customHeight="1" x14ac:dyDescent="0.3">
      <c r="A26" s="1066"/>
      <c r="B26" s="18"/>
      <c r="C26" s="158"/>
      <c r="D26" s="414"/>
      <c r="E26" s="31"/>
      <c r="F26" s="20"/>
      <c r="G26" s="1128"/>
      <c r="H26" s="21"/>
      <c r="I26" s="1096"/>
      <c r="J26" s="35"/>
      <c r="K26" s="407"/>
      <c r="L26" s="405"/>
      <c r="M26" s="66"/>
      <c r="N26" s="67"/>
      <c r="O26" s="67"/>
      <c r="P26" s="68"/>
      <c r="Q26" s="35"/>
      <c r="R26" s="415"/>
      <c r="S26" s="1107" t="s">
        <v>168</v>
      </c>
      <c r="T26" s="1052">
        <v>20</v>
      </c>
      <c r="U26" s="1054">
        <v>20</v>
      </c>
      <c r="V26" s="1055">
        <v>20</v>
      </c>
    </row>
    <row r="27" spans="1:22" s="3" customFormat="1" ht="53.25" customHeight="1" x14ac:dyDescent="0.3">
      <c r="A27" s="1066"/>
      <c r="B27" s="18"/>
      <c r="C27" s="158"/>
      <c r="D27" s="408"/>
      <c r="E27" s="1064"/>
      <c r="F27" s="91"/>
      <c r="G27" s="1128"/>
      <c r="H27" s="21"/>
      <c r="I27" s="1096"/>
      <c r="J27" s="416" t="s">
        <v>28</v>
      </c>
      <c r="K27" s="407">
        <v>39272</v>
      </c>
      <c r="L27" s="417"/>
      <c r="M27" s="66">
        <v>31600</v>
      </c>
      <c r="N27" s="67">
        <f>M27</f>
        <v>31600</v>
      </c>
      <c r="O27" s="67">
        <v>24080</v>
      </c>
      <c r="P27" s="68"/>
      <c r="Q27" s="35">
        <f>M27</f>
        <v>31600</v>
      </c>
      <c r="R27" s="35">
        <f>N27</f>
        <v>31600</v>
      </c>
      <c r="S27" s="2580" t="s">
        <v>169</v>
      </c>
      <c r="T27" s="73">
        <v>12</v>
      </c>
      <c r="U27" s="47">
        <v>12</v>
      </c>
      <c r="V27" s="74">
        <v>12</v>
      </c>
    </row>
    <row r="28" spans="1:22" s="3" customFormat="1" ht="16.5" customHeight="1" x14ac:dyDescent="0.3">
      <c r="A28" s="1066"/>
      <c r="B28" s="18"/>
      <c r="C28" s="158"/>
      <c r="D28" s="408"/>
      <c r="E28" s="1064"/>
      <c r="F28" s="91"/>
      <c r="G28" s="1128"/>
      <c r="H28" s="21"/>
      <c r="I28" s="1096"/>
      <c r="J28" s="397" t="s">
        <v>36</v>
      </c>
      <c r="K28" s="397">
        <f>SUM(K21:K27)</f>
        <v>1561132</v>
      </c>
      <c r="L28" s="398">
        <f>SUM(L21)</f>
        <v>1561132</v>
      </c>
      <c r="M28" s="397">
        <f t="shared" ref="M28:R28" si="1">SUM(M21:M27)</f>
        <v>1934400</v>
      </c>
      <c r="N28" s="399">
        <f t="shared" si="1"/>
        <v>1934400</v>
      </c>
      <c r="O28" s="400">
        <f t="shared" si="1"/>
        <v>571205</v>
      </c>
      <c r="P28" s="398">
        <f t="shared" si="1"/>
        <v>0</v>
      </c>
      <c r="Q28" s="397">
        <f>SUM(Q21:Q27)</f>
        <v>1934400</v>
      </c>
      <c r="R28" s="397">
        <f t="shared" si="1"/>
        <v>1934400</v>
      </c>
      <c r="S28" s="3104"/>
      <c r="T28" s="20"/>
      <c r="U28" s="47"/>
      <c r="V28" s="48"/>
    </row>
    <row r="29" spans="1:22" s="3" customFormat="1" ht="27.75" customHeight="1" x14ac:dyDescent="0.3">
      <c r="A29" s="1066"/>
      <c r="B29" s="18"/>
      <c r="C29" s="158"/>
      <c r="D29" s="418" t="s">
        <v>54</v>
      </c>
      <c r="E29" s="2669" t="s">
        <v>39</v>
      </c>
      <c r="F29" s="402"/>
      <c r="G29" s="1138" t="s">
        <v>26</v>
      </c>
      <c r="H29" s="42" t="s">
        <v>27</v>
      </c>
      <c r="I29" s="3100" t="s">
        <v>161</v>
      </c>
      <c r="J29" s="43" t="s">
        <v>28</v>
      </c>
      <c r="K29" s="383">
        <v>171467</v>
      </c>
      <c r="L29" s="419">
        <v>171467</v>
      </c>
      <c r="M29" s="390">
        <v>177600</v>
      </c>
      <c r="N29" s="386">
        <f>M29</f>
        <v>177600</v>
      </c>
      <c r="O29" s="385">
        <v>135575</v>
      </c>
      <c r="P29" s="420"/>
      <c r="Q29" s="422">
        <f>M29</f>
        <v>177600</v>
      </c>
      <c r="R29" s="422">
        <f>Q29</f>
        <v>177600</v>
      </c>
      <c r="S29" s="2796" t="s">
        <v>40</v>
      </c>
      <c r="T29" s="3105">
        <v>23</v>
      </c>
      <c r="U29" s="3107">
        <v>23</v>
      </c>
      <c r="V29" s="3098">
        <v>23</v>
      </c>
    </row>
    <row r="30" spans="1:22" s="3" customFormat="1" ht="16.5" customHeight="1" x14ac:dyDescent="0.3">
      <c r="A30" s="1066"/>
      <c r="B30" s="18"/>
      <c r="C30" s="158"/>
      <c r="D30" s="423"/>
      <c r="E30" s="2712"/>
      <c r="F30" s="311"/>
      <c r="G30" s="1139"/>
      <c r="H30" s="49"/>
      <c r="I30" s="3101"/>
      <c r="J30" s="50" t="s">
        <v>36</v>
      </c>
      <c r="K30" s="424">
        <f>SUM(K29)</f>
        <v>171467</v>
      </c>
      <c r="L30" s="421">
        <f>SUM(L29)</f>
        <v>171467</v>
      </c>
      <c r="M30" s="424">
        <f>N30+P30</f>
        <v>177600</v>
      </c>
      <c r="N30" s="425">
        <f>+N29</f>
        <v>177600</v>
      </c>
      <c r="O30" s="426">
        <f>+O29</f>
        <v>135575</v>
      </c>
      <c r="P30" s="427"/>
      <c r="Q30" s="428">
        <f>+Q29</f>
        <v>177600</v>
      </c>
      <c r="R30" s="428">
        <f>+R29</f>
        <v>177600</v>
      </c>
      <c r="S30" s="2849"/>
      <c r="T30" s="3106"/>
      <c r="U30" s="3108"/>
      <c r="V30" s="3099"/>
    </row>
    <row r="31" spans="1:22" s="3" customFormat="1" ht="36.75" customHeight="1" x14ac:dyDescent="0.3">
      <c r="A31" s="1066"/>
      <c r="B31" s="18"/>
      <c r="C31" s="158"/>
      <c r="D31" s="408" t="s">
        <v>56</v>
      </c>
      <c r="E31" s="2680" t="s">
        <v>41</v>
      </c>
      <c r="F31" s="91"/>
      <c r="G31" s="1128" t="s">
        <v>26</v>
      </c>
      <c r="H31" s="21" t="s">
        <v>27</v>
      </c>
      <c r="I31" s="3100" t="s">
        <v>161</v>
      </c>
      <c r="J31" s="35" t="s">
        <v>28</v>
      </c>
      <c r="K31" s="407">
        <v>692974</v>
      </c>
      <c r="L31" s="1099">
        <v>568039</v>
      </c>
      <c r="M31" s="66">
        <v>589700</v>
      </c>
      <c r="N31" s="415">
        <f>M31</f>
        <v>589700</v>
      </c>
      <c r="O31" s="67"/>
      <c r="P31" s="429"/>
      <c r="Q31" s="35">
        <f>M31</f>
        <v>589700</v>
      </c>
      <c r="R31" s="35">
        <f>N31</f>
        <v>589700</v>
      </c>
      <c r="S31" s="2580" t="s">
        <v>42</v>
      </c>
      <c r="T31" s="52" t="s">
        <v>43</v>
      </c>
      <c r="U31" s="53" t="s">
        <v>43</v>
      </c>
      <c r="V31" s="54" t="s">
        <v>43</v>
      </c>
    </row>
    <row r="32" spans="1:22" s="3" customFormat="1" ht="16.5" customHeight="1" x14ac:dyDescent="0.3">
      <c r="A32" s="1066"/>
      <c r="B32" s="18"/>
      <c r="C32" s="158"/>
      <c r="D32" s="408"/>
      <c r="E32" s="2680"/>
      <c r="F32" s="91"/>
      <c r="G32" s="1128"/>
      <c r="H32" s="21"/>
      <c r="I32" s="3101"/>
      <c r="J32" s="36" t="s">
        <v>36</v>
      </c>
      <c r="K32" s="397">
        <f>K31</f>
        <v>692974</v>
      </c>
      <c r="L32" s="398">
        <f>SUM(L31)</f>
        <v>568039</v>
      </c>
      <c r="M32" s="401">
        <f t="shared" ref="M32:M48" si="2">N32+P32</f>
        <v>589700</v>
      </c>
      <c r="N32" s="430">
        <f>+N31</f>
        <v>589700</v>
      </c>
      <c r="O32" s="400"/>
      <c r="P32" s="431"/>
      <c r="Q32" s="401">
        <f>+Q31</f>
        <v>589700</v>
      </c>
      <c r="R32" s="401">
        <f>+R31</f>
        <v>589700</v>
      </c>
      <c r="S32" s="2580"/>
      <c r="T32" s="55" t="s">
        <v>44</v>
      </c>
      <c r="U32" s="56" t="s">
        <v>44</v>
      </c>
      <c r="V32" s="57" t="s">
        <v>44</v>
      </c>
    </row>
    <row r="33" spans="1:26" s="3" customFormat="1" ht="37.5" customHeight="1" x14ac:dyDescent="0.3">
      <c r="A33" s="3038"/>
      <c r="B33" s="2756"/>
      <c r="C33" s="1117"/>
      <c r="D33" s="432" t="s">
        <v>59</v>
      </c>
      <c r="E33" s="2679" t="s">
        <v>45</v>
      </c>
      <c r="F33" s="402"/>
      <c r="G33" s="59" t="s">
        <v>26</v>
      </c>
      <c r="H33" s="60">
        <v>3</v>
      </c>
      <c r="I33" s="3100" t="s">
        <v>162</v>
      </c>
      <c r="J33" s="1102" t="s">
        <v>31</v>
      </c>
      <c r="K33" s="383">
        <v>165112</v>
      </c>
      <c r="L33" s="419">
        <v>153440</v>
      </c>
      <c r="M33" s="121">
        <v>129200</v>
      </c>
      <c r="N33" s="1083">
        <f>M33</f>
        <v>129200</v>
      </c>
      <c r="O33" s="406"/>
      <c r="P33" s="433"/>
      <c r="Q33" s="43">
        <f>M33</f>
        <v>129200</v>
      </c>
      <c r="R33" s="43">
        <f>N33</f>
        <v>129200</v>
      </c>
      <c r="S33" s="1106" t="s">
        <v>271</v>
      </c>
      <c r="T33" s="30">
        <v>2100</v>
      </c>
      <c r="U33" s="1114">
        <v>2100</v>
      </c>
      <c r="V33" s="1116">
        <v>2100</v>
      </c>
    </row>
    <row r="34" spans="1:26" s="3" customFormat="1" ht="15" customHeight="1" x14ac:dyDescent="0.3">
      <c r="A34" s="3102"/>
      <c r="B34" s="3103"/>
      <c r="C34" s="908"/>
      <c r="D34" s="434"/>
      <c r="E34" s="3060"/>
      <c r="F34" s="311"/>
      <c r="G34" s="62"/>
      <c r="H34" s="63"/>
      <c r="I34" s="3101"/>
      <c r="J34" s="64" t="s">
        <v>36</v>
      </c>
      <c r="K34" s="424">
        <f>+K33</f>
        <v>165112</v>
      </c>
      <c r="L34" s="421">
        <f>+L33</f>
        <v>153440</v>
      </c>
      <c r="M34" s="424">
        <f>N34+P34</f>
        <v>129200</v>
      </c>
      <c r="N34" s="425">
        <f>+N33</f>
        <v>129200</v>
      </c>
      <c r="O34" s="435"/>
      <c r="P34" s="426"/>
      <c r="Q34" s="428">
        <f t="shared" ref="Q34:R34" si="3">+Q33</f>
        <v>129200</v>
      </c>
      <c r="R34" s="428">
        <f t="shared" si="3"/>
        <v>129200</v>
      </c>
      <c r="S34" s="436"/>
      <c r="T34" s="66"/>
      <c r="U34" s="67"/>
      <c r="V34" s="68"/>
    </row>
    <row r="35" spans="1:26" s="2" customFormat="1" ht="21.75" customHeight="1" x14ac:dyDescent="0.3">
      <c r="A35" s="3038"/>
      <c r="B35" s="2756"/>
      <c r="C35" s="1117"/>
      <c r="D35" s="437" t="s">
        <v>97</v>
      </c>
      <c r="E35" s="2680" t="s">
        <v>46</v>
      </c>
      <c r="F35" s="1000"/>
      <c r="G35" s="1128" t="s">
        <v>26</v>
      </c>
      <c r="H35" s="1070" t="s">
        <v>27</v>
      </c>
      <c r="I35" s="2979" t="s">
        <v>161</v>
      </c>
      <c r="J35" s="35" t="s">
        <v>103</v>
      </c>
      <c r="K35" s="407">
        <v>113010</v>
      </c>
      <c r="L35" s="1099">
        <v>113010</v>
      </c>
      <c r="M35" s="66"/>
      <c r="N35" s="67"/>
      <c r="O35" s="67"/>
      <c r="P35" s="68"/>
      <c r="Q35" s="438"/>
      <c r="R35" s="439"/>
      <c r="S35" s="2580" t="s">
        <v>47</v>
      </c>
      <c r="T35" s="320"/>
      <c r="U35" s="40"/>
      <c r="V35" s="84"/>
    </row>
    <row r="36" spans="1:26" s="2" customFormat="1" ht="21.75" customHeight="1" x14ac:dyDescent="0.3">
      <c r="A36" s="3038"/>
      <c r="B36" s="2756"/>
      <c r="C36" s="1117"/>
      <c r="D36" s="437"/>
      <c r="E36" s="2680"/>
      <c r="F36" s="954"/>
      <c r="G36" s="126"/>
      <c r="H36" s="957"/>
      <c r="I36" s="2979"/>
      <c r="J36" s="28" t="s">
        <v>28</v>
      </c>
      <c r="K36" s="413">
        <v>100730</v>
      </c>
      <c r="L36" s="1097">
        <v>100730</v>
      </c>
      <c r="M36" s="413">
        <v>102200</v>
      </c>
      <c r="N36" s="440">
        <f>M36</f>
        <v>102200</v>
      </c>
      <c r="O36" s="440">
        <v>73700</v>
      </c>
      <c r="P36" s="26"/>
      <c r="Q36" s="22">
        <f>M36</f>
        <v>102200</v>
      </c>
      <c r="R36" s="30">
        <f>N36</f>
        <v>102200</v>
      </c>
      <c r="S36" s="2849"/>
      <c r="T36" s="320">
        <v>50</v>
      </c>
      <c r="U36" s="40"/>
      <c r="V36" s="84"/>
    </row>
    <row r="37" spans="1:26" s="2" customFormat="1" ht="28.5" customHeight="1" x14ac:dyDescent="0.3">
      <c r="A37" s="1066"/>
      <c r="B37" s="1067"/>
      <c r="C37" s="1117"/>
      <c r="D37" s="437"/>
      <c r="E37" s="2680"/>
      <c r="F37" s="954"/>
      <c r="G37" s="126"/>
      <c r="H37" s="957"/>
      <c r="I37" s="441"/>
      <c r="J37" s="3"/>
      <c r="K37" s="407"/>
      <c r="L37" s="1099"/>
      <c r="M37" s="416"/>
      <c r="N37" s="67"/>
      <c r="O37" s="67"/>
      <c r="P37" s="68"/>
      <c r="Q37" s="35"/>
      <c r="R37" s="416"/>
      <c r="S37" s="1106" t="s">
        <v>170</v>
      </c>
      <c r="T37" s="1051">
        <v>25</v>
      </c>
      <c r="U37" s="1053"/>
      <c r="V37" s="26"/>
      <c r="Y37" s="3"/>
    </row>
    <row r="38" spans="1:26" s="2" customFormat="1" ht="26.25" customHeight="1" x14ac:dyDescent="0.3">
      <c r="A38" s="1066"/>
      <c r="B38" s="1067"/>
      <c r="C38" s="1117"/>
      <c r="D38" s="444"/>
      <c r="E38" s="2680"/>
      <c r="F38" s="954"/>
      <c r="G38" s="126"/>
      <c r="H38" s="957"/>
      <c r="I38" s="441"/>
      <c r="J38" s="43" t="s">
        <v>31</v>
      </c>
      <c r="K38" s="407"/>
      <c r="L38" s="1099">
        <v>15619</v>
      </c>
      <c r="M38" s="416">
        <f>N38</f>
        <v>16000</v>
      </c>
      <c r="N38" s="67">
        <v>16000</v>
      </c>
      <c r="O38" s="67">
        <v>12200</v>
      </c>
      <c r="P38" s="68"/>
      <c r="Q38" s="35"/>
      <c r="R38" s="121"/>
      <c r="S38" s="1088" t="s">
        <v>290</v>
      </c>
      <c r="T38" s="959">
        <v>11</v>
      </c>
      <c r="U38" s="1054"/>
      <c r="V38" s="68"/>
      <c r="Y38" s="3"/>
    </row>
    <row r="39" spans="1:26" s="2" customFormat="1" ht="14.25" customHeight="1" x14ac:dyDescent="0.3">
      <c r="A39" s="1066"/>
      <c r="B39" s="1067"/>
      <c r="C39" s="1117"/>
      <c r="D39" s="437"/>
      <c r="E39" s="31"/>
      <c r="F39" s="954"/>
      <c r="G39" s="126"/>
      <c r="H39" s="957"/>
      <c r="I39" s="441"/>
      <c r="J39" s="35" t="s">
        <v>28</v>
      </c>
      <c r="K39" s="407">
        <v>94764</v>
      </c>
      <c r="L39" s="1099">
        <v>94764</v>
      </c>
      <c r="M39" s="416">
        <v>94400</v>
      </c>
      <c r="N39" s="67">
        <f>M39</f>
        <v>94400</v>
      </c>
      <c r="O39" s="67">
        <v>72029</v>
      </c>
      <c r="P39" s="68"/>
      <c r="Q39" s="35"/>
      <c r="R39" s="39"/>
      <c r="S39" s="2580" t="s">
        <v>172</v>
      </c>
      <c r="T39" s="73">
        <v>25</v>
      </c>
      <c r="U39" s="47"/>
      <c r="V39" s="84"/>
      <c r="W39" s="167"/>
      <c r="Z39" s="3"/>
    </row>
    <row r="40" spans="1:26" s="2" customFormat="1" ht="14.25" customHeight="1" x14ac:dyDescent="0.3">
      <c r="A40" s="1066"/>
      <c r="B40" s="1067"/>
      <c r="C40" s="1117"/>
      <c r="D40" s="437"/>
      <c r="E40" s="31"/>
      <c r="F40" s="954"/>
      <c r="G40" s="126"/>
      <c r="H40" s="957"/>
      <c r="I40" s="441"/>
      <c r="J40" s="43" t="s">
        <v>31</v>
      </c>
      <c r="K40" s="409"/>
      <c r="L40" s="1098">
        <v>15238</v>
      </c>
      <c r="M40" s="39">
        <f>N40</f>
        <v>15600</v>
      </c>
      <c r="N40" s="1114">
        <v>15600</v>
      </c>
      <c r="O40" s="83">
        <v>11900</v>
      </c>
      <c r="P40" s="443"/>
      <c r="Q40" s="39"/>
      <c r="R40" s="121"/>
      <c r="S40" s="2580"/>
      <c r="T40" s="73"/>
      <c r="U40" s="47"/>
      <c r="V40" s="84"/>
      <c r="W40" s="3"/>
    </row>
    <row r="41" spans="1:26" s="2" customFormat="1" ht="14.25" customHeight="1" x14ac:dyDescent="0.3">
      <c r="A41" s="1066"/>
      <c r="B41" s="1067"/>
      <c r="C41" s="1117"/>
      <c r="D41" s="444"/>
      <c r="E41" s="169"/>
      <c r="F41" s="955"/>
      <c r="G41" s="956"/>
      <c r="H41" s="958"/>
      <c r="I41" s="31"/>
      <c r="J41" s="36" t="s">
        <v>36</v>
      </c>
      <c r="K41" s="397">
        <f>SUM(K35:K40)</f>
        <v>308504</v>
      </c>
      <c r="L41" s="398">
        <f>SUM(L35:L40)</f>
        <v>339361</v>
      </c>
      <c r="M41" s="397">
        <f>SUM(M35:M40)</f>
        <v>228200</v>
      </c>
      <c r="N41" s="399">
        <f>SUM(N35:N40)</f>
        <v>228200</v>
      </c>
      <c r="O41" s="399">
        <f>SUM(O35:O40)</f>
        <v>169829</v>
      </c>
      <c r="P41" s="430"/>
      <c r="Q41" s="401">
        <f>SUM(Q35:Q40)</f>
        <v>102200</v>
      </c>
      <c r="R41" s="397">
        <f>SUM(R35:R40)</f>
        <v>102200</v>
      </c>
      <c r="S41" s="3061" t="s">
        <v>171</v>
      </c>
      <c r="T41" s="3085">
        <v>11</v>
      </c>
      <c r="U41" s="3087"/>
      <c r="V41" s="3089"/>
    </row>
    <row r="42" spans="1:26" s="2" customFormat="1" ht="16.5" customHeight="1" thickBot="1" x14ac:dyDescent="0.35">
      <c r="A42" s="1066"/>
      <c r="B42" s="1067"/>
      <c r="C42" s="1117"/>
      <c r="D42" s="437"/>
      <c r="E42" s="445"/>
      <c r="F42" s="446"/>
      <c r="G42" s="447"/>
      <c r="H42" s="448"/>
      <c r="I42" s="3081" t="s">
        <v>49</v>
      </c>
      <c r="J42" s="3082"/>
      <c r="K42" s="943">
        <f>K41+K34+K32+K30+K28+K20</f>
        <v>10223664</v>
      </c>
      <c r="L42" s="449">
        <f>L41+L34+L32+L30+L28+L20</f>
        <v>9398906</v>
      </c>
      <c r="M42" s="943">
        <f t="shared" ref="M42:R42" si="4">M41+M34+M32+M30+M28+M20</f>
        <v>8528600</v>
      </c>
      <c r="N42" s="952">
        <f t="shared" si="4"/>
        <v>8528600</v>
      </c>
      <c r="O42" s="952">
        <f t="shared" si="4"/>
        <v>876609</v>
      </c>
      <c r="P42" s="944"/>
      <c r="Q42" s="450">
        <f>Q41+Q34+Q32+Q30+Q28+Q20</f>
        <v>8452700</v>
      </c>
      <c r="R42" s="450">
        <f t="shared" si="4"/>
        <v>8452800</v>
      </c>
      <c r="S42" s="2972"/>
      <c r="T42" s="3086"/>
      <c r="U42" s="3088"/>
      <c r="V42" s="3090"/>
      <c r="X42" s="3"/>
    </row>
    <row r="43" spans="1:26" s="3" customFormat="1" ht="51" customHeight="1" x14ac:dyDescent="0.3">
      <c r="A43" s="3068" t="s">
        <v>22</v>
      </c>
      <c r="B43" s="2755" t="s">
        <v>22</v>
      </c>
      <c r="C43" s="3093" t="s">
        <v>50</v>
      </c>
      <c r="D43" s="451"/>
      <c r="E43" s="2757" t="s">
        <v>51</v>
      </c>
      <c r="F43" s="3094"/>
      <c r="G43" s="3028" t="s">
        <v>26</v>
      </c>
      <c r="H43" s="3096" t="s">
        <v>27</v>
      </c>
      <c r="I43" s="3070" t="s">
        <v>162</v>
      </c>
      <c r="J43" s="13" t="s">
        <v>52</v>
      </c>
      <c r="K43" s="107">
        <v>10572000</v>
      </c>
      <c r="L43" s="376">
        <v>10572000</v>
      </c>
      <c r="M43" s="78">
        <v>11910900</v>
      </c>
      <c r="N43" s="452">
        <f>M43</f>
        <v>11910900</v>
      </c>
      <c r="O43" s="1072"/>
      <c r="P43" s="453"/>
      <c r="Q43" s="13">
        <f>M43</f>
        <v>11910900</v>
      </c>
      <c r="R43" s="13">
        <f>N43</f>
        <v>11910900</v>
      </c>
      <c r="S43" s="77" t="s">
        <v>53</v>
      </c>
      <c r="T43" s="78">
        <v>6460</v>
      </c>
      <c r="U43" s="1072">
        <v>6419</v>
      </c>
      <c r="V43" s="79">
        <v>6419</v>
      </c>
    </row>
    <row r="44" spans="1:26" s="3" customFormat="1" ht="16.5" customHeight="1" thickBot="1" x14ac:dyDescent="0.35">
      <c r="A44" s="3069"/>
      <c r="B44" s="2820"/>
      <c r="C44" s="2833"/>
      <c r="D44" s="454"/>
      <c r="E44" s="2758"/>
      <c r="F44" s="3095"/>
      <c r="G44" s="2968"/>
      <c r="H44" s="3097"/>
      <c r="I44" s="3071"/>
      <c r="J44" s="80" t="s">
        <v>36</v>
      </c>
      <c r="K44" s="455">
        <f>SUM(K43)</f>
        <v>10572000</v>
      </c>
      <c r="L44" s="456">
        <f>SUM(L43)</f>
        <v>10572000</v>
      </c>
      <c r="M44" s="457">
        <f t="shared" si="2"/>
        <v>11910900</v>
      </c>
      <c r="N44" s="458">
        <f>+N43</f>
        <v>11910900</v>
      </c>
      <c r="O44" s="459"/>
      <c r="P44" s="458"/>
      <c r="Q44" s="457">
        <f>+Q43</f>
        <v>11910900</v>
      </c>
      <c r="R44" s="80">
        <f>+R43</f>
        <v>11910900</v>
      </c>
      <c r="S44" s="82"/>
      <c r="T44" s="907"/>
      <c r="U44" s="1115"/>
      <c r="V44" s="97"/>
    </row>
    <row r="45" spans="1:26" s="3" customFormat="1" ht="19.5" customHeight="1" x14ac:dyDescent="0.3">
      <c r="A45" s="1056" t="s">
        <v>22</v>
      </c>
      <c r="B45" s="9" t="s">
        <v>22</v>
      </c>
      <c r="C45" s="1060" t="s">
        <v>54</v>
      </c>
      <c r="D45" s="451"/>
      <c r="E45" s="2757" t="s">
        <v>55</v>
      </c>
      <c r="F45" s="1062"/>
      <c r="G45" s="1108" t="s">
        <v>26</v>
      </c>
      <c r="H45" s="85" t="s">
        <v>27</v>
      </c>
      <c r="I45" s="3070" t="s">
        <v>263</v>
      </c>
      <c r="J45" s="1095" t="s">
        <v>52</v>
      </c>
      <c r="K45" s="460">
        <v>2601077</v>
      </c>
      <c r="L45" s="461">
        <v>2601077</v>
      </c>
      <c r="M45" s="334">
        <v>2305500</v>
      </c>
      <c r="N45" s="462">
        <f>M45</f>
        <v>2305500</v>
      </c>
      <c r="O45" s="16"/>
      <c r="P45" s="463"/>
      <c r="Q45" s="332">
        <f>M45</f>
        <v>2305500</v>
      </c>
      <c r="R45" s="332">
        <f>N45</f>
        <v>2305500</v>
      </c>
      <c r="S45" s="2828" t="s">
        <v>53</v>
      </c>
      <c r="T45" s="3072">
        <v>5015</v>
      </c>
      <c r="U45" s="3074">
        <v>5016</v>
      </c>
      <c r="V45" s="3076">
        <v>5017</v>
      </c>
    </row>
    <row r="46" spans="1:26" s="3" customFormat="1" ht="16.5" customHeight="1" thickBot="1" x14ac:dyDescent="0.35">
      <c r="A46" s="1057"/>
      <c r="B46" s="87"/>
      <c r="C46" s="1061"/>
      <c r="D46" s="454"/>
      <c r="E46" s="2758"/>
      <c r="F46" s="88"/>
      <c r="G46" s="1109"/>
      <c r="H46" s="1111"/>
      <c r="I46" s="3071"/>
      <c r="J46" s="80" t="s">
        <v>36</v>
      </c>
      <c r="K46" s="455">
        <f t="shared" ref="K46:L46" si="5">+K45</f>
        <v>2601077</v>
      </c>
      <c r="L46" s="456">
        <f t="shared" si="5"/>
        <v>2601077</v>
      </c>
      <c r="M46" s="457">
        <f t="shared" si="2"/>
        <v>2305500</v>
      </c>
      <c r="N46" s="458">
        <f>+N45</f>
        <v>2305500</v>
      </c>
      <c r="O46" s="459"/>
      <c r="P46" s="458"/>
      <c r="Q46" s="457">
        <f t="shared" ref="Q46:R46" si="6">+Q45</f>
        <v>2305500</v>
      </c>
      <c r="R46" s="457">
        <f t="shared" si="6"/>
        <v>2305500</v>
      </c>
      <c r="S46" s="2829"/>
      <c r="T46" s="3073"/>
      <c r="U46" s="3075"/>
      <c r="V46" s="3077"/>
    </row>
    <row r="47" spans="1:26" s="2" customFormat="1" ht="25.5" customHeight="1" x14ac:dyDescent="0.3">
      <c r="A47" s="3068" t="s">
        <v>22</v>
      </c>
      <c r="B47" s="2755" t="s">
        <v>22</v>
      </c>
      <c r="C47" s="2821" t="s">
        <v>56</v>
      </c>
      <c r="D47" s="464"/>
      <c r="E47" s="2757" t="s">
        <v>57</v>
      </c>
      <c r="F47" s="1062"/>
      <c r="G47" s="89">
        <v>10</v>
      </c>
      <c r="H47" s="1122" t="s">
        <v>27</v>
      </c>
      <c r="I47" s="3070" t="s">
        <v>162</v>
      </c>
      <c r="J47" s="90" t="s">
        <v>31</v>
      </c>
      <c r="K47" s="460">
        <v>154107</v>
      </c>
      <c r="L47" s="461">
        <v>151339</v>
      </c>
      <c r="M47" s="416">
        <v>146100</v>
      </c>
      <c r="N47" s="466">
        <f>M47</f>
        <v>146100</v>
      </c>
      <c r="O47" s="467"/>
      <c r="P47" s="463"/>
      <c r="Q47" s="468">
        <f>M47</f>
        <v>146100</v>
      </c>
      <c r="R47" s="468">
        <f>N47</f>
        <v>146100</v>
      </c>
      <c r="S47" s="3078" t="s">
        <v>58</v>
      </c>
      <c r="T47" s="3079">
        <v>154</v>
      </c>
      <c r="U47" s="3083">
        <v>155</v>
      </c>
      <c r="V47" s="3091">
        <v>156</v>
      </c>
    </row>
    <row r="48" spans="1:26" s="3" customFormat="1" ht="16.5" customHeight="1" thickBot="1" x14ac:dyDescent="0.35">
      <c r="A48" s="3038"/>
      <c r="B48" s="2756"/>
      <c r="C48" s="2822"/>
      <c r="D48" s="269"/>
      <c r="E48" s="2758"/>
      <c r="F48" s="91"/>
      <c r="G48" s="1128"/>
      <c r="H48" s="21"/>
      <c r="I48" s="3071"/>
      <c r="J48" s="80" t="s">
        <v>36</v>
      </c>
      <c r="K48" s="469">
        <f t="shared" ref="K48:L48" si="7">+K47</f>
        <v>154107</v>
      </c>
      <c r="L48" s="470">
        <f t="shared" si="7"/>
        <v>151339</v>
      </c>
      <c r="M48" s="455">
        <f t="shared" si="2"/>
        <v>146100</v>
      </c>
      <c r="N48" s="459">
        <f>+N47</f>
        <v>146100</v>
      </c>
      <c r="O48" s="471"/>
      <c r="P48" s="458"/>
      <c r="Q48" s="457">
        <f t="shared" ref="Q48:R48" si="8">+Q47</f>
        <v>146100</v>
      </c>
      <c r="R48" s="457">
        <f t="shared" si="8"/>
        <v>146100</v>
      </c>
      <c r="S48" s="2666"/>
      <c r="T48" s="3080"/>
      <c r="U48" s="3084"/>
      <c r="V48" s="3092"/>
    </row>
    <row r="49" spans="1:25" s="3" customFormat="1" ht="42.75" customHeight="1" x14ac:dyDescent="0.3">
      <c r="A49" s="3068" t="s">
        <v>22</v>
      </c>
      <c r="B49" s="2755" t="s">
        <v>22</v>
      </c>
      <c r="C49" s="1074" t="s">
        <v>59</v>
      </c>
      <c r="D49" s="472"/>
      <c r="E49" s="2757" t="s">
        <v>60</v>
      </c>
      <c r="F49" s="92"/>
      <c r="G49" s="89" t="s">
        <v>26</v>
      </c>
      <c r="H49" s="927">
        <v>3</v>
      </c>
      <c r="I49" s="3070" t="s">
        <v>162</v>
      </c>
      <c r="J49" s="1095" t="s">
        <v>31</v>
      </c>
      <c r="K49" s="473"/>
      <c r="L49" s="474"/>
      <c r="M49" s="15">
        <v>4100</v>
      </c>
      <c r="N49" s="16">
        <v>4100</v>
      </c>
      <c r="O49" s="475"/>
      <c r="P49" s="476"/>
      <c r="Q49" s="332">
        <v>5500</v>
      </c>
      <c r="R49" s="332">
        <v>6800</v>
      </c>
      <c r="S49" s="1126" t="s">
        <v>61</v>
      </c>
      <c r="T49" s="1076">
        <v>3</v>
      </c>
      <c r="U49" s="1072">
        <v>4</v>
      </c>
      <c r="V49" s="1073">
        <v>5</v>
      </c>
    </row>
    <row r="50" spans="1:25" s="3" customFormat="1" ht="15" customHeight="1" thickBot="1" x14ac:dyDescent="0.35">
      <c r="A50" s="3069"/>
      <c r="B50" s="2820"/>
      <c r="C50" s="1075"/>
      <c r="D50" s="477"/>
      <c r="E50" s="2758"/>
      <c r="F50" s="91"/>
      <c r="G50" s="93"/>
      <c r="H50" s="926"/>
      <c r="I50" s="3071"/>
      <c r="J50" s="94" t="s">
        <v>36</v>
      </c>
      <c r="K50" s="455"/>
      <c r="L50" s="456"/>
      <c r="M50" s="455">
        <f>N50+P50</f>
        <v>4100</v>
      </c>
      <c r="N50" s="459">
        <f>+N49</f>
        <v>4100</v>
      </c>
      <c r="O50" s="471"/>
      <c r="P50" s="478"/>
      <c r="Q50" s="401">
        <f t="shared" ref="Q50:R50" si="9">+Q49</f>
        <v>5500</v>
      </c>
      <c r="R50" s="401">
        <f t="shared" si="9"/>
        <v>6800</v>
      </c>
      <c r="S50" s="95"/>
      <c r="T50" s="96"/>
      <c r="U50" s="1115"/>
      <c r="V50" s="97"/>
    </row>
    <row r="51" spans="1:25" s="2" customFormat="1" ht="16.5" customHeight="1" thickBot="1" x14ac:dyDescent="0.35">
      <c r="A51" s="7" t="s">
        <v>22</v>
      </c>
      <c r="B51" s="8" t="s">
        <v>22</v>
      </c>
      <c r="C51" s="2825" t="s">
        <v>62</v>
      </c>
      <c r="D51" s="2825"/>
      <c r="E51" s="2826"/>
      <c r="F51" s="2826"/>
      <c r="G51" s="2826"/>
      <c r="H51" s="2826"/>
      <c r="I51" s="2827"/>
      <c r="J51" s="2827"/>
      <c r="K51" s="479">
        <f>K50+K48+K46+K44+K42</f>
        <v>23550848</v>
      </c>
      <c r="L51" s="480">
        <f>L50+L48+L46+L44+L42</f>
        <v>22723322</v>
      </c>
      <c r="M51" s="481">
        <f t="shared" ref="M51:R51" si="10">M50+M48+M46+M44+M42</f>
        <v>22895200</v>
      </c>
      <c r="N51" s="481">
        <f t="shared" si="10"/>
        <v>22895200</v>
      </c>
      <c r="O51" s="481">
        <f t="shared" si="10"/>
        <v>876609</v>
      </c>
      <c r="P51" s="481">
        <f t="shared" si="10"/>
        <v>0</v>
      </c>
      <c r="Q51" s="481">
        <f>Q50+Q48+Q46+Q44+Q42</f>
        <v>22820700</v>
      </c>
      <c r="R51" s="481">
        <f t="shared" si="10"/>
        <v>22822100</v>
      </c>
      <c r="S51" s="2672"/>
      <c r="T51" s="2673"/>
      <c r="U51" s="2673"/>
      <c r="V51" s="2674"/>
      <c r="Y51" s="3"/>
    </row>
    <row r="52" spans="1:25" s="2" customFormat="1" ht="16.5" customHeight="1" thickBot="1" x14ac:dyDescent="0.35">
      <c r="A52" s="99" t="s">
        <v>22</v>
      </c>
      <c r="B52" s="8" t="s">
        <v>50</v>
      </c>
      <c r="C52" s="2707" t="s">
        <v>63</v>
      </c>
      <c r="D52" s="2707"/>
      <c r="E52" s="2707"/>
      <c r="F52" s="2707"/>
      <c r="G52" s="2707"/>
      <c r="H52" s="2707"/>
      <c r="I52" s="2707"/>
      <c r="J52" s="2707"/>
      <c r="K52" s="2707"/>
      <c r="L52" s="2707"/>
      <c r="M52" s="2707"/>
      <c r="N52" s="2707"/>
      <c r="O52" s="2707"/>
      <c r="P52" s="2707"/>
      <c r="Q52" s="2707"/>
      <c r="R52" s="2707"/>
      <c r="S52" s="2707"/>
      <c r="T52" s="2707"/>
      <c r="U52" s="2707"/>
      <c r="V52" s="2708"/>
    </row>
    <row r="53" spans="1:25" s="3" customFormat="1" ht="27" customHeight="1" x14ac:dyDescent="0.3">
      <c r="A53" s="1056" t="s">
        <v>22</v>
      </c>
      <c r="B53" s="1058" t="s">
        <v>50</v>
      </c>
      <c r="C53" s="1080" t="s">
        <v>22</v>
      </c>
      <c r="D53" s="482"/>
      <c r="E53" s="101" t="s">
        <v>64</v>
      </c>
      <c r="F53" s="102"/>
      <c r="G53" s="103" t="s">
        <v>26</v>
      </c>
      <c r="H53" s="1122">
        <v>3</v>
      </c>
      <c r="I53" s="1123" t="s">
        <v>161</v>
      </c>
      <c r="J53" s="483"/>
      <c r="K53" s="484"/>
      <c r="L53" s="485"/>
      <c r="M53" s="486"/>
      <c r="N53" s="487"/>
      <c r="O53" s="487"/>
      <c r="P53" s="483"/>
      <c r="Q53" s="484"/>
      <c r="R53" s="484"/>
      <c r="S53" s="222"/>
      <c r="T53" s="488"/>
      <c r="U53" s="489"/>
      <c r="V53" s="490"/>
    </row>
    <row r="54" spans="1:25" s="3" customFormat="1" ht="16.5" customHeight="1" x14ac:dyDescent="0.3">
      <c r="A54" s="1066"/>
      <c r="B54" s="1067"/>
      <c r="C54" s="1117"/>
      <c r="D54" s="3062" t="s">
        <v>22</v>
      </c>
      <c r="E54" s="31" t="s">
        <v>173</v>
      </c>
      <c r="F54" s="110"/>
      <c r="G54" s="1128"/>
      <c r="H54" s="111"/>
      <c r="I54" s="1112"/>
      <c r="J54" s="491" t="s">
        <v>31</v>
      </c>
      <c r="K54" s="407">
        <v>292111</v>
      </c>
      <c r="L54" s="492">
        <v>2672287</v>
      </c>
      <c r="M54" s="493">
        <f>N54</f>
        <v>267700</v>
      </c>
      <c r="N54" s="494">
        <v>267700</v>
      </c>
      <c r="O54" s="494">
        <v>203900</v>
      </c>
      <c r="P54" s="68"/>
      <c r="Q54" s="1121">
        <v>243200</v>
      </c>
      <c r="R54" s="1121">
        <v>243200</v>
      </c>
      <c r="S54" s="436" t="s">
        <v>174</v>
      </c>
      <c r="T54" s="66">
        <v>82</v>
      </c>
      <c r="U54" s="67">
        <v>82</v>
      </c>
      <c r="V54" s="68">
        <v>82</v>
      </c>
      <c r="W54" s="495"/>
    </row>
    <row r="55" spans="1:25" s="3" customFormat="1" ht="16.5" customHeight="1" x14ac:dyDescent="0.3">
      <c r="A55" s="1066"/>
      <c r="B55" s="1067"/>
      <c r="C55" s="1117"/>
      <c r="D55" s="3062"/>
      <c r="E55" s="31"/>
      <c r="F55" s="110"/>
      <c r="G55" s="1128"/>
      <c r="H55" s="926"/>
      <c r="I55" s="298"/>
      <c r="J55" s="443" t="s">
        <v>68</v>
      </c>
      <c r="K55" s="409">
        <v>260282</v>
      </c>
      <c r="L55" s="496">
        <v>544193</v>
      </c>
      <c r="M55" s="39">
        <v>292000</v>
      </c>
      <c r="N55" s="40">
        <v>288200</v>
      </c>
      <c r="O55" s="40">
        <v>52700</v>
      </c>
      <c r="P55" s="41">
        <v>3800</v>
      </c>
      <c r="Q55" s="1120">
        <f>M55</f>
        <v>292000</v>
      </c>
      <c r="R55" s="1120">
        <f>M55</f>
        <v>292000</v>
      </c>
      <c r="S55" s="436" t="s">
        <v>175</v>
      </c>
      <c r="T55" s="66">
        <v>59.5</v>
      </c>
      <c r="U55" s="1083">
        <v>59.5</v>
      </c>
      <c r="V55" s="1085">
        <v>59.5</v>
      </c>
      <c r="W55" s="495"/>
    </row>
    <row r="56" spans="1:25" s="3" customFormat="1" ht="27.75" customHeight="1" x14ac:dyDescent="0.3">
      <c r="A56" s="1066"/>
      <c r="B56" s="1067"/>
      <c r="C56" s="1117"/>
      <c r="D56" s="3062"/>
      <c r="E56" s="31"/>
      <c r="F56" s="110"/>
      <c r="G56" s="1128"/>
      <c r="H56" s="926"/>
      <c r="I56" s="1112"/>
      <c r="J56" s="497" t="s">
        <v>28</v>
      </c>
      <c r="K56" s="383"/>
      <c r="L56" s="498">
        <f>456353+8375</f>
        <v>464728</v>
      </c>
      <c r="M56" s="121"/>
      <c r="N56" s="1083"/>
      <c r="O56" s="1083"/>
      <c r="P56" s="497"/>
      <c r="Q56" s="271"/>
      <c r="R56" s="256"/>
      <c r="S56" s="95" t="s">
        <v>291</v>
      </c>
      <c r="T56" s="320">
        <v>3</v>
      </c>
      <c r="U56" s="67"/>
      <c r="V56" s="68"/>
    </row>
    <row r="57" spans="1:25" s="3" customFormat="1" ht="16.5" customHeight="1" x14ac:dyDescent="0.3">
      <c r="A57" s="1066"/>
      <c r="B57" s="1067"/>
      <c r="C57" s="1117"/>
      <c r="D57" s="3062"/>
      <c r="E57" s="31"/>
      <c r="F57" s="110"/>
      <c r="G57" s="1128"/>
      <c r="H57" s="926"/>
      <c r="I57" s="1112"/>
      <c r="J57" s="415" t="s">
        <v>52</v>
      </c>
      <c r="K57" s="407"/>
      <c r="L57" s="496">
        <v>197231</v>
      </c>
      <c r="M57" s="39"/>
      <c r="N57" s="40"/>
      <c r="O57" s="40"/>
      <c r="P57" s="41"/>
      <c r="Q57" s="1120"/>
      <c r="R57" s="245"/>
      <c r="S57" s="162" t="s">
        <v>177</v>
      </c>
      <c r="T57" s="1082">
        <v>1</v>
      </c>
      <c r="U57" s="67"/>
      <c r="V57" s="68"/>
    </row>
    <row r="58" spans="1:25" s="3" customFormat="1" ht="16.5" customHeight="1" x14ac:dyDescent="0.3">
      <c r="A58" s="1066"/>
      <c r="B58" s="1067"/>
      <c r="C58" s="1117"/>
      <c r="D58" s="3062"/>
      <c r="E58" s="31"/>
      <c r="F58" s="110"/>
      <c r="G58" s="1128"/>
      <c r="H58" s="926"/>
      <c r="I58" s="1112"/>
      <c r="J58" s="415" t="s">
        <v>71</v>
      </c>
      <c r="K58" s="407"/>
      <c r="L58" s="498">
        <v>25516</v>
      </c>
      <c r="M58" s="121"/>
      <c r="N58" s="1083"/>
      <c r="O58" s="1083"/>
      <c r="P58" s="122"/>
      <c r="Q58" s="271"/>
      <c r="R58" s="256"/>
      <c r="S58" s="113"/>
      <c r="T58" s="320"/>
      <c r="U58" s="67"/>
      <c r="V58" s="68"/>
    </row>
    <row r="59" spans="1:25" s="3" customFormat="1" ht="16.5" customHeight="1" x14ac:dyDescent="0.3">
      <c r="A59" s="1066"/>
      <c r="B59" s="1067"/>
      <c r="C59" s="1117"/>
      <c r="D59" s="3062"/>
      <c r="E59" s="31"/>
      <c r="F59" s="110"/>
      <c r="G59" s="1128"/>
      <c r="H59" s="926"/>
      <c r="I59" s="1112"/>
      <c r="J59" s="415" t="s">
        <v>176</v>
      </c>
      <c r="K59" s="407"/>
      <c r="L59" s="496">
        <v>5263</v>
      </c>
      <c r="M59" s="39"/>
      <c r="N59" s="40"/>
      <c r="O59" s="40"/>
      <c r="P59" s="41"/>
      <c r="Q59" s="1120"/>
      <c r="R59" s="245"/>
      <c r="S59" s="65"/>
      <c r="T59" s="1082"/>
      <c r="U59" s="67"/>
      <c r="V59" s="68"/>
    </row>
    <row r="60" spans="1:25" s="3" customFormat="1" ht="16.5" customHeight="1" x14ac:dyDescent="0.3">
      <c r="A60" s="1066"/>
      <c r="B60" s="1067"/>
      <c r="C60" s="499"/>
      <c r="D60" s="3062"/>
      <c r="E60" s="500"/>
      <c r="F60" s="501"/>
      <c r="G60" s="255"/>
      <c r="H60" s="502"/>
      <c r="I60" s="1127"/>
      <c r="J60" s="491" t="s">
        <v>178</v>
      </c>
      <c r="K60" s="407">
        <v>16512</v>
      </c>
      <c r="L60" s="1097">
        <v>52926</v>
      </c>
      <c r="M60" s="121"/>
      <c r="N60" s="1083"/>
      <c r="O60" s="1083"/>
      <c r="P60" s="1085"/>
      <c r="Q60" s="271"/>
      <c r="R60" s="256"/>
      <c r="T60" s="167"/>
      <c r="U60" s="504"/>
      <c r="V60" s="72"/>
    </row>
    <row r="61" spans="1:25" s="3" customFormat="1" ht="16.5" customHeight="1" x14ac:dyDescent="0.3">
      <c r="A61" s="1104"/>
      <c r="B61" s="1105"/>
      <c r="C61" s="908"/>
      <c r="D61" s="3063"/>
      <c r="E61" s="988"/>
      <c r="F61" s="311"/>
      <c r="G61" s="62"/>
      <c r="H61" s="989"/>
      <c r="I61" s="990"/>
      <c r="J61" s="261" t="s">
        <v>36</v>
      </c>
      <c r="K61" s="424">
        <f>SUM(K54:K60)</f>
        <v>568905</v>
      </c>
      <c r="L61" s="417"/>
      <c r="M61" s="424">
        <f t="shared" ref="M61:R61" si="11">SUM(M54:M60)</f>
        <v>559700</v>
      </c>
      <c r="N61" s="425">
        <f t="shared" si="11"/>
        <v>555900</v>
      </c>
      <c r="O61" s="425">
        <f t="shared" si="11"/>
        <v>256600</v>
      </c>
      <c r="P61" s="435">
        <f t="shared" si="11"/>
        <v>3800</v>
      </c>
      <c r="Q61" s="428">
        <f t="shared" si="11"/>
        <v>535200</v>
      </c>
      <c r="R61" s="428">
        <f t="shared" si="11"/>
        <v>535200</v>
      </c>
      <c r="S61" s="436"/>
      <c r="T61" s="66"/>
      <c r="U61" s="67"/>
      <c r="V61" s="68"/>
    </row>
    <row r="62" spans="1:25" s="3" customFormat="1" ht="91.5" customHeight="1" x14ac:dyDescent="0.3">
      <c r="A62" s="1066"/>
      <c r="B62" s="1067"/>
      <c r="C62" s="1117"/>
      <c r="D62" s="1118" t="s">
        <v>50</v>
      </c>
      <c r="E62" s="31" t="s">
        <v>179</v>
      </c>
      <c r="F62" s="110"/>
      <c r="G62" s="1128"/>
      <c r="H62" s="926"/>
      <c r="I62" s="508"/>
      <c r="J62" s="28" t="s">
        <v>31</v>
      </c>
      <c r="K62" s="339">
        <v>535421</v>
      </c>
      <c r="L62" s="405"/>
      <c r="M62" s="982">
        <v>593700</v>
      </c>
      <c r="N62" s="983">
        <v>586800</v>
      </c>
      <c r="O62" s="983">
        <v>387300</v>
      </c>
      <c r="P62" s="984">
        <v>6900</v>
      </c>
      <c r="Q62" s="1096">
        <v>593700</v>
      </c>
      <c r="R62" s="48">
        <v>593700</v>
      </c>
      <c r="S62" s="985" t="s">
        <v>292</v>
      </c>
      <c r="T62" s="986" t="s">
        <v>180</v>
      </c>
      <c r="U62" s="986" t="s">
        <v>181</v>
      </c>
      <c r="V62" s="987" t="s">
        <v>181</v>
      </c>
    </row>
    <row r="63" spans="1:25" s="3" customFormat="1" ht="30" customHeight="1" x14ac:dyDescent="0.3">
      <c r="A63" s="1066"/>
      <c r="B63" s="1067"/>
      <c r="C63" s="1117"/>
      <c r="D63" s="1118"/>
      <c r="E63" s="31"/>
      <c r="F63" s="110"/>
      <c r="G63" s="1128"/>
      <c r="H63" s="926"/>
      <c r="I63" s="508"/>
      <c r="J63" s="491"/>
      <c r="K63" s="407"/>
      <c r="L63" s="405"/>
      <c r="M63" s="510"/>
      <c r="N63" s="275"/>
      <c r="O63" s="275"/>
      <c r="P63" s="511"/>
      <c r="Q63" s="1121"/>
      <c r="R63" s="1079"/>
      <c r="S63" s="514" t="s">
        <v>182</v>
      </c>
      <c r="T63" s="1082">
        <v>5</v>
      </c>
      <c r="U63" s="386">
        <v>5</v>
      </c>
      <c r="V63" s="68">
        <v>5</v>
      </c>
    </row>
    <row r="64" spans="1:25" s="3" customFormat="1" ht="28.5" customHeight="1" x14ac:dyDescent="0.3">
      <c r="A64" s="1066"/>
      <c r="B64" s="1067"/>
      <c r="C64" s="1117"/>
      <c r="D64" s="1118"/>
      <c r="E64" s="31"/>
      <c r="F64" s="991"/>
      <c r="G64" s="1128"/>
      <c r="H64" s="926"/>
      <c r="I64" s="508"/>
      <c r="J64" s="491" t="s">
        <v>68</v>
      </c>
      <c r="K64" s="409">
        <v>60965</v>
      </c>
      <c r="L64" s="405"/>
      <c r="M64" s="339">
        <f>72490+10</f>
        <v>72500</v>
      </c>
      <c r="N64" s="340">
        <f>M64</f>
        <v>72500</v>
      </c>
      <c r="O64" s="40">
        <v>26600</v>
      </c>
      <c r="P64" s="84"/>
      <c r="Q64" s="1096">
        <f>M64</f>
        <v>72500</v>
      </c>
      <c r="R64" s="48">
        <f>Q64</f>
        <v>72500</v>
      </c>
      <c r="S64" s="1090" t="s">
        <v>183</v>
      </c>
      <c r="T64" s="20">
        <v>180</v>
      </c>
      <c r="U64" s="47">
        <v>180</v>
      </c>
      <c r="V64" s="48">
        <v>180</v>
      </c>
    </row>
    <row r="65" spans="1:22" s="3" customFormat="1" ht="16.5" customHeight="1" x14ac:dyDescent="0.3">
      <c r="A65" s="1066"/>
      <c r="B65" s="1067"/>
      <c r="C65" s="1117"/>
      <c r="D65" s="1118"/>
      <c r="E65" s="31"/>
      <c r="F65" s="110"/>
      <c r="G65" s="1128"/>
      <c r="H65" s="926"/>
      <c r="I65" s="508"/>
      <c r="J65" s="122" t="s">
        <v>178</v>
      </c>
      <c r="K65" s="413">
        <v>4144</v>
      </c>
      <c r="L65" s="405"/>
      <c r="M65" s="320"/>
      <c r="N65" s="40"/>
      <c r="O65" s="40"/>
      <c r="P65" s="84"/>
      <c r="Q65" s="1096"/>
      <c r="R65" s="48"/>
      <c r="S65" s="928"/>
      <c r="T65" s="66"/>
      <c r="U65" s="40"/>
      <c r="V65" s="84"/>
    </row>
    <row r="66" spans="1:22" s="3" customFormat="1" ht="27.75" customHeight="1" x14ac:dyDescent="0.3">
      <c r="A66" s="1066"/>
      <c r="B66" s="1067"/>
      <c r="C66" s="1117"/>
      <c r="D66" s="1118"/>
      <c r="E66" s="31"/>
      <c r="F66" s="110"/>
      <c r="G66" s="1128"/>
      <c r="H66" s="926"/>
      <c r="I66" s="508"/>
      <c r="J66" s="48" t="s">
        <v>52</v>
      </c>
      <c r="K66" s="383">
        <v>34754</v>
      </c>
      <c r="L66" s="405"/>
      <c r="M66" s="384">
        <v>35500</v>
      </c>
      <c r="N66" s="1083">
        <v>25000</v>
      </c>
      <c r="O66" s="1083"/>
      <c r="P66" s="516">
        <v>10500</v>
      </c>
      <c r="Q66" s="513">
        <f>M66</f>
        <v>35500</v>
      </c>
      <c r="R66" s="517">
        <f>N66</f>
        <v>25000</v>
      </c>
      <c r="S66" s="65" t="s">
        <v>72</v>
      </c>
      <c r="T66" s="1052" t="s">
        <v>73</v>
      </c>
      <c r="U66" s="164" t="s">
        <v>73</v>
      </c>
      <c r="V66" s="412" t="s">
        <v>73</v>
      </c>
    </row>
    <row r="67" spans="1:22" s="3" customFormat="1" ht="24" customHeight="1" x14ac:dyDescent="0.3">
      <c r="A67" s="1066"/>
      <c r="B67" s="1067"/>
      <c r="C67" s="1117"/>
      <c r="D67" s="1118"/>
      <c r="E67" s="2680"/>
      <c r="F67" s="110"/>
      <c r="G67" s="1128"/>
      <c r="H67" s="926"/>
      <c r="I67" s="1044"/>
      <c r="J67" s="1078" t="s">
        <v>71</v>
      </c>
      <c r="K67" s="413">
        <v>1158</v>
      </c>
      <c r="L67" s="405"/>
      <c r="M67" s="515">
        <v>1500</v>
      </c>
      <c r="N67" s="440">
        <v>1500</v>
      </c>
      <c r="O67" s="440"/>
      <c r="P67" s="26"/>
      <c r="Q67" s="1102">
        <v>1600</v>
      </c>
      <c r="R67" s="1078">
        <v>1600</v>
      </c>
      <c r="S67" s="3064" t="s">
        <v>280</v>
      </c>
      <c r="T67" s="1113">
        <v>450</v>
      </c>
      <c r="U67" s="118" t="s">
        <v>75</v>
      </c>
      <c r="V67" s="518" t="s">
        <v>75</v>
      </c>
    </row>
    <row r="68" spans="1:22" s="3" customFormat="1" ht="16.5" customHeight="1" x14ac:dyDescent="0.3">
      <c r="A68" s="1066"/>
      <c r="B68" s="1067"/>
      <c r="C68" s="1117"/>
      <c r="D68" s="1119"/>
      <c r="E68" s="3060"/>
      <c r="F68" s="20"/>
      <c r="G68" s="124"/>
      <c r="H68" s="926"/>
      <c r="I68" s="1044"/>
      <c r="J68" s="724" t="s">
        <v>36</v>
      </c>
      <c r="K68" s="424">
        <f>SUM(K62:K67)</f>
        <v>636442</v>
      </c>
      <c r="L68" s="417"/>
      <c r="M68" s="424">
        <f t="shared" ref="M68:R68" si="12">SUM(M62:M67)</f>
        <v>703200</v>
      </c>
      <c r="N68" s="425">
        <f t="shared" si="12"/>
        <v>685800</v>
      </c>
      <c r="O68" s="425">
        <f t="shared" si="12"/>
        <v>413900</v>
      </c>
      <c r="P68" s="435">
        <f t="shared" si="12"/>
        <v>17400</v>
      </c>
      <c r="Q68" s="36">
        <f t="shared" si="12"/>
        <v>703300</v>
      </c>
      <c r="R68" s="435">
        <f t="shared" si="12"/>
        <v>692800</v>
      </c>
      <c r="S68" s="3065"/>
      <c r="T68" s="416"/>
      <c r="U68" s="67"/>
      <c r="V68" s="68"/>
    </row>
    <row r="69" spans="1:22" s="3" customFormat="1" ht="57.75" customHeight="1" x14ac:dyDescent="0.3">
      <c r="A69" s="1066"/>
      <c r="B69" s="1067"/>
      <c r="C69" s="1117"/>
      <c r="D69" s="520" t="s">
        <v>54</v>
      </c>
      <c r="E69" s="31" t="s">
        <v>170</v>
      </c>
      <c r="F69" s="110"/>
      <c r="G69" s="1128"/>
      <c r="H69" s="926"/>
      <c r="I69" s="1044"/>
      <c r="J69" s="41" t="s">
        <v>31</v>
      </c>
      <c r="K69" s="409">
        <v>320523</v>
      </c>
      <c r="L69" s="405"/>
      <c r="M69" s="339">
        <v>372500</v>
      </c>
      <c r="N69" s="340">
        <v>364500</v>
      </c>
      <c r="O69" s="945">
        <v>253300</v>
      </c>
      <c r="P69" s="84">
        <v>8000</v>
      </c>
      <c r="Q69" s="229">
        <v>354700</v>
      </c>
      <c r="R69" s="229">
        <v>354700</v>
      </c>
      <c r="S69" s="1088" t="s">
        <v>293</v>
      </c>
      <c r="T69" s="52" t="s">
        <v>184</v>
      </c>
      <c r="U69" s="53" t="s">
        <v>184</v>
      </c>
      <c r="V69" s="54" t="s">
        <v>184</v>
      </c>
    </row>
    <row r="70" spans="1:22" s="3" customFormat="1" ht="30.75" customHeight="1" x14ac:dyDescent="0.3">
      <c r="A70" s="1066"/>
      <c r="B70" s="1067"/>
      <c r="C70" s="1117"/>
      <c r="D70" s="520"/>
      <c r="E70" s="31"/>
      <c r="F70" s="110"/>
      <c r="G70" s="1128"/>
      <c r="H70" s="926"/>
      <c r="I70" s="1044"/>
      <c r="J70" s="28"/>
      <c r="K70" s="339"/>
      <c r="L70" s="405"/>
      <c r="M70" s="409"/>
      <c r="N70" s="340"/>
      <c r="O70" s="340"/>
      <c r="P70" s="84"/>
      <c r="Q70" s="244"/>
      <c r="R70" s="1120"/>
      <c r="S70" s="266" t="s">
        <v>185</v>
      </c>
      <c r="T70" s="523" t="s">
        <v>186</v>
      </c>
      <c r="U70" s="524" t="s">
        <v>186</v>
      </c>
      <c r="V70" s="525" t="s">
        <v>186</v>
      </c>
    </row>
    <row r="71" spans="1:22" s="3" customFormat="1" ht="15.75" customHeight="1" x14ac:dyDescent="0.3">
      <c r="A71" s="1066"/>
      <c r="B71" s="1067"/>
      <c r="C71" s="1117"/>
      <c r="D71" s="520"/>
      <c r="E71" s="31"/>
      <c r="F71" s="110"/>
      <c r="G71" s="1128"/>
      <c r="H71" s="926"/>
      <c r="I71" s="1044"/>
      <c r="J71" s="28"/>
      <c r="K71" s="339"/>
      <c r="L71" s="405"/>
      <c r="M71" s="339"/>
      <c r="N71" s="340"/>
      <c r="O71" s="340"/>
      <c r="P71" s="84"/>
      <c r="Q71" s="244"/>
      <c r="R71" s="1120"/>
      <c r="S71" s="529" t="s">
        <v>187</v>
      </c>
      <c r="T71" s="530">
        <v>130</v>
      </c>
      <c r="U71" s="1083"/>
      <c r="V71" s="1085"/>
    </row>
    <row r="72" spans="1:22" s="3" customFormat="1" ht="29.25" customHeight="1" x14ac:dyDescent="0.3">
      <c r="A72" s="1066"/>
      <c r="B72" s="1067"/>
      <c r="C72" s="1117"/>
      <c r="D72" s="520"/>
      <c r="E72" s="31"/>
      <c r="F72" s="110"/>
      <c r="G72" s="1128"/>
      <c r="H72" s="926"/>
      <c r="I72" s="1044"/>
      <c r="J72" s="41"/>
      <c r="K72" s="409"/>
      <c r="L72" s="405"/>
      <c r="M72" s="409"/>
      <c r="N72" s="340"/>
      <c r="O72" s="340"/>
      <c r="P72" s="84"/>
      <c r="Q72" s="244"/>
      <c r="R72" s="1120"/>
      <c r="S72" s="162" t="s">
        <v>188</v>
      </c>
      <c r="T72" s="1082">
        <v>1</v>
      </c>
      <c r="U72" s="1083"/>
      <c r="V72" s="1085"/>
    </row>
    <row r="73" spans="1:22" s="3" customFormat="1" ht="25.5" customHeight="1" x14ac:dyDescent="0.3">
      <c r="A73" s="1066"/>
      <c r="B73" s="1067"/>
      <c r="C73" s="1117"/>
      <c r="D73" s="520"/>
      <c r="E73" s="31"/>
      <c r="F73" s="110"/>
      <c r="G73" s="1128"/>
      <c r="H73" s="926"/>
      <c r="I73" s="1044"/>
      <c r="J73" s="122" t="s">
        <v>176</v>
      </c>
      <c r="K73" s="383">
        <v>2280</v>
      </c>
      <c r="L73" s="405"/>
      <c r="M73" s="416"/>
      <c r="N73" s="67"/>
      <c r="O73" s="67"/>
      <c r="P73" s="415"/>
      <c r="Q73" s="416"/>
      <c r="R73" s="416"/>
      <c r="S73" s="266" t="s">
        <v>189</v>
      </c>
      <c r="T73" s="530">
        <v>33.6</v>
      </c>
      <c r="U73" s="40"/>
      <c r="V73" s="84"/>
    </row>
    <row r="74" spans="1:22" s="3" customFormat="1" ht="14.25" customHeight="1" x14ac:dyDescent="0.3">
      <c r="A74" s="1066"/>
      <c r="B74" s="1067"/>
      <c r="C74" s="1117"/>
      <c r="D74" s="520"/>
      <c r="E74" s="31"/>
      <c r="F74" s="110"/>
      <c r="G74" s="1128"/>
      <c r="H74" s="926"/>
      <c r="I74" s="1044"/>
      <c r="J74" s="41" t="s">
        <v>68</v>
      </c>
      <c r="K74" s="409">
        <v>82513</v>
      </c>
      <c r="L74" s="405"/>
      <c r="M74" s="946">
        <v>95400</v>
      </c>
      <c r="N74" s="947">
        <v>92700</v>
      </c>
      <c r="O74" s="948">
        <v>7800</v>
      </c>
      <c r="P74" s="41">
        <v>2700</v>
      </c>
      <c r="Q74" s="244">
        <v>89100</v>
      </c>
      <c r="R74" s="244">
        <v>89100</v>
      </c>
      <c r="S74" s="1089" t="s">
        <v>190</v>
      </c>
      <c r="T74" s="533">
        <v>1</v>
      </c>
      <c r="U74" s="1083"/>
      <c r="V74" s="1085"/>
    </row>
    <row r="75" spans="1:22" s="3" customFormat="1" ht="30.75" customHeight="1" x14ac:dyDescent="0.3">
      <c r="A75" s="1066"/>
      <c r="B75" s="1067"/>
      <c r="C75" s="1117"/>
      <c r="D75" s="520"/>
      <c r="E75" s="31"/>
      <c r="F75" s="110"/>
      <c r="G75" s="1128"/>
      <c r="H75" s="926"/>
      <c r="I75" s="1044"/>
      <c r="J75" s="122" t="s">
        <v>178</v>
      </c>
      <c r="K75" s="383">
        <v>8210</v>
      </c>
      <c r="L75" s="405"/>
      <c r="M75" s="383"/>
      <c r="N75" s="391"/>
      <c r="O75" s="949"/>
      <c r="P75" s="122"/>
      <c r="Q75" s="528"/>
      <c r="R75" s="528"/>
      <c r="S75" s="266" t="s">
        <v>191</v>
      </c>
      <c r="T75" s="530">
        <v>1</v>
      </c>
      <c r="U75" s="1083"/>
      <c r="V75" s="1085"/>
    </row>
    <row r="76" spans="1:22" s="3" customFormat="1" ht="14.25" customHeight="1" x14ac:dyDescent="0.3">
      <c r="A76" s="1066"/>
      <c r="B76" s="1067"/>
      <c r="C76" s="1117"/>
      <c r="D76" s="520"/>
      <c r="E76" s="31"/>
      <c r="F76" s="110"/>
      <c r="G76" s="1128"/>
      <c r="H76" s="926"/>
      <c r="I76" s="1044"/>
      <c r="J76" s="122" t="s">
        <v>178</v>
      </c>
      <c r="K76" s="383">
        <v>8210</v>
      </c>
      <c r="L76" s="405"/>
      <c r="M76" s="320"/>
      <c r="N76" s="83"/>
      <c r="O76" s="83"/>
      <c r="P76" s="41"/>
      <c r="Q76" s="244"/>
      <c r="R76" s="244"/>
      <c r="S76" s="1087" t="s">
        <v>192</v>
      </c>
      <c r="T76" s="534">
        <v>1</v>
      </c>
      <c r="U76" s="40"/>
      <c r="V76" s="84"/>
    </row>
    <row r="77" spans="1:22" s="3" customFormat="1" ht="14.25" customHeight="1" thickBot="1" x14ac:dyDescent="0.35">
      <c r="A77" s="1066"/>
      <c r="B77" s="1067"/>
      <c r="C77" s="1117"/>
      <c r="D77" s="520"/>
      <c r="E77" s="31"/>
      <c r="F77" s="91"/>
      <c r="G77" s="124"/>
      <c r="H77" s="926"/>
      <c r="I77" s="1044"/>
      <c r="J77" s="535" t="s">
        <v>36</v>
      </c>
      <c r="K77" s="536">
        <f>SUM(K69:K76)</f>
        <v>421736</v>
      </c>
      <c r="L77" s="405"/>
      <c r="M77" s="457">
        <f t="shared" ref="M77:R77" si="13">SUM(M69:M76)</f>
        <v>467900</v>
      </c>
      <c r="N77" s="471">
        <f t="shared" si="13"/>
        <v>457200</v>
      </c>
      <c r="O77" s="471">
        <f t="shared" si="13"/>
        <v>261100</v>
      </c>
      <c r="P77" s="478">
        <f t="shared" si="13"/>
        <v>10700</v>
      </c>
      <c r="Q77" s="455">
        <f t="shared" si="13"/>
        <v>443800</v>
      </c>
      <c r="R77" s="80">
        <f t="shared" si="13"/>
        <v>443800</v>
      </c>
      <c r="S77" s="505"/>
      <c r="T77" s="96"/>
      <c r="U77" s="1115"/>
      <c r="V77" s="97"/>
    </row>
    <row r="78" spans="1:22" s="3" customFormat="1" ht="54" customHeight="1" x14ac:dyDescent="0.3">
      <c r="A78" s="1066"/>
      <c r="B78" s="1067"/>
      <c r="C78" s="1117"/>
      <c r="D78" s="506" t="s">
        <v>56</v>
      </c>
      <c r="E78" s="507" t="s">
        <v>74</v>
      </c>
      <c r="F78" s="21"/>
      <c r="G78" s="1128"/>
      <c r="H78" s="926"/>
      <c r="I78" s="508"/>
      <c r="J78" s="1076" t="s">
        <v>31</v>
      </c>
      <c r="K78" s="640">
        <v>472631</v>
      </c>
      <c r="L78" s="405"/>
      <c r="M78" s="1076">
        <v>538500</v>
      </c>
      <c r="N78" s="548">
        <v>538500</v>
      </c>
      <c r="O78" s="1072">
        <v>319800</v>
      </c>
      <c r="P78" s="1073"/>
      <c r="Q78" s="1076">
        <v>520300</v>
      </c>
      <c r="R78" s="1076">
        <v>520300</v>
      </c>
      <c r="S78" s="539" t="s">
        <v>281</v>
      </c>
      <c r="T78" s="15">
        <v>3</v>
      </c>
      <c r="U78" s="538">
        <v>4</v>
      </c>
      <c r="V78" s="335">
        <v>4</v>
      </c>
    </row>
    <row r="79" spans="1:22" s="3" customFormat="1" ht="27.75" customHeight="1" x14ac:dyDescent="0.3">
      <c r="A79" s="1104"/>
      <c r="B79" s="1105"/>
      <c r="C79" s="908"/>
      <c r="D79" s="1119"/>
      <c r="E79" s="169"/>
      <c r="F79" s="49"/>
      <c r="G79" s="1139"/>
      <c r="H79" s="63"/>
      <c r="I79" s="960"/>
      <c r="J79" s="416"/>
      <c r="K79" s="635"/>
      <c r="L79" s="417"/>
      <c r="M79" s="416"/>
      <c r="N79" s="540"/>
      <c r="O79" s="67"/>
      <c r="P79" s="491"/>
      <c r="Q79" s="416"/>
      <c r="R79" s="35"/>
      <c r="S79" s="1088" t="s">
        <v>193</v>
      </c>
      <c r="T79" s="541">
        <v>37</v>
      </c>
      <c r="U79" s="540"/>
      <c r="V79" s="68"/>
    </row>
    <row r="80" spans="1:22" s="3" customFormat="1" ht="67.5" customHeight="1" x14ac:dyDescent="0.3">
      <c r="A80" s="1066"/>
      <c r="B80" s="1067"/>
      <c r="C80" s="1117"/>
      <c r="D80" s="1118"/>
      <c r="E80" s="31"/>
      <c r="F80" s="21"/>
      <c r="G80" s="1128"/>
      <c r="H80" s="926"/>
      <c r="I80" s="508"/>
      <c r="J80" s="443"/>
      <c r="K80" s="409"/>
      <c r="L80" s="405"/>
      <c r="M80" s="39"/>
      <c r="N80" s="67"/>
      <c r="O80" s="67"/>
      <c r="P80" s="443"/>
      <c r="Q80" s="39"/>
      <c r="R80" s="39"/>
      <c r="S80" s="1088" t="s">
        <v>194</v>
      </c>
      <c r="T80" s="541">
        <v>3</v>
      </c>
      <c r="U80" s="540"/>
      <c r="V80" s="68"/>
    </row>
    <row r="81" spans="1:23" s="3" customFormat="1" ht="42.75" customHeight="1" x14ac:dyDescent="0.3">
      <c r="A81" s="1066"/>
      <c r="B81" s="1067"/>
      <c r="C81" s="1117"/>
      <c r="D81" s="1118"/>
      <c r="E81" s="31"/>
      <c r="F81" s="21"/>
      <c r="G81" s="1128"/>
      <c r="H81" s="926"/>
      <c r="I81" s="508"/>
      <c r="J81" s="497" t="s">
        <v>176</v>
      </c>
      <c r="K81" s="383">
        <v>2983</v>
      </c>
      <c r="L81" s="405"/>
      <c r="M81" s="121"/>
      <c r="N81" s="543"/>
      <c r="O81" s="1083"/>
      <c r="P81" s="122"/>
      <c r="Q81" s="121"/>
      <c r="R81" s="43"/>
      <c r="S81" s="162" t="s">
        <v>195</v>
      </c>
      <c r="T81" s="1082">
        <v>12</v>
      </c>
      <c r="U81" s="1083">
        <v>12</v>
      </c>
      <c r="V81" s="1085">
        <v>12</v>
      </c>
    </row>
    <row r="82" spans="1:23" s="3" customFormat="1" ht="67.5" customHeight="1" x14ac:dyDescent="0.3">
      <c r="A82" s="1066"/>
      <c r="B82" s="1067"/>
      <c r="C82" s="1117"/>
      <c r="D82" s="1118"/>
      <c r="E82" s="31"/>
      <c r="F82" s="21"/>
      <c r="G82" s="1128"/>
      <c r="H82" s="926"/>
      <c r="I82" s="508"/>
      <c r="J82" s="544" t="s">
        <v>68</v>
      </c>
      <c r="K82" s="413">
        <v>434</v>
      </c>
      <c r="L82" s="405"/>
      <c r="M82" s="413">
        <f>N82</f>
        <v>1000</v>
      </c>
      <c r="N82" s="545">
        <v>1000</v>
      </c>
      <c r="O82" s="1114"/>
      <c r="P82" s="1116"/>
      <c r="Q82" s="231">
        <v>1000</v>
      </c>
      <c r="R82" s="231">
        <v>1000</v>
      </c>
      <c r="S82" s="95" t="s">
        <v>196</v>
      </c>
      <c r="T82" s="320">
        <v>18</v>
      </c>
      <c r="U82" s="40">
        <v>18</v>
      </c>
      <c r="V82" s="84">
        <v>18</v>
      </c>
    </row>
    <row r="83" spans="1:23" s="3" customFormat="1" ht="42" customHeight="1" x14ac:dyDescent="0.3">
      <c r="A83" s="1066"/>
      <c r="B83" s="1067"/>
      <c r="C83" s="1117"/>
      <c r="D83" s="1118"/>
      <c r="E83" s="31"/>
      <c r="F83" s="992"/>
      <c r="G83" s="1128"/>
      <c r="H83" s="926"/>
      <c r="I83" s="508"/>
      <c r="J83" s="497" t="s">
        <v>178</v>
      </c>
      <c r="K83" s="383">
        <v>1048</v>
      </c>
      <c r="L83" s="405"/>
      <c r="M83" s="383"/>
      <c r="N83" s="498"/>
      <c r="O83" s="1083"/>
      <c r="P83" s="122"/>
      <c r="Q83" s="512"/>
      <c r="R83" s="271"/>
      <c r="S83" s="162" t="s">
        <v>197</v>
      </c>
      <c r="T83" s="1082">
        <v>12</v>
      </c>
      <c r="U83" s="1083">
        <v>12</v>
      </c>
      <c r="V83" s="1085">
        <v>12</v>
      </c>
    </row>
    <row r="84" spans="1:23" s="3" customFormat="1" ht="47.25" customHeight="1" x14ac:dyDescent="0.3">
      <c r="A84" s="1066"/>
      <c r="B84" s="1067"/>
      <c r="C84" s="1117"/>
      <c r="D84" s="1118"/>
      <c r="E84" s="31"/>
      <c r="F84" s="21"/>
      <c r="G84" s="1128"/>
      <c r="H84" s="926"/>
      <c r="I84" s="508"/>
      <c r="J84" s="443" t="s">
        <v>52</v>
      </c>
      <c r="K84" s="409"/>
      <c r="L84" s="405"/>
      <c r="M84" s="409">
        <v>9900</v>
      </c>
      <c r="N84" s="340">
        <v>9900</v>
      </c>
      <c r="O84" s="40"/>
      <c r="P84" s="41"/>
      <c r="Q84" s="357">
        <f>M84</f>
        <v>9900</v>
      </c>
      <c r="R84" s="1120">
        <f>M84</f>
        <v>9900</v>
      </c>
      <c r="S84" s="2789" t="s">
        <v>198</v>
      </c>
      <c r="T84" s="320">
        <v>40</v>
      </c>
      <c r="U84" s="40">
        <v>40</v>
      </c>
      <c r="V84" s="84">
        <v>40</v>
      </c>
    </row>
    <row r="85" spans="1:23" s="3" customFormat="1" ht="18.75" customHeight="1" x14ac:dyDescent="0.3">
      <c r="A85" s="1066"/>
      <c r="B85" s="1067"/>
      <c r="C85" s="1117"/>
      <c r="D85" s="520"/>
      <c r="E85" s="2680" t="s">
        <v>199</v>
      </c>
      <c r="F85" s="21"/>
      <c r="G85" s="1128"/>
      <c r="H85" s="926"/>
      <c r="I85" s="508"/>
      <c r="J85" s="497" t="s">
        <v>31</v>
      </c>
      <c r="K85" s="383">
        <v>8747</v>
      </c>
      <c r="L85" s="405"/>
      <c r="M85" s="274"/>
      <c r="N85" s="929"/>
      <c r="O85" s="275"/>
      <c r="P85" s="491"/>
      <c r="Q85" s="439"/>
      <c r="R85" s="1121"/>
      <c r="S85" s="2665"/>
      <c r="T85" s="320"/>
      <c r="U85" s="40"/>
      <c r="V85" s="84"/>
    </row>
    <row r="86" spans="1:23" s="3" customFormat="1" ht="18.75" customHeight="1" x14ac:dyDescent="0.3">
      <c r="A86" s="1066"/>
      <c r="B86" s="1067"/>
      <c r="C86" s="1117"/>
      <c r="D86" s="546"/>
      <c r="E86" s="3060"/>
      <c r="F86" s="20"/>
      <c r="G86" s="124"/>
      <c r="H86" s="926"/>
      <c r="I86" s="1044"/>
      <c r="J86" s="910" t="s">
        <v>36</v>
      </c>
      <c r="K86" s="424">
        <f>SUM(K78:K85)</f>
        <v>485843</v>
      </c>
      <c r="L86" s="405"/>
      <c r="M86" s="424">
        <f>SUM(M78:M85)</f>
        <v>549400</v>
      </c>
      <c r="N86" s="427">
        <f t="shared" ref="N86:R86" si="14">SUM(N78:N85)</f>
        <v>549400</v>
      </c>
      <c r="O86" s="425">
        <f t="shared" si="14"/>
        <v>319800</v>
      </c>
      <c r="P86" s="556">
        <f t="shared" si="14"/>
        <v>0</v>
      </c>
      <c r="Q86" s="424">
        <f>SUM(Q78:Q85)</f>
        <v>531200</v>
      </c>
      <c r="R86" s="50">
        <f t="shared" si="14"/>
        <v>531200</v>
      </c>
      <c r="S86" s="2933"/>
      <c r="T86" s="66"/>
      <c r="U86" s="67"/>
      <c r="V86" s="68"/>
    </row>
    <row r="87" spans="1:23" s="3" customFormat="1" ht="79.5" customHeight="1" x14ac:dyDescent="0.3">
      <c r="A87" s="1066"/>
      <c r="B87" s="1067"/>
      <c r="C87" s="1117"/>
      <c r="D87" s="1118" t="s">
        <v>59</v>
      </c>
      <c r="E87" s="31" t="s">
        <v>200</v>
      </c>
      <c r="F87" s="21"/>
      <c r="G87" s="1128"/>
      <c r="H87" s="926"/>
      <c r="I87" s="1044"/>
      <c r="J87" s="41" t="s">
        <v>31</v>
      </c>
      <c r="K87" s="409">
        <v>331701</v>
      </c>
      <c r="L87" s="405"/>
      <c r="M87" s="39">
        <v>362900</v>
      </c>
      <c r="N87" s="542">
        <v>362900</v>
      </c>
      <c r="O87" s="40">
        <v>245600</v>
      </c>
      <c r="P87" s="41"/>
      <c r="Q87" s="20">
        <v>358900</v>
      </c>
      <c r="R87" s="20">
        <f>358900+13000</f>
        <v>371900</v>
      </c>
      <c r="S87" s="436" t="s">
        <v>201</v>
      </c>
      <c r="T87" s="1052" t="s">
        <v>202</v>
      </c>
      <c r="U87" s="1054" t="s">
        <v>202</v>
      </c>
      <c r="V87" s="1055" t="s">
        <v>202</v>
      </c>
    </row>
    <row r="88" spans="1:23" s="3" customFormat="1" ht="16.5" customHeight="1" x14ac:dyDescent="0.3">
      <c r="A88" s="1066"/>
      <c r="B88" s="1067"/>
      <c r="C88" s="1117"/>
      <c r="D88" s="1118"/>
      <c r="E88" s="31"/>
      <c r="F88" s="21"/>
      <c r="G88" s="1128"/>
      <c r="H88" s="926"/>
      <c r="I88" s="1044"/>
      <c r="J88" s="28"/>
      <c r="K88" s="339"/>
      <c r="L88" s="405"/>
      <c r="M88" s="39"/>
      <c r="N88" s="40"/>
      <c r="O88" s="40"/>
      <c r="P88" s="443"/>
      <c r="Q88" s="39"/>
      <c r="R88" s="28"/>
      <c r="S88" s="1088" t="s">
        <v>294</v>
      </c>
      <c r="T88" s="541">
        <v>74</v>
      </c>
      <c r="U88" s="53" t="s">
        <v>203</v>
      </c>
      <c r="V88" s="54" t="s">
        <v>203</v>
      </c>
    </row>
    <row r="89" spans="1:23" s="3" customFormat="1" ht="42.75" customHeight="1" x14ac:dyDescent="0.3">
      <c r="A89" s="1066"/>
      <c r="B89" s="1067"/>
      <c r="C89" s="1117"/>
      <c r="D89" s="1118"/>
      <c r="E89" s="31"/>
      <c r="F89" s="21"/>
      <c r="G89" s="1128"/>
      <c r="H89" s="926"/>
      <c r="I89" s="1044"/>
      <c r="J89" s="491" t="s">
        <v>68</v>
      </c>
      <c r="K89" s="415"/>
      <c r="L89" s="405"/>
      <c r="M89" s="121">
        <v>900</v>
      </c>
      <c r="N89" s="543"/>
      <c r="O89" s="1083"/>
      <c r="P89" s="122">
        <v>900</v>
      </c>
      <c r="Q89" s="163"/>
      <c r="R89" s="513"/>
      <c r="S89" s="1088" t="s">
        <v>296</v>
      </c>
      <c r="T89" s="541">
        <v>2</v>
      </c>
      <c r="U89" s="53"/>
      <c r="V89" s="550"/>
    </row>
    <row r="90" spans="1:23" s="3" customFormat="1" ht="17.25" customHeight="1" x14ac:dyDescent="0.3">
      <c r="A90" s="1066"/>
      <c r="B90" s="1067"/>
      <c r="C90" s="1117"/>
      <c r="D90" s="1118"/>
      <c r="E90" s="31"/>
      <c r="F90" s="21"/>
      <c r="G90" s="1128"/>
      <c r="H90" s="926"/>
      <c r="I90" s="1044"/>
      <c r="J90" s="491" t="s">
        <v>68</v>
      </c>
      <c r="K90" s="415">
        <v>3475</v>
      </c>
      <c r="L90" s="405"/>
      <c r="M90" s="121">
        <f>N90</f>
        <v>14100</v>
      </c>
      <c r="N90" s="543">
        <v>14100</v>
      </c>
      <c r="O90" s="1083"/>
      <c r="P90" s="122"/>
      <c r="Q90" s="163">
        <v>15000</v>
      </c>
      <c r="R90" s="513">
        <v>15000</v>
      </c>
      <c r="S90" s="1088" t="s">
        <v>204</v>
      </c>
      <c r="T90" s="541"/>
      <c r="U90" s="551"/>
      <c r="V90" s="552">
        <v>1</v>
      </c>
    </row>
    <row r="91" spans="1:23" s="3" customFormat="1" ht="15.75" customHeight="1" x14ac:dyDescent="0.3">
      <c r="A91" s="1066"/>
      <c r="B91" s="1067"/>
      <c r="C91" s="1117"/>
      <c r="D91" s="1118"/>
      <c r="E91" s="31"/>
      <c r="F91" s="21"/>
      <c r="G91" s="1128"/>
      <c r="H91" s="926"/>
      <c r="I91" s="1044"/>
      <c r="J91" s="491" t="s">
        <v>178</v>
      </c>
      <c r="K91" s="415">
        <v>1807</v>
      </c>
      <c r="L91" s="405"/>
      <c r="M91" s="121"/>
      <c r="N91" s="543"/>
      <c r="O91" s="1083"/>
      <c r="P91" s="122"/>
      <c r="Q91" s="163"/>
      <c r="R91" s="513"/>
      <c r="S91" s="3066" t="s">
        <v>295</v>
      </c>
      <c r="T91" s="541">
        <v>1</v>
      </c>
      <c r="U91" s="553"/>
      <c r="V91" s="552"/>
    </row>
    <row r="92" spans="1:23" s="3" customFormat="1" ht="15.75" customHeight="1" thickBot="1" x14ac:dyDescent="0.35">
      <c r="A92" s="1066"/>
      <c r="B92" s="1067"/>
      <c r="C92" s="1117"/>
      <c r="D92" s="1119"/>
      <c r="E92" s="169"/>
      <c r="F92" s="91"/>
      <c r="G92" s="124"/>
      <c r="H92" s="926"/>
      <c r="I92" s="1044"/>
      <c r="J92" s="519" t="s">
        <v>36</v>
      </c>
      <c r="K92" s="455">
        <f>SUM(K87:K91)</f>
        <v>336983</v>
      </c>
      <c r="L92" s="405"/>
      <c r="M92" s="455">
        <f t="shared" ref="M92:R92" si="15">SUM(M87:M91)</f>
        <v>377900</v>
      </c>
      <c r="N92" s="547">
        <f t="shared" si="15"/>
        <v>377000</v>
      </c>
      <c r="O92" s="459">
        <f t="shared" si="15"/>
        <v>245600</v>
      </c>
      <c r="P92" s="471">
        <f t="shared" si="15"/>
        <v>900</v>
      </c>
      <c r="Q92" s="457">
        <f t="shared" si="15"/>
        <v>373900</v>
      </c>
      <c r="R92" s="457">
        <f t="shared" si="15"/>
        <v>386900</v>
      </c>
      <c r="S92" s="3067"/>
      <c r="T92" s="96"/>
      <c r="U92" s="554"/>
      <c r="V92" s="97"/>
    </row>
    <row r="93" spans="1:23" s="3" customFormat="1" ht="16.5" customHeight="1" x14ac:dyDescent="0.3">
      <c r="A93" s="1066"/>
      <c r="B93" s="1067"/>
      <c r="C93" s="58"/>
      <c r="D93" s="1001" t="s">
        <v>97</v>
      </c>
      <c r="E93" s="2680" t="s">
        <v>205</v>
      </c>
      <c r="F93" s="21"/>
      <c r="G93" s="126"/>
      <c r="H93" s="926"/>
      <c r="I93" s="1044"/>
      <c r="J93" s="491" t="s">
        <v>52</v>
      </c>
      <c r="K93" s="407">
        <v>64875</v>
      </c>
      <c r="L93" s="405"/>
      <c r="M93" s="416">
        <v>56500</v>
      </c>
      <c r="N93" s="538">
        <f>M93</f>
        <v>56500</v>
      </c>
      <c r="O93" s="67"/>
      <c r="P93" s="68"/>
      <c r="Q93" s="416">
        <f>M93</f>
        <v>56500</v>
      </c>
      <c r="R93" s="35">
        <f>Q93</f>
        <v>56500</v>
      </c>
      <c r="S93" s="128" t="s">
        <v>208</v>
      </c>
      <c r="T93" s="39"/>
      <c r="U93" s="542">
        <v>40</v>
      </c>
      <c r="V93" s="84">
        <v>40</v>
      </c>
    </row>
    <row r="94" spans="1:23" s="3" customFormat="1" ht="15.75" customHeight="1" x14ac:dyDescent="0.3">
      <c r="A94" s="1066"/>
      <c r="B94" s="1067"/>
      <c r="C94" s="58"/>
      <c r="D94" s="1002"/>
      <c r="E94" s="2680"/>
      <c r="F94" s="21"/>
      <c r="G94" s="126"/>
      <c r="H94" s="926"/>
      <c r="I94" s="1044"/>
      <c r="J94" s="122" t="s">
        <v>68</v>
      </c>
      <c r="K94" s="383">
        <v>1738</v>
      </c>
      <c r="L94" s="405"/>
      <c r="M94" s="121"/>
      <c r="N94" s="1083"/>
      <c r="O94" s="1083"/>
      <c r="P94" s="1085"/>
      <c r="Q94" s="121"/>
      <c r="R94" s="43"/>
      <c r="S94" s="2789" t="s">
        <v>206</v>
      </c>
      <c r="T94" s="25">
        <v>74</v>
      </c>
      <c r="U94" s="1114">
        <v>74</v>
      </c>
      <c r="V94" s="26">
        <v>74</v>
      </c>
      <c r="W94" s="167"/>
    </row>
    <row r="95" spans="1:23" s="3" customFormat="1" ht="15.75" customHeight="1" x14ac:dyDescent="0.3">
      <c r="A95" s="1066"/>
      <c r="B95" s="1067"/>
      <c r="C95" s="58"/>
      <c r="D95" s="1002"/>
      <c r="E95" s="1064"/>
      <c r="F95" s="21"/>
      <c r="G95" s="126"/>
      <c r="H95" s="926"/>
      <c r="I95" s="1044"/>
      <c r="J95" s="122" t="s">
        <v>178</v>
      </c>
      <c r="K95" s="383">
        <v>6624</v>
      </c>
      <c r="L95" s="405"/>
      <c r="M95" s="121"/>
      <c r="N95" s="1083"/>
      <c r="O95" s="1083"/>
      <c r="P95" s="1085"/>
      <c r="Q95" s="121"/>
      <c r="R95" s="43"/>
      <c r="S95" s="2665"/>
      <c r="T95" s="320"/>
      <c r="U95" s="40"/>
      <c r="V95" s="84"/>
    </row>
    <row r="96" spans="1:23" s="3" customFormat="1" ht="15.75" customHeight="1" x14ac:dyDescent="0.3">
      <c r="A96" s="1066"/>
      <c r="B96" s="1067"/>
      <c r="C96" s="58"/>
      <c r="D96" s="1002"/>
      <c r="E96" s="31"/>
      <c r="F96" s="21"/>
      <c r="G96" s="126"/>
      <c r="H96" s="926"/>
      <c r="I96" s="1044"/>
      <c r="J96" s="1116" t="s">
        <v>28</v>
      </c>
      <c r="K96" s="383">
        <v>114042</v>
      </c>
      <c r="L96" s="405"/>
      <c r="M96" s="390">
        <v>93800</v>
      </c>
      <c r="N96" s="387">
        <f>M96</f>
        <v>93800</v>
      </c>
      <c r="O96" s="386">
        <v>71604</v>
      </c>
      <c r="P96" s="419"/>
      <c r="Q96" s="390">
        <f>M96</f>
        <v>93800</v>
      </c>
      <c r="R96" s="390">
        <f>N96</f>
        <v>93800</v>
      </c>
      <c r="S96" s="2665"/>
      <c r="T96" s="320"/>
      <c r="U96" s="40"/>
      <c r="V96" s="84"/>
    </row>
    <row r="97" spans="1:22" s="3" customFormat="1" ht="15.75" customHeight="1" x14ac:dyDescent="0.3">
      <c r="A97" s="1104"/>
      <c r="B97" s="1105"/>
      <c r="C97" s="1009"/>
      <c r="D97" s="1003"/>
      <c r="E97" s="169"/>
      <c r="F97" s="49"/>
      <c r="G97" s="956"/>
      <c r="H97" s="63"/>
      <c r="I97" s="909"/>
      <c r="J97" s="122" t="s">
        <v>31</v>
      </c>
      <c r="K97" s="407">
        <v>317336</v>
      </c>
      <c r="L97" s="417"/>
      <c r="M97" s="390">
        <f>N97</f>
        <v>327800</v>
      </c>
      <c r="N97" s="387">
        <v>327800</v>
      </c>
      <c r="O97" s="494">
        <v>210200</v>
      </c>
      <c r="P97" s="511"/>
      <c r="Q97" s="390">
        <v>304400</v>
      </c>
      <c r="R97" s="390">
        <v>304400</v>
      </c>
      <c r="S97" s="2933"/>
      <c r="T97" s="66"/>
      <c r="U97" s="67"/>
      <c r="V97" s="68"/>
    </row>
    <row r="98" spans="1:22" s="3" customFormat="1" ht="15.75" customHeight="1" x14ac:dyDescent="0.3">
      <c r="A98" s="1066"/>
      <c r="B98" s="1067"/>
      <c r="C98" s="1117"/>
      <c r="D98" s="1003"/>
      <c r="E98" s="169"/>
      <c r="F98" s="21"/>
      <c r="G98" s="126"/>
      <c r="H98" s="926"/>
      <c r="I98" s="1044"/>
      <c r="J98" s="1004" t="s">
        <v>36</v>
      </c>
      <c r="K98" s="1005">
        <f>SUM(K93:K97)</f>
        <v>504615</v>
      </c>
      <c r="L98" s="405"/>
      <c r="M98" s="1005">
        <f t="shared" ref="M98:R98" si="16">SUM(M93:M97)</f>
        <v>478100</v>
      </c>
      <c r="N98" s="1006">
        <f t="shared" si="16"/>
        <v>478100</v>
      </c>
      <c r="O98" s="1007">
        <f t="shared" si="16"/>
        <v>281804</v>
      </c>
      <c r="P98" s="1008">
        <f t="shared" si="16"/>
        <v>0</v>
      </c>
      <c r="Q98" s="1005">
        <f>SUM(Q93:Q97)</f>
        <v>454700</v>
      </c>
      <c r="R98" s="1005">
        <f t="shared" si="16"/>
        <v>454700</v>
      </c>
      <c r="S98" s="65"/>
      <c r="T98" s="253"/>
      <c r="U98" s="557"/>
      <c r="V98" s="558"/>
    </row>
    <row r="99" spans="1:22" s="3" customFormat="1" ht="14.25" customHeight="1" x14ac:dyDescent="0.3">
      <c r="A99" s="1066"/>
      <c r="B99" s="1067"/>
      <c r="C99" s="1117"/>
      <c r="D99" s="3058" t="s">
        <v>100</v>
      </c>
      <c r="E99" s="2680" t="s">
        <v>207</v>
      </c>
      <c r="F99" s="110"/>
      <c r="G99" s="1128"/>
      <c r="H99" s="926"/>
      <c r="I99" s="1044"/>
      <c r="J99" s="491" t="s">
        <v>52</v>
      </c>
      <c r="K99" s="407">
        <v>34349</v>
      </c>
      <c r="L99" s="405"/>
      <c r="M99" s="510">
        <v>25300</v>
      </c>
      <c r="N99" s="559">
        <v>25300</v>
      </c>
      <c r="O99" s="275"/>
      <c r="P99" s="560"/>
      <c r="Q99" s="274">
        <v>25300</v>
      </c>
      <c r="R99" s="274">
        <v>25300</v>
      </c>
      <c r="S99" s="436" t="s">
        <v>208</v>
      </c>
      <c r="T99" s="320">
        <v>22</v>
      </c>
      <c r="U99" s="40">
        <v>22</v>
      </c>
      <c r="V99" s="84">
        <v>22</v>
      </c>
    </row>
    <row r="100" spans="1:22" s="3" customFormat="1" ht="27" customHeight="1" x14ac:dyDescent="0.3">
      <c r="A100" s="1066"/>
      <c r="B100" s="1067"/>
      <c r="C100" s="1117"/>
      <c r="D100" s="3058"/>
      <c r="E100" s="2680"/>
      <c r="F100" s="110"/>
      <c r="G100" s="1128"/>
      <c r="H100" s="926"/>
      <c r="I100" s="1044"/>
      <c r="J100" s="491" t="s">
        <v>68</v>
      </c>
      <c r="K100" s="407">
        <v>16219</v>
      </c>
      <c r="L100" s="405"/>
      <c r="M100" s="510">
        <v>39300</v>
      </c>
      <c r="N100" s="561">
        <v>39300</v>
      </c>
      <c r="O100" s="275"/>
      <c r="P100" s="560"/>
      <c r="Q100" s="274">
        <v>39600</v>
      </c>
      <c r="R100" s="274">
        <v>39300</v>
      </c>
      <c r="S100" s="2796" t="s">
        <v>206</v>
      </c>
      <c r="T100" s="25">
        <v>71</v>
      </c>
      <c r="U100" s="1114">
        <v>71</v>
      </c>
      <c r="V100" s="26">
        <v>71</v>
      </c>
    </row>
    <row r="101" spans="1:22" s="3" customFormat="1" ht="27" customHeight="1" x14ac:dyDescent="0.3">
      <c r="A101" s="1066"/>
      <c r="B101" s="1067"/>
      <c r="C101" s="1117"/>
      <c r="D101" s="3058"/>
      <c r="E101" s="2680"/>
      <c r="F101" s="110"/>
      <c r="G101" s="1128"/>
      <c r="H101" s="926"/>
      <c r="I101" s="1044"/>
      <c r="J101" s="491" t="s">
        <v>28</v>
      </c>
      <c r="K101" s="383">
        <v>121687</v>
      </c>
      <c r="L101" s="405"/>
      <c r="M101" s="1082">
        <v>83700</v>
      </c>
      <c r="N101" s="497">
        <f>M101</f>
        <v>83700</v>
      </c>
      <c r="O101" s="1083">
        <v>54137</v>
      </c>
      <c r="P101" s="1085"/>
      <c r="Q101" s="528">
        <f>M101</f>
        <v>83700</v>
      </c>
      <c r="R101" s="528">
        <f>N101</f>
        <v>83700</v>
      </c>
      <c r="S101" s="2849"/>
      <c r="T101" s="562"/>
      <c r="U101" s="563"/>
      <c r="V101" s="564"/>
    </row>
    <row r="102" spans="1:22" s="3" customFormat="1" ht="25.5" customHeight="1" x14ac:dyDescent="0.3">
      <c r="A102" s="1066"/>
      <c r="B102" s="1067"/>
      <c r="C102" s="1117"/>
      <c r="D102" s="3058"/>
      <c r="E102" s="2680"/>
      <c r="F102" s="110"/>
      <c r="G102" s="1128"/>
      <c r="H102" s="926"/>
      <c r="I102" s="1044"/>
      <c r="J102" s="491" t="s">
        <v>31</v>
      </c>
      <c r="K102" s="409">
        <v>256285</v>
      </c>
      <c r="L102" s="405"/>
      <c r="M102" s="403">
        <v>393700</v>
      </c>
      <c r="N102" s="391">
        <v>393700</v>
      </c>
      <c r="O102" s="949">
        <v>249800</v>
      </c>
      <c r="P102" s="1098"/>
      <c r="Q102" s="244">
        <f>M102</f>
        <v>393700</v>
      </c>
      <c r="R102" s="244">
        <f>N102</f>
        <v>393700</v>
      </c>
      <c r="S102" s="3061" t="s">
        <v>209</v>
      </c>
      <c r="T102" s="565" t="s">
        <v>86</v>
      </c>
      <c r="U102" s="118" t="s">
        <v>86</v>
      </c>
      <c r="V102" s="518" t="s">
        <v>86</v>
      </c>
    </row>
    <row r="103" spans="1:22" s="3" customFormat="1" ht="25.5" customHeight="1" x14ac:dyDescent="0.3">
      <c r="A103" s="1066"/>
      <c r="B103" s="1067"/>
      <c r="C103" s="1117"/>
      <c r="D103" s="3058"/>
      <c r="E103" s="2680"/>
      <c r="F103" s="110"/>
      <c r="G103" s="1128"/>
      <c r="H103" s="926"/>
      <c r="I103" s="1044"/>
      <c r="J103" s="491" t="s">
        <v>71</v>
      </c>
      <c r="K103" s="383">
        <v>24358</v>
      </c>
      <c r="L103" s="405"/>
      <c r="M103" s="403"/>
      <c r="N103" s="566"/>
      <c r="O103" s="391"/>
      <c r="P103" s="122"/>
      <c r="Q103" s="528"/>
      <c r="R103" s="528"/>
      <c r="S103" s="2788"/>
      <c r="T103" s="320"/>
      <c r="U103" s="40"/>
      <c r="V103" s="84"/>
    </row>
    <row r="104" spans="1:22" s="3" customFormat="1" ht="27" customHeight="1" x14ac:dyDescent="0.3">
      <c r="A104" s="1066"/>
      <c r="B104" s="1067"/>
      <c r="C104" s="1117"/>
      <c r="D104" s="3058"/>
      <c r="E104" s="2680"/>
      <c r="F104" s="110"/>
      <c r="G104" s="1128"/>
      <c r="H104" s="926"/>
      <c r="I104" s="1044"/>
      <c r="J104" s="491"/>
      <c r="K104" s="383"/>
      <c r="L104" s="405"/>
      <c r="M104" s="403"/>
      <c r="N104" s="566"/>
      <c r="O104" s="391"/>
      <c r="P104" s="122"/>
      <c r="Q104" s="528"/>
      <c r="R104" s="528"/>
      <c r="S104" s="3061" t="s">
        <v>210</v>
      </c>
      <c r="T104" s="565" t="s">
        <v>86</v>
      </c>
      <c r="U104" s="118" t="s">
        <v>86</v>
      </c>
      <c r="V104" s="518" t="s">
        <v>86</v>
      </c>
    </row>
    <row r="105" spans="1:22" s="3" customFormat="1" ht="14.25" customHeight="1" thickBot="1" x14ac:dyDescent="0.35">
      <c r="A105" s="1066"/>
      <c r="B105" s="1067"/>
      <c r="C105" s="1117"/>
      <c r="D105" s="3059"/>
      <c r="E105" s="3060"/>
      <c r="F105" s="110"/>
      <c r="G105" s="1128"/>
      <c r="H105" s="926"/>
      <c r="I105" s="1044"/>
      <c r="J105" s="567" t="s">
        <v>36</v>
      </c>
      <c r="K105" s="397">
        <f>SUM(K99:K104)</f>
        <v>452898</v>
      </c>
      <c r="L105" s="405"/>
      <c r="M105" s="397">
        <f>SUM(M99:M104)</f>
        <v>542000</v>
      </c>
      <c r="N105" s="397">
        <f t="shared" ref="N105:R105" si="17">SUM(N99:N104)</f>
        <v>542000</v>
      </c>
      <c r="O105" s="397">
        <f t="shared" si="17"/>
        <v>303937</v>
      </c>
      <c r="P105" s="397">
        <f t="shared" si="17"/>
        <v>0</v>
      </c>
      <c r="Q105" s="397">
        <f t="shared" si="17"/>
        <v>542300</v>
      </c>
      <c r="R105" s="397">
        <f t="shared" si="17"/>
        <v>542000</v>
      </c>
      <c r="S105" s="2788"/>
      <c r="T105" s="184"/>
      <c r="U105" s="185"/>
      <c r="V105" s="186"/>
    </row>
    <row r="106" spans="1:22" s="131" customFormat="1" ht="16.5" customHeight="1" x14ac:dyDescent="0.3">
      <c r="A106" s="1066"/>
      <c r="B106" s="1067"/>
      <c r="C106" s="568"/>
      <c r="D106" s="1118" t="s">
        <v>211</v>
      </c>
      <c r="E106" s="2680" t="s">
        <v>80</v>
      </c>
      <c r="F106" s="110"/>
      <c r="G106" s="130"/>
      <c r="H106" s="926"/>
      <c r="I106" s="1044"/>
      <c r="J106" s="17" t="s">
        <v>52</v>
      </c>
      <c r="K106" s="15">
        <v>63253</v>
      </c>
      <c r="L106" s="405"/>
      <c r="M106" s="15">
        <v>70900</v>
      </c>
      <c r="N106" s="16">
        <f>M106</f>
        <v>70900</v>
      </c>
      <c r="O106" s="16"/>
      <c r="P106" s="335"/>
      <c r="Q106" s="569">
        <f>M106</f>
        <v>70900</v>
      </c>
      <c r="R106" s="569">
        <f>Q106</f>
        <v>70900</v>
      </c>
      <c r="S106" s="539" t="s">
        <v>208</v>
      </c>
      <c r="T106" s="334">
        <v>53</v>
      </c>
      <c r="U106" s="16">
        <v>53</v>
      </c>
      <c r="V106" s="335">
        <v>53</v>
      </c>
    </row>
    <row r="107" spans="1:22" s="131" customFormat="1" ht="45" customHeight="1" x14ac:dyDescent="0.3">
      <c r="A107" s="1066"/>
      <c r="B107" s="1067"/>
      <c r="C107" s="568"/>
      <c r="D107" s="715"/>
      <c r="E107" s="2680"/>
      <c r="F107" s="953"/>
      <c r="G107" s="130"/>
      <c r="H107" s="926"/>
      <c r="I107" s="1044"/>
      <c r="J107" s="491" t="s">
        <v>68</v>
      </c>
      <c r="K107" s="407">
        <v>63687</v>
      </c>
      <c r="L107" s="405"/>
      <c r="M107" s="407">
        <f>N107</f>
        <v>65500</v>
      </c>
      <c r="N107" s="570">
        <v>65500</v>
      </c>
      <c r="O107" s="67"/>
      <c r="P107" s="68"/>
      <c r="Q107" s="439">
        <v>65500</v>
      </c>
      <c r="R107" s="439">
        <v>65500</v>
      </c>
      <c r="S107" s="436" t="s">
        <v>212</v>
      </c>
      <c r="T107" s="66">
        <v>1</v>
      </c>
      <c r="U107" s="67">
        <v>1</v>
      </c>
      <c r="V107" s="68">
        <v>1</v>
      </c>
    </row>
    <row r="108" spans="1:22" s="131" customFormat="1" ht="27.75" customHeight="1" x14ac:dyDescent="0.3">
      <c r="A108" s="1066"/>
      <c r="B108" s="1067"/>
      <c r="C108" s="568"/>
      <c r="D108" s="1118"/>
      <c r="E108" s="3049"/>
      <c r="F108" s="110"/>
      <c r="G108" s="130"/>
      <c r="H108" s="926"/>
      <c r="I108" s="1044"/>
      <c r="J108" s="41" t="s">
        <v>178</v>
      </c>
      <c r="K108" s="407">
        <v>14581</v>
      </c>
      <c r="L108" s="405"/>
      <c r="M108" s="416"/>
      <c r="N108" s="67"/>
      <c r="O108" s="67"/>
      <c r="P108" s="68"/>
      <c r="Q108" s="439"/>
      <c r="R108" s="439"/>
      <c r="S108" s="2580" t="s">
        <v>206</v>
      </c>
      <c r="T108" s="320">
        <v>76</v>
      </c>
      <c r="U108" s="40">
        <v>76</v>
      </c>
      <c r="V108" s="84">
        <v>76</v>
      </c>
    </row>
    <row r="109" spans="1:22" s="131" customFormat="1" ht="27.75" customHeight="1" x14ac:dyDescent="0.3">
      <c r="A109" s="1066"/>
      <c r="B109" s="1067"/>
      <c r="C109" s="568"/>
      <c r="D109" s="1118"/>
      <c r="E109" s="3049"/>
      <c r="F109" s="110"/>
      <c r="G109" s="130"/>
      <c r="H109" s="926"/>
      <c r="I109" s="1044"/>
      <c r="J109" s="122" t="s">
        <v>28</v>
      </c>
      <c r="K109" s="566">
        <v>220624</v>
      </c>
      <c r="L109" s="405"/>
      <c r="M109" s="121">
        <v>187900</v>
      </c>
      <c r="N109" s="1083">
        <f>M109</f>
        <v>187900</v>
      </c>
      <c r="O109" s="1083">
        <v>142018</v>
      </c>
      <c r="P109" s="1085"/>
      <c r="Q109" s="528">
        <f>M109</f>
        <v>187900</v>
      </c>
      <c r="R109" s="528">
        <f>N109</f>
        <v>187900</v>
      </c>
      <c r="S109" s="2580"/>
      <c r="T109" s="320"/>
      <c r="U109" s="40"/>
      <c r="V109" s="84"/>
    </row>
    <row r="110" spans="1:22" s="131" customFormat="1" ht="25.5" customHeight="1" x14ac:dyDescent="0.3">
      <c r="A110" s="1066"/>
      <c r="B110" s="1067"/>
      <c r="C110" s="568"/>
      <c r="D110" s="1118"/>
      <c r="E110" s="3049"/>
      <c r="F110" s="110"/>
      <c r="G110" s="130"/>
      <c r="H110" s="926"/>
      <c r="I110" s="1044"/>
      <c r="J110" s="1116" t="s">
        <v>31</v>
      </c>
      <c r="K110" s="571">
        <v>247857</v>
      </c>
      <c r="L110" s="405"/>
      <c r="M110" s="30">
        <f>N110</f>
        <v>269200</v>
      </c>
      <c r="N110" s="1114">
        <v>269200</v>
      </c>
      <c r="O110" s="410">
        <v>205500</v>
      </c>
      <c r="P110" s="26"/>
      <c r="Q110" s="231">
        <f>M110</f>
        <v>269200</v>
      </c>
      <c r="R110" s="231">
        <f>N110</f>
        <v>269200</v>
      </c>
      <c r="S110" s="2570" t="s">
        <v>213</v>
      </c>
      <c r="T110" s="25">
        <v>20</v>
      </c>
      <c r="U110" s="1114">
        <v>33</v>
      </c>
      <c r="V110" s="26">
        <v>33</v>
      </c>
    </row>
    <row r="111" spans="1:22" s="131" customFormat="1" ht="16.5" customHeight="1" x14ac:dyDescent="0.3">
      <c r="A111" s="1066"/>
      <c r="B111" s="1067"/>
      <c r="C111" s="568"/>
      <c r="D111" s="1119"/>
      <c r="E111" s="3050"/>
      <c r="F111" s="953"/>
      <c r="G111" s="130"/>
      <c r="H111" s="926"/>
      <c r="I111" s="1044"/>
      <c r="J111" s="556" t="s">
        <v>36</v>
      </c>
      <c r="K111" s="424">
        <f>SUM(K106:K110)</f>
        <v>610002</v>
      </c>
      <c r="L111" s="405"/>
      <c r="M111" s="424">
        <f t="shared" ref="M111:P111" si="18">SUM(M106:M110)</f>
        <v>593500</v>
      </c>
      <c r="N111" s="425">
        <f t="shared" si="18"/>
        <v>593500</v>
      </c>
      <c r="O111" s="426">
        <f t="shared" si="18"/>
        <v>347518</v>
      </c>
      <c r="P111" s="421">
        <f t="shared" si="18"/>
        <v>0</v>
      </c>
      <c r="Q111" s="428">
        <f>SUM(Q106:Q110)</f>
        <v>593500</v>
      </c>
      <c r="R111" s="428">
        <f>SUM(R106:R110)</f>
        <v>593500</v>
      </c>
      <c r="S111" s="2550"/>
      <c r="T111" s="66"/>
      <c r="U111" s="67"/>
      <c r="V111" s="68"/>
    </row>
    <row r="112" spans="1:22" s="131" customFormat="1" ht="36.75" customHeight="1" x14ac:dyDescent="0.3">
      <c r="A112" s="132"/>
      <c r="B112" s="1067"/>
      <c r="C112" s="129"/>
      <c r="D112" s="1118" t="s">
        <v>214</v>
      </c>
      <c r="E112" s="1136" t="s">
        <v>215</v>
      </c>
      <c r="F112" s="110"/>
      <c r="G112" s="130"/>
      <c r="H112" s="926"/>
      <c r="I112" s="1044"/>
      <c r="J112" s="911" t="s">
        <v>31</v>
      </c>
      <c r="K112" s="912"/>
      <c r="L112" s="1098"/>
      <c r="M112" s="521">
        <v>3400</v>
      </c>
      <c r="N112" s="522">
        <v>3400</v>
      </c>
      <c r="O112" s="913"/>
      <c r="P112" s="914"/>
      <c r="Q112" s="521"/>
      <c r="R112" s="521"/>
      <c r="S112" s="2580" t="s">
        <v>274</v>
      </c>
      <c r="T112" s="39">
        <v>8</v>
      </c>
      <c r="U112" s="40"/>
      <c r="V112" s="41"/>
    </row>
    <row r="113" spans="1:30" s="131" customFormat="1" ht="16.5" customHeight="1" x14ac:dyDescent="0.3">
      <c r="A113" s="132"/>
      <c r="B113" s="1067"/>
      <c r="C113" s="129"/>
      <c r="D113" s="1118"/>
      <c r="E113" s="1136"/>
      <c r="F113" s="110"/>
      <c r="G113" s="133"/>
      <c r="H113" s="926"/>
      <c r="I113" s="1044"/>
      <c r="J113" s="567" t="s">
        <v>36</v>
      </c>
      <c r="K113" s="397"/>
      <c r="L113" s="496"/>
      <c r="M113" s="397">
        <f>SUM(M112)</f>
        <v>3400</v>
      </c>
      <c r="N113" s="425">
        <f>SUM(N112)</f>
        <v>3400</v>
      </c>
      <c r="O113" s="400"/>
      <c r="P113" s="398"/>
      <c r="Q113" s="397"/>
      <c r="R113" s="397"/>
      <c r="S113" s="2849"/>
      <c r="T113" s="39"/>
      <c r="U113" s="67"/>
      <c r="V113" s="41"/>
    </row>
    <row r="114" spans="1:30" s="3" customFormat="1" ht="16.5" customHeight="1" thickBot="1" x14ac:dyDescent="0.35">
      <c r="A114" s="132"/>
      <c r="B114" s="1067"/>
      <c r="C114" s="58"/>
      <c r="D114" s="574"/>
      <c r="E114" s="575"/>
      <c r="F114" s="575"/>
      <c r="G114" s="575"/>
      <c r="H114" s="575"/>
      <c r="I114" s="3051" t="s">
        <v>49</v>
      </c>
      <c r="J114" s="3052"/>
      <c r="K114" s="576">
        <f>K111+K105+K98+K92+K86+K77+K68+K61</f>
        <v>4017424</v>
      </c>
      <c r="L114" s="577">
        <f>SUM(L54:L111)</f>
        <v>3962144</v>
      </c>
      <c r="M114" s="576">
        <f t="shared" ref="M114:R114" si="19">M111+M105+M98+M92+M86+M77+M68+M61+M113</f>
        <v>4275100</v>
      </c>
      <c r="N114" s="576">
        <f t="shared" si="19"/>
        <v>4242300</v>
      </c>
      <c r="O114" s="576">
        <f t="shared" si="19"/>
        <v>2430259</v>
      </c>
      <c r="P114" s="576">
        <f t="shared" si="19"/>
        <v>32800</v>
      </c>
      <c r="Q114" s="576">
        <f t="shared" si="19"/>
        <v>4177900</v>
      </c>
      <c r="R114" s="576">
        <f t="shared" si="19"/>
        <v>4180100</v>
      </c>
      <c r="S114" s="3053"/>
      <c r="T114" s="3054"/>
      <c r="U114" s="3054"/>
      <c r="V114" s="3055"/>
    </row>
    <row r="115" spans="1:30" s="141" customFormat="1" ht="50.25" customHeight="1" x14ac:dyDescent="0.3">
      <c r="A115" s="3041" t="s">
        <v>22</v>
      </c>
      <c r="B115" s="2779" t="s">
        <v>50</v>
      </c>
      <c r="C115" s="3043" t="s">
        <v>50</v>
      </c>
      <c r="D115" s="578"/>
      <c r="E115" s="2763" t="s">
        <v>81</v>
      </c>
      <c r="F115" s="3045"/>
      <c r="G115" s="3047">
        <v>10</v>
      </c>
      <c r="H115" s="3056" t="s">
        <v>27</v>
      </c>
      <c r="I115" s="2690" t="s">
        <v>161</v>
      </c>
      <c r="J115" s="1123" t="s">
        <v>31</v>
      </c>
      <c r="K115" s="579">
        <v>278035</v>
      </c>
      <c r="L115" s="580">
        <v>278035</v>
      </c>
      <c r="M115" s="581">
        <v>315900</v>
      </c>
      <c r="N115" s="582">
        <v>315900</v>
      </c>
      <c r="O115" s="583"/>
      <c r="P115" s="584"/>
      <c r="Q115" s="140">
        <f>M115</f>
        <v>315900</v>
      </c>
      <c r="R115" s="140">
        <f>Q115</f>
        <v>315900</v>
      </c>
      <c r="S115" s="2763" t="s">
        <v>275</v>
      </c>
      <c r="T115" s="138">
        <v>80</v>
      </c>
      <c r="U115" s="139">
        <v>80</v>
      </c>
      <c r="V115" s="140">
        <v>80</v>
      </c>
    </row>
    <row r="116" spans="1:30" s="147" customFormat="1" ht="16.5" customHeight="1" thickBot="1" x14ac:dyDescent="0.35">
      <c r="A116" s="3042"/>
      <c r="B116" s="2780"/>
      <c r="C116" s="3044"/>
      <c r="D116" s="585"/>
      <c r="E116" s="2783"/>
      <c r="F116" s="3046"/>
      <c r="G116" s="3048"/>
      <c r="H116" s="3057"/>
      <c r="I116" s="2750"/>
      <c r="J116" s="142" t="s">
        <v>36</v>
      </c>
      <c r="K116" s="469">
        <f>SUM(K115)</f>
        <v>278035</v>
      </c>
      <c r="L116" s="470">
        <f>SUM(L115)</f>
        <v>278035</v>
      </c>
      <c r="M116" s="469">
        <f>N116+P116</f>
        <v>315900</v>
      </c>
      <c r="N116" s="586">
        <f>SUM(N115)</f>
        <v>315900</v>
      </c>
      <c r="O116" s="587"/>
      <c r="P116" s="470"/>
      <c r="Q116" s="588">
        <f>SUM(Q115)</f>
        <v>315900</v>
      </c>
      <c r="R116" s="142">
        <f>SUM(R115)</f>
        <v>315900</v>
      </c>
      <c r="S116" s="2783"/>
      <c r="T116" s="144"/>
      <c r="U116" s="145"/>
      <c r="V116" s="146"/>
    </row>
    <row r="117" spans="1:30" s="2" customFormat="1" ht="95.25" customHeight="1" x14ac:dyDescent="0.3">
      <c r="A117" s="1010" t="s">
        <v>22</v>
      </c>
      <c r="B117" s="1011" t="s">
        <v>50</v>
      </c>
      <c r="C117" s="1012" t="s">
        <v>54</v>
      </c>
      <c r="D117" s="1013"/>
      <c r="E117" s="1014" t="s">
        <v>82</v>
      </c>
      <c r="F117" s="1015"/>
      <c r="G117" s="1016">
        <v>10</v>
      </c>
      <c r="H117" s="1017" t="s">
        <v>27</v>
      </c>
      <c r="I117" s="1018" t="s">
        <v>216</v>
      </c>
      <c r="J117" s="966"/>
      <c r="K117" s="1019"/>
      <c r="L117" s="1020"/>
      <c r="M117" s="569"/>
      <c r="N117" s="749"/>
      <c r="O117" s="749"/>
      <c r="P117" s="752"/>
      <c r="Q117" s="569"/>
      <c r="R117" s="642"/>
      <c r="S117" s="1021"/>
      <c r="T117" s="808"/>
      <c r="U117" s="549"/>
      <c r="V117" s="809"/>
    </row>
    <row r="118" spans="1:30" s="2" customFormat="1" ht="63.75" customHeight="1" x14ac:dyDescent="0.3">
      <c r="A118" s="1029"/>
      <c r="B118" s="1030"/>
      <c r="C118" s="1026"/>
      <c r="D118" s="590" t="s">
        <v>22</v>
      </c>
      <c r="E118" s="113" t="s">
        <v>217</v>
      </c>
      <c r="F118" s="1028"/>
      <c r="G118" s="1138"/>
      <c r="H118" s="1031"/>
      <c r="I118" s="1032"/>
      <c r="J118" s="592" t="s">
        <v>31</v>
      </c>
      <c r="K118" s="593">
        <v>103974</v>
      </c>
      <c r="L118" s="673">
        <v>352728</v>
      </c>
      <c r="M118" s="528">
        <f>N118</f>
        <v>71900</v>
      </c>
      <c r="N118" s="594">
        <v>71900</v>
      </c>
      <c r="O118" s="594"/>
      <c r="P118" s="256"/>
      <c r="Q118" s="163">
        <f>M118</f>
        <v>71900</v>
      </c>
      <c r="R118" s="163">
        <f>N118</f>
        <v>71900</v>
      </c>
      <c r="S118" s="162" t="s">
        <v>218</v>
      </c>
      <c r="T118" s="411">
        <v>13</v>
      </c>
      <c r="U118" s="164">
        <v>13</v>
      </c>
      <c r="V118" s="412">
        <v>13</v>
      </c>
      <c r="AD118" s="3"/>
    </row>
    <row r="119" spans="1:30" s="2" customFormat="1" ht="57.75" customHeight="1" x14ac:dyDescent="0.3">
      <c r="A119" s="156"/>
      <c r="B119" s="157"/>
      <c r="C119" s="158"/>
      <c r="D119" s="595" t="s">
        <v>50</v>
      </c>
      <c r="E119" s="65" t="s">
        <v>219</v>
      </c>
      <c r="F119" s="159"/>
      <c r="G119" s="1128"/>
      <c r="H119" s="591"/>
      <c r="I119" s="1044"/>
      <c r="J119" s="1125" t="s">
        <v>31</v>
      </c>
      <c r="K119" s="596">
        <v>63224</v>
      </c>
      <c r="L119" s="915"/>
      <c r="M119" s="439">
        <f>N119</f>
        <v>63200</v>
      </c>
      <c r="N119" s="597">
        <v>63200</v>
      </c>
      <c r="O119" s="597"/>
      <c r="P119" s="503"/>
      <c r="Q119" s="439">
        <f>M119</f>
        <v>63200</v>
      </c>
      <c r="R119" s="439">
        <f>N119</f>
        <v>63200</v>
      </c>
      <c r="S119" s="436" t="s">
        <v>220</v>
      </c>
      <c r="T119" s="1052">
        <v>20</v>
      </c>
      <c r="U119" s="1054">
        <v>20</v>
      </c>
      <c r="V119" s="1055">
        <v>20</v>
      </c>
    </row>
    <row r="120" spans="1:30" s="2" customFormat="1" ht="67.5" customHeight="1" x14ac:dyDescent="0.3">
      <c r="A120" s="156"/>
      <c r="B120" s="157"/>
      <c r="C120" s="158"/>
      <c r="D120" s="598" t="s">
        <v>54</v>
      </c>
      <c r="E120" s="65" t="s">
        <v>221</v>
      </c>
      <c r="F120" s="159"/>
      <c r="G120" s="1128"/>
      <c r="H120" s="187"/>
      <c r="I120" s="599"/>
      <c r="J120" s="1125" t="s">
        <v>31</v>
      </c>
      <c r="K120" s="596">
        <v>98645</v>
      </c>
      <c r="L120" s="915"/>
      <c r="M120" s="244">
        <f>N120</f>
        <v>98600</v>
      </c>
      <c r="N120" s="1133">
        <v>98600</v>
      </c>
      <c r="O120" s="1133"/>
      <c r="P120" s="245"/>
      <c r="Q120" s="244">
        <f>N120</f>
        <v>98600</v>
      </c>
      <c r="R120" s="1120">
        <f>Q120</f>
        <v>98600</v>
      </c>
      <c r="S120" s="95" t="s">
        <v>222</v>
      </c>
      <c r="T120" s="73">
        <v>34</v>
      </c>
      <c r="U120" s="47">
        <v>34</v>
      </c>
      <c r="V120" s="74">
        <v>34</v>
      </c>
      <c r="AA120" s="3"/>
    </row>
    <row r="121" spans="1:30" s="2" customFormat="1" ht="40.5" customHeight="1" x14ac:dyDescent="0.3">
      <c r="A121" s="156"/>
      <c r="B121" s="157"/>
      <c r="C121" s="158"/>
      <c r="D121" s="598" t="s">
        <v>56</v>
      </c>
      <c r="E121" s="65" t="s">
        <v>223</v>
      </c>
      <c r="F121" s="159"/>
      <c r="G121" s="1128"/>
      <c r="H121" s="187"/>
      <c r="I121" s="599"/>
      <c r="J121" s="1125" t="s">
        <v>31</v>
      </c>
      <c r="K121" s="596"/>
      <c r="L121" s="915"/>
      <c r="M121" s="121">
        <f>N121</f>
        <v>21100</v>
      </c>
      <c r="N121" s="1083">
        <v>21100</v>
      </c>
      <c r="O121" s="594"/>
      <c r="P121" s="256"/>
      <c r="Q121" s="121">
        <f t="shared" ref="Q121:R124" si="20">M121</f>
        <v>21100</v>
      </c>
      <c r="R121" s="121">
        <f t="shared" si="20"/>
        <v>21100</v>
      </c>
      <c r="S121" s="266" t="s">
        <v>85</v>
      </c>
      <c r="T121" s="523" t="s">
        <v>86</v>
      </c>
      <c r="U121" s="524" t="s">
        <v>87</v>
      </c>
      <c r="V121" s="525" t="s">
        <v>87</v>
      </c>
    </row>
    <row r="122" spans="1:30" s="2" customFormat="1" ht="54" customHeight="1" x14ac:dyDescent="0.3">
      <c r="A122" s="156"/>
      <c r="B122" s="157"/>
      <c r="C122" s="158"/>
      <c r="D122" s="595" t="s">
        <v>59</v>
      </c>
      <c r="E122" s="169" t="s">
        <v>224</v>
      </c>
      <c r="F122" s="159"/>
      <c r="G122" s="1128"/>
      <c r="H122" s="591"/>
      <c r="I122" s="599"/>
      <c r="J122" s="1125" t="s">
        <v>31</v>
      </c>
      <c r="K122" s="596">
        <v>43443</v>
      </c>
      <c r="L122" s="915"/>
      <c r="M122" s="439">
        <v>41400</v>
      </c>
      <c r="N122" s="597">
        <v>41400</v>
      </c>
      <c r="O122" s="597"/>
      <c r="P122" s="503"/>
      <c r="Q122" s="439">
        <f t="shared" si="20"/>
        <v>41400</v>
      </c>
      <c r="R122" s="439">
        <f t="shared" si="20"/>
        <v>41400</v>
      </c>
      <c r="S122" s="436" t="s">
        <v>225</v>
      </c>
      <c r="T122" s="1077">
        <v>200</v>
      </c>
      <c r="U122" s="1054">
        <v>200</v>
      </c>
      <c r="V122" s="1079">
        <v>200</v>
      </c>
    </row>
    <row r="123" spans="1:30" s="2" customFormat="1" ht="68.25" customHeight="1" x14ac:dyDescent="0.3">
      <c r="A123" s="156"/>
      <c r="B123" s="157"/>
      <c r="C123" s="158"/>
      <c r="D123" s="598" t="s">
        <v>97</v>
      </c>
      <c r="E123" s="1068" t="s">
        <v>226</v>
      </c>
      <c r="F123" s="159"/>
      <c r="G123" s="1128"/>
      <c r="H123" s="591"/>
      <c r="I123" s="599"/>
      <c r="J123" s="978" t="s">
        <v>31</v>
      </c>
      <c r="K123" s="676">
        <v>43442</v>
      </c>
      <c r="L123" s="915"/>
      <c r="M123" s="439">
        <f>N123</f>
        <v>43400</v>
      </c>
      <c r="N123" s="597">
        <v>43400</v>
      </c>
      <c r="O123" s="597"/>
      <c r="P123" s="503"/>
      <c r="Q123" s="439">
        <f t="shared" si="20"/>
        <v>43400</v>
      </c>
      <c r="R123" s="439">
        <f t="shared" si="20"/>
        <v>43400</v>
      </c>
      <c r="S123" s="921" t="s">
        <v>227</v>
      </c>
      <c r="T123" s="1077">
        <v>8</v>
      </c>
      <c r="U123" s="1054">
        <v>8</v>
      </c>
      <c r="V123" s="1079">
        <v>8</v>
      </c>
    </row>
    <row r="124" spans="1:30" s="2" customFormat="1" ht="69" customHeight="1" x14ac:dyDescent="0.3">
      <c r="A124" s="1066"/>
      <c r="B124" s="1067"/>
      <c r="C124" s="1117"/>
      <c r="D124" s="917" t="s">
        <v>100</v>
      </c>
      <c r="E124" s="918" t="s">
        <v>282</v>
      </c>
      <c r="F124" s="3035"/>
      <c r="G124" s="2967"/>
      <c r="H124" s="3036"/>
      <c r="I124" s="2979"/>
      <c r="J124" s="35" t="s">
        <v>31</v>
      </c>
      <c r="K124" s="415"/>
      <c r="L124" s="915"/>
      <c r="M124" s="407">
        <f>N124</f>
        <v>23600</v>
      </c>
      <c r="N124" s="570">
        <v>23600</v>
      </c>
      <c r="O124" s="67"/>
      <c r="P124" s="491"/>
      <c r="Q124" s="492">
        <f t="shared" si="20"/>
        <v>23600</v>
      </c>
      <c r="R124" s="492">
        <f t="shared" si="20"/>
        <v>23600</v>
      </c>
      <c r="S124" s="919" t="s">
        <v>228</v>
      </c>
      <c r="T124" s="541" t="s">
        <v>136</v>
      </c>
      <c r="U124" s="551">
        <v>1</v>
      </c>
      <c r="V124" s="552">
        <v>1</v>
      </c>
    </row>
    <row r="125" spans="1:30" s="2" customFormat="1" ht="48.75" customHeight="1" x14ac:dyDescent="0.3">
      <c r="A125" s="1066"/>
      <c r="B125" s="1067"/>
      <c r="C125" s="1117"/>
      <c r="D125" s="601" t="s">
        <v>211</v>
      </c>
      <c r="E125" s="2767" t="s">
        <v>88</v>
      </c>
      <c r="F125" s="3035"/>
      <c r="G125" s="2967"/>
      <c r="H125" s="3036"/>
      <c r="I125" s="2979"/>
      <c r="J125" s="28" t="s">
        <v>31</v>
      </c>
      <c r="K125" s="443"/>
      <c r="L125" s="916"/>
      <c r="M125" s="407">
        <v>19200</v>
      </c>
      <c r="N125" s="570">
        <v>19200</v>
      </c>
      <c r="O125" s="40"/>
      <c r="P125" s="41"/>
      <c r="Q125" s="492">
        <v>19200</v>
      </c>
      <c r="R125" s="602">
        <v>19200</v>
      </c>
      <c r="S125" s="2767" t="s">
        <v>229</v>
      </c>
      <c r="T125" s="534">
        <v>10</v>
      </c>
      <c r="U125" s="603">
        <v>10</v>
      </c>
      <c r="V125" s="604">
        <v>10</v>
      </c>
      <c r="X125" s="3"/>
    </row>
    <row r="126" spans="1:30" s="2" customFormat="1" ht="32.25" customHeight="1" thickBot="1" x14ac:dyDescent="0.35">
      <c r="A126" s="1066"/>
      <c r="B126" s="1067"/>
      <c r="C126" s="1075"/>
      <c r="D126" s="605"/>
      <c r="E126" s="2768"/>
      <c r="F126" s="3027"/>
      <c r="G126" s="2968"/>
      <c r="H126" s="3030"/>
      <c r="I126" s="3032"/>
      <c r="J126" s="80" t="s">
        <v>36</v>
      </c>
      <c r="K126" s="458">
        <f>SUM(K118:K125)</f>
        <v>352728</v>
      </c>
      <c r="L126" s="547">
        <f>SUM(L118:L125)</f>
        <v>352728</v>
      </c>
      <c r="M126" s="455">
        <f t="shared" ref="M126:P126" si="21">SUM(M118:M125)</f>
        <v>382400</v>
      </c>
      <c r="N126" s="459">
        <f t="shared" si="21"/>
        <v>382400</v>
      </c>
      <c r="O126" s="459">
        <f t="shared" si="21"/>
        <v>0</v>
      </c>
      <c r="P126" s="478">
        <f t="shared" si="21"/>
        <v>0</v>
      </c>
      <c r="Q126" s="458">
        <f>SUM(Q118:Q125)</f>
        <v>382400</v>
      </c>
      <c r="R126" s="80">
        <f>SUM(R118:R125)</f>
        <v>382400</v>
      </c>
      <c r="S126" s="2768"/>
      <c r="T126" s="96"/>
      <c r="U126" s="1115"/>
      <c r="V126" s="97"/>
    </row>
    <row r="127" spans="1:30" s="2" customFormat="1" ht="27.75" customHeight="1" x14ac:dyDescent="0.3">
      <c r="A127" s="178" t="s">
        <v>22</v>
      </c>
      <c r="B127" s="179" t="s">
        <v>50</v>
      </c>
      <c r="C127" s="1060" t="s">
        <v>56</v>
      </c>
      <c r="D127" s="589"/>
      <c r="E127" s="180" t="s">
        <v>89</v>
      </c>
      <c r="F127" s="150"/>
      <c r="G127" s="1108">
        <v>10</v>
      </c>
      <c r="H127" s="606" t="s">
        <v>27</v>
      </c>
      <c r="I127" s="3031" t="s">
        <v>161</v>
      </c>
      <c r="J127" s="1124"/>
      <c r="K127" s="107"/>
      <c r="L127" s="607"/>
      <c r="M127" s="377"/>
      <c r="N127" s="378"/>
      <c r="O127" s="379"/>
      <c r="P127" s="608"/>
      <c r="Q127" s="380"/>
      <c r="R127" s="381"/>
      <c r="S127" s="2578" t="s">
        <v>90</v>
      </c>
      <c r="T127" s="78">
        <v>20</v>
      </c>
      <c r="U127" s="1072">
        <v>20</v>
      </c>
      <c r="V127" s="79">
        <v>20</v>
      </c>
    </row>
    <row r="128" spans="1:30" s="2" customFormat="1" ht="28.5" customHeight="1" x14ac:dyDescent="0.3">
      <c r="A128" s="1022"/>
      <c r="B128" s="1023"/>
      <c r="C128" s="906"/>
      <c r="D128" s="595" t="s">
        <v>22</v>
      </c>
      <c r="E128" s="183" t="s">
        <v>230</v>
      </c>
      <c r="F128" s="920"/>
      <c r="G128" s="1139"/>
      <c r="H128" s="941"/>
      <c r="I128" s="3014"/>
      <c r="J128" s="592" t="s">
        <v>31</v>
      </c>
      <c r="K128" s="383">
        <v>31858</v>
      </c>
      <c r="L128" s="498">
        <v>31858</v>
      </c>
      <c r="M128" s="390">
        <v>23500</v>
      </c>
      <c r="N128" s="386">
        <v>23500</v>
      </c>
      <c r="O128" s="389"/>
      <c r="P128" s="516"/>
      <c r="Q128" s="388">
        <v>24000</v>
      </c>
      <c r="R128" s="388">
        <v>24000</v>
      </c>
      <c r="S128" s="2849"/>
      <c r="T128" s="253"/>
      <c r="U128" s="557"/>
      <c r="V128" s="558"/>
    </row>
    <row r="129" spans="1:31" s="2" customFormat="1" ht="54" customHeight="1" x14ac:dyDescent="0.3">
      <c r="A129" s="1024"/>
      <c r="B129" s="1025"/>
      <c r="C129" s="1026"/>
      <c r="D129" s="1027" t="s">
        <v>50</v>
      </c>
      <c r="E129" s="34" t="s">
        <v>231</v>
      </c>
      <c r="F129" s="1028"/>
      <c r="G129" s="1138"/>
      <c r="H129" s="289"/>
      <c r="I129" s="1134"/>
      <c r="J129" s="592" t="s">
        <v>31</v>
      </c>
      <c r="K129" s="383"/>
      <c r="L129" s="498"/>
      <c r="M129" s="390">
        <v>8500</v>
      </c>
      <c r="N129" s="386">
        <v>8500</v>
      </c>
      <c r="O129" s="389"/>
      <c r="P129" s="516"/>
      <c r="Q129" s="388">
        <v>8500</v>
      </c>
      <c r="R129" s="609">
        <v>8500</v>
      </c>
      <c r="S129" s="610" t="s">
        <v>232</v>
      </c>
      <c r="T129" s="523" t="s">
        <v>26</v>
      </c>
      <c r="U129" s="524" t="s">
        <v>26</v>
      </c>
      <c r="V129" s="525" t="s">
        <v>26</v>
      </c>
      <c r="X129" s="3"/>
      <c r="AE129" s="3"/>
    </row>
    <row r="130" spans="1:31" s="2" customFormat="1" ht="116.25" customHeight="1" x14ac:dyDescent="0.3">
      <c r="A130" s="181"/>
      <c r="B130" s="182"/>
      <c r="C130" s="158"/>
      <c r="D130" s="590" t="s">
        <v>54</v>
      </c>
      <c r="E130" s="1090" t="s">
        <v>305</v>
      </c>
      <c r="F130" s="159"/>
      <c r="G130" s="126"/>
      <c r="H130" s="295"/>
      <c r="I130" s="441"/>
      <c r="J130" s="1125" t="s">
        <v>31</v>
      </c>
      <c r="K130" s="409">
        <v>46339</v>
      </c>
      <c r="L130" s="496">
        <v>105339</v>
      </c>
      <c r="M130" s="392">
        <v>25000</v>
      </c>
      <c r="N130" s="393">
        <v>25000</v>
      </c>
      <c r="O130" s="611"/>
      <c r="P130" s="555"/>
      <c r="Q130" s="396"/>
      <c r="R130" s="612"/>
      <c r="S130" s="192" t="s">
        <v>233</v>
      </c>
      <c r="T130" s="55" t="s">
        <v>136</v>
      </c>
      <c r="U130" s="56"/>
      <c r="V130" s="57"/>
    </row>
    <row r="131" spans="1:31" s="2" customFormat="1" ht="22.5" customHeight="1" x14ac:dyDescent="0.3">
      <c r="A131" s="3038"/>
      <c r="B131" s="2756"/>
      <c r="C131" s="1117"/>
      <c r="D131" s="613" t="s">
        <v>56</v>
      </c>
      <c r="E131" s="2789" t="s">
        <v>93</v>
      </c>
      <c r="F131" s="21"/>
      <c r="G131" s="124"/>
      <c r="H131" s="614"/>
      <c r="I131" s="2685"/>
      <c r="J131" s="1125" t="s">
        <v>31</v>
      </c>
      <c r="K131" s="121">
        <v>21664</v>
      </c>
      <c r="L131" s="543">
        <v>21664</v>
      </c>
      <c r="M131" s="615">
        <f>N131</f>
        <v>20800</v>
      </c>
      <c r="N131" s="616">
        <v>20800</v>
      </c>
      <c r="O131" s="386"/>
      <c r="P131" s="516"/>
      <c r="Q131" s="617">
        <f>R131</f>
        <v>43300</v>
      </c>
      <c r="R131" s="617">
        <v>43300</v>
      </c>
      <c r="S131" s="3039" t="s">
        <v>233</v>
      </c>
      <c r="T131" s="565" t="s">
        <v>234</v>
      </c>
      <c r="U131" s="118" t="s">
        <v>234</v>
      </c>
      <c r="V131" s="518" t="s">
        <v>234</v>
      </c>
    </row>
    <row r="132" spans="1:31" s="2" customFormat="1" ht="22.5" customHeight="1" x14ac:dyDescent="0.25">
      <c r="A132" s="3038"/>
      <c r="B132" s="2756"/>
      <c r="C132" s="1117"/>
      <c r="D132" s="618"/>
      <c r="E132" s="2665"/>
      <c r="F132" s="190"/>
      <c r="G132" s="191"/>
      <c r="H132" s="614"/>
      <c r="I132" s="2685"/>
      <c r="J132" s="28" t="s">
        <v>52</v>
      </c>
      <c r="K132" s="121">
        <v>209222</v>
      </c>
      <c r="L132" s="543">
        <v>209222</v>
      </c>
      <c r="M132" s="615">
        <f>N132</f>
        <v>208200</v>
      </c>
      <c r="N132" s="616">
        <v>208200</v>
      </c>
      <c r="O132" s="619"/>
      <c r="P132" s="620"/>
      <c r="Q132" s="617">
        <f>M132</f>
        <v>208200</v>
      </c>
      <c r="R132" s="617">
        <f>N132</f>
        <v>208200</v>
      </c>
      <c r="S132" s="3040"/>
      <c r="T132" s="55"/>
      <c r="U132" s="56"/>
      <c r="V132" s="57"/>
      <c r="Z132" s="3"/>
    </row>
    <row r="133" spans="1:31" s="2" customFormat="1" ht="22.5" customHeight="1" x14ac:dyDescent="0.25">
      <c r="A133" s="1066"/>
      <c r="B133" s="1067"/>
      <c r="C133" s="1117"/>
      <c r="D133" s="1037"/>
      <c r="E133" s="2933"/>
      <c r="F133" s="190"/>
      <c r="G133" s="191"/>
      <c r="H133" s="614"/>
      <c r="I133" s="2685"/>
      <c r="J133" s="43" t="s">
        <v>52</v>
      </c>
      <c r="K133" s="811">
        <v>10455</v>
      </c>
      <c r="L133" s="1038">
        <v>10455</v>
      </c>
      <c r="M133" s="615">
        <f>N133</f>
        <v>10400</v>
      </c>
      <c r="N133" s="616">
        <v>10400</v>
      </c>
      <c r="O133" s="386"/>
      <c r="P133" s="516"/>
      <c r="Q133" s="617"/>
      <c r="R133" s="617"/>
      <c r="S133" s="3040"/>
      <c r="T133" s="55"/>
      <c r="U133" s="56"/>
      <c r="V133" s="57"/>
    </row>
    <row r="134" spans="1:31" s="2" customFormat="1" ht="22.5" customHeight="1" x14ac:dyDescent="0.25">
      <c r="A134" s="1066"/>
      <c r="B134" s="1067"/>
      <c r="C134" s="1117"/>
      <c r="D134" s="618" t="s">
        <v>59</v>
      </c>
      <c r="E134" s="2789" t="s">
        <v>301</v>
      </c>
      <c r="F134" s="190"/>
      <c r="G134" s="191"/>
      <c r="H134" s="614"/>
      <c r="I134" s="2685"/>
      <c r="J134" s="22" t="s">
        <v>31</v>
      </c>
      <c r="K134" s="621"/>
      <c r="L134" s="622"/>
      <c r="M134" s="621">
        <v>3500</v>
      </c>
      <c r="N134" s="1166">
        <v>3500</v>
      </c>
      <c r="O134" s="1167"/>
      <c r="P134" s="361"/>
      <c r="Q134" s="621">
        <f>M134</f>
        <v>3500</v>
      </c>
      <c r="R134" s="621">
        <f>N134</f>
        <v>3500</v>
      </c>
      <c r="S134" s="3039" t="s">
        <v>302</v>
      </c>
      <c r="T134" s="565" t="s">
        <v>303</v>
      </c>
      <c r="U134" s="118" t="s">
        <v>303</v>
      </c>
      <c r="V134" s="518" t="s">
        <v>303</v>
      </c>
    </row>
    <row r="135" spans="1:31" s="2" customFormat="1" ht="16.5" customHeight="1" thickBot="1" x14ac:dyDescent="0.3">
      <c r="A135" s="1057"/>
      <c r="B135" s="1059"/>
      <c r="C135" s="1075"/>
      <c r="D135" s="623"/>
      <c r="E135" s="2666"/>
      <c r="F135" s="193"/>
      <c r="G135" s="194"/>
      <c r="H135" s="624"/>
      <c r="I135" s="2750"/>
      <c r="J135" s="142" t="s">
        <v>36</v>
      </c>
      <c r="K135" s="469">
        <f>SUM(K128:K133)</f>
        <v>319538</v>
      </c>
      <c r="L135" s="625">
        <f>SUM(L128:L133)</f>
        <v>378538</v>
      </c>
      <c r="M135" s="469">
        <f>SUM(M128:M134)</f>
        <v>299900</v>
      </c>
      <c r="N135" s="586">
        <f>SUM(N128:N134)</f>
        <v>299900</v>
      </c>
      <c r="O135" s="586">
        <f t="shared" ref="O135:P135" si="22">SUM(O128:O133)</f>
        <v>0</v>
      </c>
      <c r="P135" s="588">
        <f t="shared" si="22"/>
        <v>0</v>
      </c>
      <c r="Q135" s="626">
        <f>SUM(Q128:Q134)</f>
        <v>287500</v>
      </c>
      <c r="R135" s="626">
        <f>SUM(R128:R134)</f>
        <v>287500</v>
      </c>
      <c r="S135" s="2976"/>
      <c r="T135" s="195"/>
      <c r="U135" s="196"/>
      <c r="V135" s="197"/>
    </row>
    <row r="136" spans="1:31" s="2" customFormat="1" ht="42" customHeight="1" x14ac:dyDescent="0.3">
      <c r="A136" s="1056" t="s">
        <v>22</v>
      </c>
      <c r="B136" s="1058" t="s">
        <v>50</v>
      </c>
      <c r="C136" s="1074" t="s">
        <v>59</v>
      </c>
      <c r="D136" s="627"/>
      <c r="E136" s="993" t="s">
        <v>94</v>
      </c>
      <c r="F136" s="1110"/>
      <c r="G136" s="89">
        <v>10</v>
      </c>
      <c r="H136" s="12" t="s">
        <v>95</v>
      </c>
      <c r="I136" s="965" t="s">
        <v>235</v>
      </c>
      <c r="J136" s="966" t="s">
        <v>31</v>
      </c>
      <c r="K136" s="473">
        <v>28962</v>
      </c>
      <c r="L136" s="967">
        <v>63962</v>
      </c>
      <c r="M136" s="968">
        <v>50400</v>
      </c>
      <c r="N136" s="969">
        <v>50400</v>
      </c>
      <c r="O136" s="969"/>
      <c r="P136" s="970"/>
      <c r="Q136" s="332">
        <f>M136</f>
        <v>50400</v>
      </c>
      <c r="R136" s="332">
        <f>N136</f>
        <v>50400</v>
      </c>
      <c r="S136" s="198" t="s">
        <v>264</v>
      </c>
      <c r="T136" s="199">
        <v>20</v>
      </c>
      <c r="U136" s="200">
        <v>20</v>
      </c>
      <c r="V136" s="201">
        <v>20</v>
      </c>
    </row>
    <row r="137" spans="1:31" s="2" customFormat="1" ht="55.5" customHeight="1" x14ac:dyDescent="0.3">
      <c r="A137" s="1066"/>
      <c r="B137" s="1067"/>
      <c r="C137" s="1117"/>
      <c r="D137" s="601"/>
      <c r="E137" s="31"/>
      <c r="F137" s="770"/>
      <c r="G137" s="124"/>
      <c r="H137" s="937"/>
      <c r="I137" s="128"/>
      <c r="J137" s="634" t="s">
        <v>31</v>
      </c>
      <c r="K137" s="407"/>
      <c r="L137" s="570"/>
      <c r="M137" s="66">
        <v>18400</v>
      </c>
      <c r="N137" s="67"/>
      <c r="O137" s="636"/>
      <c r="P137" s="68">
        <f>M137</f>
        <v>18400</v>
      </c>
      <c r="Q137" s="35">
        <f>M137</f>
        <v>18400</v>
      </c>
      <c r="R137" s="35">
        <v>18400</v>
      </c>
      <c r="S137" s="919" t="s">
        <v>276</v>
      </c>
      <c r="T137" s="962">
        <v>7</v>
      </c>
      <c r="U137" s="963">
        <v>7</v>
      </c>
      <c r="V137" s="964">
        <v>7</v>
      </c>
      <c r="AB137" s="3"/>
    </row>
    <row r="138" spans="1:31" s="2" customFormat="1" ht="40.5" customHeight="1" x14ac:dyDescent="0.3">
      <c r="A138" s="1066"/>
      <c r="B138" s="1067"/>
      <c r="C138" s="1117"/>
      <c r="D138" s="601"/>
      <c r="E138" s="31"/>
      <c r="F138" s="21"/>
      <c r="G138" s="124"/>
      <c r="H138" s="27"/>
      <c r="I138" s="128"/>
      <c r="J138" s="202" t="s">
        <v>31</v>
      </c>
      <c r="K138" s="383"/>
      <c r="L138" s="391"/>
      <c r="M138" s="1082">
        <f>N138</f>
        <v>1100</v>
      </c>
      <c r="N138" s="1083">
        <v>1100</v>
      </c>
      <c r="O138" s="629"/>
      <c r="P138" s="1085"/>
      <c r="Q138" s="43">
        <v>1100</v>
      </c>
      <c r="R138" s="43">
        <v>1100</v>
      </c>
      <c r="S138" s="247" t="s">
        <v>236</v>
      </c>
      <c r="T138" s="630">
        <v>21</v>
      </c>
      <c r="U138" s="631">
        <v>21</v>
      </c>
      <c r="V138" s="632">
        <v>21</v>
      </c>
      <c r="X138" s="3"/>
    </row>
    <row r="139" spans="1:31" s="2" customFormat="1" ht="15.75" customHeight="1" x14ac:dyDescent="0.3">
      <c r="A139" s="1066"/>
      <c r="B139" s="1067"/>
      <c r="C139" s="1117"/>
      <c r="D139" s="601"/>
      <c r="E139" s="31"/>
      <c r="F139" s="21"/>
      <c r="G139" s="124"/>
      <c r="H139" s="27"/>
      <c r="I139" s="128"/>
      <c r="J139" s="634" t="s">
        <v>31</v>
      </c>
      <c r="K139" s="409"/>
      <c r="L139" s="340"/>
      <c r="M139" s="635">
        <f>N139+P139</f>
        <v>70000</v>
      </c>
      <c r="N139" s="570">
        <v>70000</v>
      </c>
      <c r="O139" s="636"/>
      <c r="P139" s="68"/>
      <c r="Q139" s="43">
        <v>70000</v>
      </c>
      <c r="R139" s="43">
        <v>70000</v>
      </c>
      <c r="S139" s="3039" t="s">
        <v>297</v>
      </c>
      <c r="T139" s="203">
        <v>15</v>
      </c>
      <c r="U139" s="204">
        <v>15</v>
      </c>
      <c r="V139" s="205">
        <v>15</v>
      </c>
    </row>
    <row r="140" spans="1:31" s="2" customFormat="1" ht="16.5" customHeight="1" x14ac:dyDescent="0.3">
      <c r="A140" s="1066"/>
      <c r="B140" s="1067"/>
      <c r="C140" s="1117"/>
      <c r="D140" s="601"/>
      <c r="E140" s="31"/>
      <c r="F140" s="21"/>
      <c r="G140" s="124"/>
      <c r="H140" s="27"/>
      <c r="I140" s="128"/>
      <c r="J140" s="202" t="s">
        <v>176</v>
      </c>
      <c r="K140" s="498">
        <v>716</v>
      </c>
      <c r="L140" s="498">
        <v>716</v>
      </c>
      <c r="M140" s="66"/>
      <c r="N140" s="67"/>
      <c r="O140" s="636"/>
      <c r="P140" s="68"/>
      <c r="Q140" s="43"/>
      <c r="R140" s="43"/>
      <c r="S140" s="3040"/>
      <c r="T140" s="637"/>
      <c r="U140" s="638"/>
      <c r="V140" s="639"/>
    </row>
    <row r="141" spans="1:31" s="2" customFormat="1" ht="16.5" customHeight="1" x14ac:dyDescent="0.3">
      <c r="A141" s="1066"/>
      <c r="B141" s="1067"/>
      <c r="C141" s="1117"/>
      <c r="D141" s="601"/>
      <c r="E141" s="31"/>
      <c r="F141" s="21"/>
      <c r="G141" s="124"/>
      <c r="H141" s="27"/>
      <c r="I141" s="128"/>
      <c r="J141" s="633" t="s">
        <v>52</v>
      </c>
      <c r="K141" s="496">
        <f>43791</f>
        <v>43791</v>
      </c>
      <c r="L141" s="340">
        <v>52699</v>
      </c>
      <c r="M141" s="320">
        <f>N141+P141</f>
        <v>137100</v>
      </c>
      <c r="N141" s="40">
        <v>94200</v>
      </c>
      <c r="O141" s="83"/>
      <c r="P141" s="84">
        <v>42900</v>
      </c>
      <c r="Q141" s="28">
        <f>M141</f>
        <v>137100</v>
      </c>
      <c r="R141" s="28">
        <f>M141</f>
        <v>137100</v>
      </c>
      <c r="S141" s="172"/>
      <c r="T141" s="637"/>
      <c r="U141" s="638"/>
      <c r="V141" s="639"/>
    </row>
    <row r="142" spans="1:31" s="2" customFormat="1" ht="16.5" customHeight="1" thickBot="1" x14ac:dyDescent="0.35">
      <c r="A142" s="1057"/>
      <c r="B142" s="1059"/>
      <c r="C142" s="1075"/>
      <c r="D142" s="605"/>
      <c r="E142" s="961"/>
      <c r="F142" s="1111"/>
      <c r="G142" s="93"/>
      <c r="H142" s="922"/>
      <c r="I142" s="82"/>
      <c r="J142" s="94" t="s">
        <v>36</v>
      </c>
      <c r="K142" s="455">
        <f t="shared" ref="K142:R142" si="23">SUM(K136:K141)</f>
        <v>73469</v>
      </c>
      <c r="L142" s="547">
        <f t="shared" si="23"/>
        <v>117377</v>
      </c>
      <c r="M142" s="455">
        <f t="shared" si="23"/>
        <v>277000</v>
      </c>
      <c r="N142" s="459">
        <f t="shared" si="23"/>
        <v>215700</v>
      </c>
      <c r="O142" s="458">
        <f t="shared" si="23"/>
        <v>0</v>
      </c>
      <c r="P142" s="456">
        <f t="shared" si="23"/>
        <v>61300</v>
      </c>
      <c r="Q142" s="457">
        <f t="shared" si="23"/>
        <v>277000</v>
      </c>
      <c r="R142" s="457">
        <f t="shared" si="23"/>
        <v>277000</v>
      </c>
      <c r="S142" s="923"/>
      <c r="T142" s="1063"/>
      <c r="U142" s="207"/>
      <c r="V142" s="208"/>
    </row>
    <row r="143" spans="1:31" s="2" customFormat="1" ht="25.5" customHeight="1" x14ac:dyDescent="0.3">
      <c r="A143" s="1056" t="s">
        <v>22</v>
      </c>
      <c r="B143" s="1058" t="s">
        <v>50</v>
      </c>
      <c r="C143" s="1074" t="s">
        <v>97</v>
      </c>
      <c r="D143" s="627"/>
      <c r="E143" s="2763" t="s">
        <v>98</v>
      </c>
      <c r="F143" s="1110"/>
      <c r="G143" s="89">
        <v>10</v>
      </c>
      <c r="H143" s="2765">
        <v>3</v>
      </c>
      <c r="I143" s="2690" t="s">
        <v>162</v>
      </c>
      <c r="J143" s="1124" t="s">
        <v>52</v>
      </c>
      <c r="K143" s="1076">
        <v>144810</v>
      </c>
      <c r="L143" s="548">
        <v>144810</v>
      </c>
      <c r="M143" s="78">
        <f>N143</f>
        <v>164600</v>
      </c>
      <c r="N143" s="1072">
        <v>164600</v>
      </c>
      <c r="O143" s="378"/>
      <c r="P143" s="608"/>
      <c r="Q143" s="1072">
        <f>M143</f>
        <v>164600</v>
      </c>
      <c r="R143" s="1072">
        <f>N143</f>
        <v>164600</v>
      </c>
      <c r="S143" s="1126" t="s">
        <v>99</v>
      </c>
      <c r="T143" s="1062">
        <v>170</v>
      </c>
      <c r="U143" s="210">
        <v>170</v>
      </c>
      <c r="V143" s="211">
        <v>107</v>
      </c>
    </row>
    <row r="144" spans="1:31" s="2" customFormat="1" ht="16.5" customHeight="1" thickBot="1" x14ac:dyDescent="0.3">
      <c r="A144" s="1066"/>
      <c r="B144" s="1067"/>
      <c r="C144" s="1075"/>
      <c r="D144" s="605"/>
      <c r="E144" s="2783"/>
      <c r="F144" s="190"/>
      <c r="G144" s="194"/>
      <c r="H144" s="3037"/>
      <c r="I144" s="2750"/>
      <c r="J144" s="142" t="s">
        <v>36</v>
      </c>
      <c r="K144" s="469">
        <f>SUM(K143:K143)</f>
        <v>144810</v>
      </c>
      <c r="L144" s="625">
        <f>SUM(L143:L143)</f>
        <v>144810</v>
      </c>
      <c r="M144" s="469">
        <f>N144+P144</f>
        <v>164600</v>
      </c>
      <c r="N144" s="586">
        <f>SUM(N143:N143)</f>
        <v>164600</v>
      </c>
      <c r="O144" s="587"/>
      <c r="P144" s="470"/>
      <c r="Q144" s="80">
        <f>Q143</f>
        <v>164600</v>
      </c>
      <c r="R144" s="478">
        <f>R143</f>
        <v>164600</v>
      </c>
      <c r="S144" s="1103"/>
      <c r="T144" s="20"/>
      <c r="U144" s="47"/>
      <c r="V144" s="48"/>
    </row>
    <row r="145" spans="1:29" s="2" customFormat="1" ht="29.25" customHeight="1" x14ac:dyDescent="0.3">
      <c r="A145" s="1056" t="s">
        <v>22</v>
      </c>
      <c r="B145" s="1058" t="s">
        <v>50</v>
      </c>
      <c r="C145" s="1074" t="s">
        <v>100</v>
      </c>
      <c r="D145" s="627"/>
      <c r="E145" s="2757" t="s">
        <v>101</v>
      </c>
      <c r="F145" s="3026"/>
      <c r="G145" s="3028" t="s">
        <v>26</v>
      </c>
      <c r="H145" s="3029">
        <v>5</v>
      </c>
      <c r="I145" s="3031" t="s">
        <v>237</v>
      </c>
      <c r="J145" s="1076" t="s">
        <v>31</v>
      </c>
      <c r="K145" s="107"/>
      <c r="L145" s="628"/>
      <c r="M145" s="640"/>
      <c r="N145" s="641"/>
      <c r="O145" s="607"/>
      <c r="P145" s="109"/>
      <c r="Q145" s="642">
        <v>50000</v>
      </c>
      <c r="R145" s="569">
        <v>75000</v>
      </c>
      <c r="S145" s="77" t="s">
        <v>102</v>
      </c>
      <c r="T145" s="78"/>
      <c r="U145" s="1072">
        <v>1</v>
      </c>
      <c r="V145" s="79"/>
    </row>
    <row r="146" spans="1:29" s="2" customFormat="1" ht="16.5" customHeight="1" x14ac:dyDescent="0.3">
      <c r="A146" s="1066"/>
      <c r="B146" s="1067"/>
      <c r="C146" s="1117"/>
      <c r="D146" s="601"/>
      <c r="E146" s="2680"/>
      <c r="F146" s="3035"/>
      <c r="G146" s="2967"/>
      <c r="H146" s="3036"/>
      <c r="I146" s="2979"/>
      <c r="J146" s="121" t="s">
        <v>103</v>
      </c>
      <c r="K146" s="383"/>
      <c r="L146" s="498"/>
      <c r="M146" s="403"/>
      <c r="N146" s="566"/>
      <c r="O146" s="391"/>
      <c r="P146" s="643"/>
      <c r="Q146" s="1120"/>
      <c r="R146" s="244">
        <v>425000</v>
      </c>
      <c r="S146" s="2789" t="s">
        <v>104</v>
      </c>
      <c r="T146" s="3033"/>
      <c r="U146" s="3021"/>
      <c r="V146" s="3023">
        <v>50</v>
      </c>
    </row>
    <row r="147" spans="1:29" s="2" customFormat="1" ht="16.5" customHeight="1" thickBot="1" x14ac:dyDescent="0.35">
      <c r="A147" s="1057"/>
      <c r="B147" s="1059"/>
      <c r="C147" s="1075"/>
      <c r="D147" s="605"/>
      <c r="E147" s="2758"/>
      <c r="F147" s="3027"/>
      <c r="G147" s="2968"/>
      <c r="H147" s="3030"/>
      <c r="I147" s="3032"/>
      <c r="J147" s="536" t="s">
        <v>36</v>
      </c>
      <c r="K147" s="536"/>
      <c r="L147" s="644"/>
      <c r="M147" s="457"/>
      <c r="N147" s="645"/>
      <c r="O147" s="459"/>
      <c r="P147" s="537"/>
      <c r="Q147" s="80">
        <f>SUM(Q145:Q146)</f>
        <v>50000</v>
      </c>
      <c r="R147" s="80">
        <f>SUM(R145:R146)</f>
        <v>500000</v>
      </c>
      <c r="S147" s="2666"/>
      <c r="T147" s="3034"/>
      <c r="U147" s="3022"/>
      <c r="V147" s="3024"/>
      <c r="AC147" s="3"/>
    </row>
    <row r="148" spans="1:29" s="2" customFormat="1" ht="37.5" customHeight="1" x14ac:dyDescent="0.3">
      <c r="A148" s="1056" t="s">
        <v>22</v>
      </c>
      <c r="B148" s="1058" t="s">
        <v>50</v>
      </c>
      <c r="C148" s="1074" t="s">
        <v>211</v>
      </c>
      <c r="D148" s="627"/>
      <c r="E148" s="2757" t="s">
        <v>238</v>
      </c>
      <c r="F148" s="3026"/>
      <c r="G148" s="3028" t="s">
        <v>26</v>
      </c>
      <c r="H148" s="3029" t="s">
        <v>27</v>
      </c>
      <c r="I148" s="3031" t="s">
        <v>239</v>
      </c>
      <c r="J148" s="1076" t="s">
        <v>103</v>
      </c>
      <c r="K148" s="107">
        <v>189354</v>
      </c>
      <c r="L148" s="628">
        <v>189354</v>
      </c>
      <c r="M148" s="640"/>
      <c r="N148" s="641"/>
      <c r="O148" s="607"/>
      <c r="P148" s="109"/>
      <c r="Q148" s="642"/>
      <c r="R148" s="569"/>
      <c r="S148" s="77"/>
      <c r="T148" s="646"/>
      <c r="U148" s="647"/>
      <c r="V148" s="648"/>
    </row>
    <row r="149" spans="1:29" s="2" customFormat="1" ht="37.5" customHeight="1" x14ac:dyDescent="0.3">
      <c r="A149" s="1066"/>
      <c r="B149" s="1067"/>
      <c r="C149" s="1117"/>
      <c r="D149" s="601"/>
      <c r="E149" s="2680"/>
      <c r="F149" s="3035"/>
      <c r="G149" s="2967"/>
      <c r="H149" s="3036"/>
      <c r="I149" s="2979"/>
      <c r="J149" s="121" t="s">
        <v>52</v>
      </c>
      <c r="K149" s="383">
        <v>33422</v>
      </c>
      <c r="L149" s="498">
        <v>33422</v>
      </c>
      <c r="M149" s="403"/>
      <c r="N149" s="566"/>
      <c r="O149" s="391"/>
      <c r="P149" s="643"/>
      <c r="Q149" s="1120"/>
      <c r="R149" s="244"/>
      <c r="S149" s="2789"/>
      <c r="T149" s="3033"/>
      <c r="U149" s="3021"/>
      <c r="V149" s="3023"/>
    </row>
    <row r="150" spans="1:29" s="2" customFormat="1" ht="16.5" customHeight="1" thickBot="1" x14ac:dyDescent="0.35">
      <c r="A150" s="1057"/>
      <c r="B150" s="1059"/>
      <c r="C150" s="1075"/>
      <c r="D150" s="605"/>
      <c r="E150" s="2758"/>
      <c r="F150" s="3027"/>
      <c r="G150" s="2968"/>
      <c r="H150" s="3030"/>
      <c r="I150" s="3032"/>
      <c r="J150" s="536" t="s">
        <v>36</v>
      </c>
      <c r="K150" s="536">
        <f>SUM(K148:K149)</f>
        <v>222776</v>
      </c>
      <c r="L150" s="644">
        <f>SUM(L148:L149)</f>
        <v>222776</v>
      </c>
      <c r="M150" s="457"/>
      <c r="N150" s="645"/>
      <c r="O150" s="459"/>
      <c r="P150" s="537"/>
      <c r="Q150" s="80"/>
      <c r="R150" s="455"/>
      <c r="S150" s="2666"/>
      <c r="T150" s="3034"/>
      <c r="U150" s="3022"/>
      <c r="V150" s="3024"/>
    </row>
    <row r="151" spans="1:29" s="2" customFormat="1" ht="14.25" customHeight="1" x14ac:dyDescent="0.3">
      <c r="A151" s="1056" t="s">
        <v>22</v>
      </c>
      <c r="B151" s="1058" t="s">
        <v>50</v>
      </c>
      <c r="C151" s="1074" t="s">
        <v>214</v>
      </c>
      <c r="D151" s="627"/>
      <c r="E151" s="2757" t="s">
        <v>240</v>
      </c>
      <c r="F151" s="3026"/>
      <c r="G151" s="3028" t="s">
        <v>26</v>
      </c>
      <c r="H151" s="3029" t="s">
        <v>27</v>
      </c>
      <c r="I151" s="3031" t="s">
        <v>161</v>
      </c>
      <c r="J151" s="13" t="s">
        <v>31</v>
      </c>
      <c r="K151" s="452">
        <v>11585</v>
      </c>
      <c r="L151" s="548">
        <v>28085</v>
      </c>
      <c r="M151" s="640"/>
      <c r="N151" s="607"/>
      <c r="O151" s="649"/>
      <c r="P151" s="79"/>
      <c r="Q151" s="290"/>
      <c r="R151" s="219"/>
      <c r="S151" s="650"/>
      <c r="T151" s="334"/>
      <c r="U151" s="16"/>
      <c r="V151" s="335"/>
    </row>
    <row r="152" spans="1:29" s="2" customFormat="1" ht="14.25" customHeight="1" thickBot="1" x14ac:dyDescent="0.35">
      <c r="A152" s="1066"/>
      <c r="B152" s="1067"/>
      <c r="C152" s="1075"/>
      <c r="D152" s="605"/>
      <c r="E152" s="3025"/>
      <c r="F152" s="3027"/>
      <c r="G152" s="2968"/>
      <c r="H152" s="3030"/>
      <c r="I152" s="3032"/>
      <c r="J152" s="80" t="s">
        <v>36</v>
      </c>
      <c r="K152" s="458">
        <f>K151</f>
        <v>11585</v>
      </c>
      <c r="L152" s="547">
        <f>L151</f>
        <v>28085</v>
      </c>
      <c r="M152" s="457"/>
      <c r="N152" s="458"/>
      <c r="O152" s="459"/>
      <c r="P152" s="478"/>
      <c r="Q152" s="80"/>
      <c r="R152" s="458"/>
      <c r="S152" s="1071"/>
      <c r="T152" s="96"/>
      <c r="U152" s="1084"/>
      <c r="V152" s="1086"/>
    </row>
    <row r="153" spans="1:29" s="2" customFormat="1" ht="16.5" customHeight="1" thickBot="1" x14ac:dyDescent="0.35">
      <c r="A153" s="7" t="s">
        <v>22</v>
      </c>
      <c r="B153" s="8" t="s">
        <v>50</v>
      </c>
      <c r="C153" s="2671" t="s">
        <v>62</v>
      </c>
      <c r="D153" s="2671"/>
      <c r="E153" s="2671"/>
      <c r="F153" s="2671"/>
      <c r="G153" s="2671"/>
      <c r="H153" s="2671"/>
      <c r="I153" s="2671"/>
      <c r="J153" s="2996"/>
      <c r="K153" s="479">
        <f t="shared" ref="K153:R153" si="24">K152+K150+K147+K144+K142+K135+K126+K116+K114</f>
        <v>5420365</v>
      </c>
      <c r="L153" s="480">
        <f t="shared" si="24"/>
        <v>5484493</v>
      </c>
      <c r="M153" s="479">
        <f t="shared" si="24"/>
        <v>5714900</v>
      </c>
      <c r="N153" s="479">
        <f t="shared" si="24"/>
        <v>5620800</v>
      </c>
      <c r="O153" s="479">
        <f t="shared" si="24"/>
        <v>2430259</v>
      </c>
      <c r="P153" s="479">
        <f t="shared" si="24"/>
        <v>94100</v>
      </c>
      <c r="Q153" s="479">
        <f t="shared" si="24"/>
        <v>5655300</v>
      </c>
      <c r="R153" s="479">
        <f t="shared" si="24"/>
        <v>6107500</v>
      </c>
      <c r="S153" s="2672"/>
      <c r="T153" s="2673"/>
      <c r="U153" s="2673"/>
      <c r="V153" s="2674"/>
    </row>
    <row r="154" spans="1:29" s="2" customFormat="1" ht="16.5" customHeight="1" thickBot="1" x14ac:dyDescent="0.35">
      <c r="A154" s="99" t="s">
        <v>22</v>
      </c>
      <c r="B154" s="8" t="s">
        <v>54</v>
      </c>
      <c r="C154" s="3019" t="s">
        <v>105</v>
      </c>
      <c r="D154" s="3019"/>
      <c r="E154" s="3019"/>
      <c r="F154" s="3019"/>
      <c r="G154" s="3019"/>
      <c r="H154" s="3019"/>
      <c r="I154" s="3019"/>
      <c r="J154" s="3019"/>
      <c r="K154" s="3019"/>
      <c r="L154" s="3019"/>
      <c r="M154" s="3019"/>
      <c r="N154" s="3019"/>
      <c r="O154" s="3019"/>
      <c r="P154" s="3019"/>
      <c r="Q154" s="3019"/>
      <c r="R154" s="3019"/>
      <c r="S154" s="3019"/>
      <c r="T154" s="3019"/>
      <c r="U154" s="3019"/>
      <c r="V154" s="3020"/>
    </row>
    <row r="155" spans="1:29" s="3" customFormat="1" ht="54.75" customHeight="1" x14ac:dyDescent="0.3">
      <c r="A155" s="213" t="s">
        <v>22</v>
      </c>
      <c r="B155" s="1058" t="s">
        <v>54</v>
      </c>
      <c r="C155" s="651" t="s">
        <v>22</v>
      </c>
      <c r="D155" s="652"/>
      <c r="E155" s="215" t="s">
        <v>106</v>
      </c>
      <c r="F155" s="216"/>
      <c r="G155" s="217"/>
      <c r="H155" s="218"/>
      <c r="I155" s="1101"/>
      <c r="J155" s="219"/>
      <c r="K155" s="153"/>
      <c r="L155" s="653"/>
      <c r="M155" s="654"/>
      <c r="N155" s="489"/>
      <c r="O155" s="489"/>
      <c r="P155" s="655"/>
      <c r="Q155" s="656"/>
      <c r="R155" s="153"/>
      <c r="S155" s="222"/>
      <c r="T155" s="222"/>
      <c r="U155" s="223"/>
      <c r="V155" s="224"/>
    </row>
    <row r="156" spans="1:29" s="3" customFormat="1" ht="27.75" customHeight="1" x14ac:dyDescent="0.3">
      <c r="A156" s="225"/>
      <c r="B156" s="1067"/>
      <c r="C156" s="657"/>
      <c r="D156" s="658" t="s">
        <v>22</v>
      </c>
      <c r="E156" s="2735" t="s">
        <v>285</v>
      </c>
      <c r="F156" s="237"/>
      <c r="G156" s="238" t="s">
        <v>26</v>
      </c>
      <c r="H156" s="239">
        <v>6</v>
      </c>
      <c r="I156" s="2744" t="s">
        <v>241</v>
      </c>
      <c r="J156" s="1120" t="s">
        <v>31</v>
      </c>
      <c r="K156" s="600"/>
      <c r="L156" s="659"/>
      <c r="M156" s="660">
        <v>48000</v>
      </c>
      <c r="N156" s="1133"/>
      <c r="O156" s="1133"/>
      <c r="P156" s="661">
        <v>48000</v>
      </c>
      <c r="Q156" s="1120">
        <v>232000</v>
      </c>
      <c r="R156" s="1120"/>
      <c r="S156" s="662" t="s">
        <v>107</v>
      </c>
      <c r="T156" s="244">
        <v>1</v>
      </c>
      <c r="U156" s="1133"/>
      <c r="V156" s="245"/>
    </row>
    <row r="157" spans="1:29" s="3" customFormat="1" ht="14.25" customHeight="1" x14ac:dyDescent="0.3">
      <c r="A157" s="225"/>
      <c r="B157" s="1067"/>
      <c r="C157" s="657"/>
      <c r="D157" s="658"/>
      <c r="E157" s="2735"/>
      <c r="F157" s="233"/>
      <c r="G157" s="234"/>
      <c r="H157" s="235"/>
      <c r="I157" s="2744"/>
      <c r="J157" s="1120"/>
      <c r="K157" s="600"/>
      <c r="L157" s="659"/>
      <c r="M157" s="660"/>
      <c r="N157" s="1133"/>
      <c r="O157" s="1133"/>
      <c r="P157" s="661"/>
      <c r="Q157" s="1120"/>
      <c r="R157" s="439"/>
      <c r="S157" s="24" t="s">
        <v>108</v>
      </c>
      <c r="T157" s="231">
        <v>10</v>
      </c>
      <c r="U157" s="1132">
        <v>100</v>
      </c>
      <c r="V157" s="232"/>
    </row>
    <row r="158" spans="1:29" s="3" customFormat="1" ht="14.25" customHeight="1" x14ac:dyDescent="0.3">
      <c r="A158" s="225"/>
      <c r="B158" s="1067"/>
      <c r="C158" s="925"/>
      <c r="D158" s="663"/>
      <c r="E158" s="2611"/>
      <c r="F158" s="278"/>
      <c r="G158" s="279"/>
      <c r="H158" s="664"/>
      <c r="I158" s="3018"/>
      <c r="J158" s="261" t="s">
        <v>36</v>
      </c>
      <c r="K158" s="665"/>
      <c r="L158" s="666"/>
      <c r="M158" s="667">
        <f>SUM(M156:M157)</f>
        <v>48000</v>
      </c>
      <c r="N158" s="668"/>
      <c r="O158" s="668"/>
      <c r="P158" s="668">
        <f>SUM(P156:P157)</f>
        <v>48000</v>
      </c>
      <c r="Q158" s="64">
        <f t="shared" ref="Q158" si="25">SUM(Q156:Q157)</f>
        <v>232000</v>
      </c>
      <c r="R158" s="669"/>
      <c r="S158" s="670"/>
      <c r="T158" s="562"/>
      <c r="U158" s="563"/>
      <c r="V158" s="564"/>
    </row>
    <row r="159" spans="1:29" s="3" customFormat="1" ht="20.25" customHeight="1" x14ac:dyDescent="0.3">
      <c r="A159" s="225"/>
      <c r="B159" s="1067"/>
      <c r="C159" s="995"/>
      <c r="D159" s="994" t="s">
        <v>50</v>
      </c>
      <c r="E159" s="2735" t="s">
        <v>109</v>
      </c>
      <c r="F159" s="237"/>
      <c r="G159" s="238" t="s">
        <v>26</v>
      </c>
      <c r="H159" s="239">
        <v>6</v>
      </c>
      <c r="I159" s="2744" t="s">
        <v>241</v>
      </c>
      <c r="J159" s="1120" t="s">
        <v>31</v>
      </c>
      <c r="K159" s="600">
        <v>8689</v>
      </c>
      <c r="L159" s="659">
        <v>8689</v>
      </c>
      <c r="M159" s="660">
        <v>69100</v>
      </c>
      <c r="N159" s="933">
        <v>69100</v>
      </c>
      <c r="O159" s="1133"/>
      <c r="P159" s="763"/>
      <c r="Q159" s="1120"/>
      <c r="R159" s="244"/>
      <c r="S159" s="243" t="s">
        <v>110</v>
      </c>
      <c r="T159" s="244">
        <v>100</v>
      </c>
      <c r="U159" s="1133"/>
      <c r="V159" s="245"/>
    </row>
    <row r="160" spans="1:29" s="3" customFormat="1" ht="20.25" customHeight="1" x14ac:dyDescent="0.3">
      <c r="A160" s="225"/>
      <c r="B160" s="1067"/>
      <c r="C160" s="657"/>
      <c r="D160" s="658"/>
      <c r="E160" s="2735"/>
      <c r="F160" s="233"/>
      <c r="G160" s="234"/>
      <c r="H160" s="235"/>
      <c r="I160" s="2744"/>
      <c r="J160" s="1121"/>
      <c r="K160" s="676"/>
      <c r="L160" s="677"/>
      <c r="M160" s="678"/>
      <c r="N160" s="679"/>
      <c r="O160" s="679"/>
      <c r="P160" s="679"/>
      <c r="Q160" s="1121"/>
      <c r="R160" s="439"/>
      <c r="S160" s="243"/>
      <c r="T160" s="244"/>
      <c r="U160" s="1133"/>
      <c r="V160" s="245"/>
    </row>
    <row r="161" spans="1:22" s="3" customFormat="1" ht="15.75" customHeight="1" x14ac:dyDescent="0.3">
      <c r="A161" s="225"/>
      <c r="B161" s="1067"/>
      <c r="C161" s="657"/>
      <c r="D161" s="663"/>
      <c r="E161" s="2611"/>
      <c r="F161" s="278"/>
      <c r="G161" s="279"/>
      <c r="H161" s="664"/>
      <c r="I161" s="3018"/>
      <c r="J161" s="261" t="s">
        <v>36</v>
      </c>
      <c r="K161" s="665">
        <f>K159</f>
        <v>8689</v>
      </c>
      <c r="L161" s="666">
        <f>L159</f>
        <v>8689</v>
      </c>
      <c r="M161" s="665">
        <f>SUM(M159:M160)</f>
        <v>69100</v>
      </c>
      <c r="N161" s="680">
        <f>SUM(N159:N160)</f>
        <v>69100</v>
      </c>
      <c r="O161" s="680"/>
      <c r="P161" s="681"/>
      <c r="Q161" s="64"/>
      <c r="R161" s="669"/>
      <c r="S161" s="252"/>
      <c r="T161" s="562"/>
      <c r="U161" s="563"/>
      <c r="V161" s="564"/>
    </row>
    <row r="162" spans="1:22" s="1" customFormat="1" ht="38.25" customHeight="1" x14ac:dyDescent="0.25">
      <c r="A162" s="225"/>
      <c r="B162" s="1067"/>
      <c r="C162" s="657"/>
      <c r="D162" s="671" t="s">
        <v>54</v>
      </c>
      <c r="E162" s="2570" t="s">
        <v>286</v>
      </c>
      <c r="F162" s="682"/>
      <c r="G162" s="683" t="s">
        <v>26</v>
      </c>
      <c r="H162" s="3016" t="s">
        <v>95</v>
      </c>
      <c r="I162" s="2684" t="s">
        <v>241</v>
      </c>
      <c r="J162" s="122" t="s">
        <v>31</v>
      </c>
      <c r="K162" s="383">
        <v>2896</v>
      </c>
      <c r="L162" s="419">
        <v>2896</v>
      </c>
      <c r="M162" s="1082">
        <v>41200</v>
      </c>
      <c r="N162" s="440"/>
      <c r="O162" s="1083"/>
      <c r="P162" s="543">
        <v>41200</v>
      </c>
      <c r="Q162" s="271"/>
      <c r="R162" s="528"/>
      <c r="S162" s="247" t="s">
        <v>111</v>
      </c>
      <c r="T162" s="248">
        <v>20</v>
      </c>
      <c r="U162" s="249"/>
      <c r="V162" s="250"/>
    </row>
    <row r="163" spans="1:22" s="1" customFormat="1" ht="16.5" customHeight="1" x14ac:dyDescent="0.25">
      <c r="A163" s="225"/>
      <c r="B163" s="1067"/>
      <c r="C163" s="657"/>
      <c r="D163" s="658"/>
      <c r="E163" s="3015"/>
      <c r="F163" s="684"/>
      <c r="G163" s="685"/>
      <c r="H163" s="3017"/>
      <c r="I163" s="3009"/>
      <c r="J163" s="567" t="s">
        <v>36</v>
      </c>
      <c r="K163" s="397">
        <f>K162</f>
        <v>2896</v>
      </c>
      <c r="L163" s="398">
        <f>L162</f>
        <v>2896</v>
      </c>
      <c r="M163" s="401">
        <f>SUM(M162:M162)</f>
        <v>41200</v>
      </c>
      <c r="N163" s="430"/>
      <c r="O163" s="430"/>
      <c r="P163" s="400">
        <f>P162</f>
        <v>41200</v>
      </c>
      <c r="Q163" s="36"/>
      <c r="R163" s="397"/>
      <c r="S163" s="252" t="s">
        <v>287</v>
      </c>
      <c r="T163" s="253">
        <v>2400</v>
      </c>
      <c r="U163" s="686"/>
      <c r="V163" s="687"/>
    </row>
    <row r="164" spans="1:22" s="3" customFormat="1" ht="36" customHeight="1" x14ac:dyDescent="0.3">
      <c r="A164" s="225"/>
      <c r="B164" s="1067"/>
      <c r="C164" s="657"/>
      <c r="D164" s="671" t="s">
        <v>56</v>
      </c>
      <c r="E164" s="2609" t="s">
        <v>112</v>
      </c>
      <c r="F164" s="264"/>
      <c r="G164" s="228" t="s">
        <v>26</v>
      </c>
      <c r="H164" s="1130">
        <v>6</v>
      </c>
      <c r="I164" s="2989" t="s">
        <v>241</v>
      </c>
      <c r="J164" s="256" t="s">
        <v>31</v>
      </c>
      <c r="K164" s="114">
        <v>28962</v>
      </c>
      <c r="L164" s="688">
        <v>28962</v>
      </c>
      <c r="M164" s="526">
        <v>700000</v>
      </c>
      <c r="N164" s="572"/>
      <c r="O164" s="527"/>
      <c r="P164" s="689">
        <f>M164</f>
        <v>700000</v>
      </c>
      <c r="Q164" s="692"/>
      <c r="R164" s="114"/>
      <c r="S164" s="257" t="s">
        <v>113</v>
      </c>
      <c r="T164" s="45">
        <v>100</v>
      </c>
      <c r="U164" s="46"/>
      <c r="V164" s="232"/>
    </row>
    <row r="165" spans="1:22" s="3" customFormat="1" ht="16.5" customHeight="1" x14ac:dyDescent="0.3">
      <c r="A165" s="225"/>
      <c r="B165" s="1067"/>
      <c r="C165" s="657"/>
      <c r="D165" s="658"/>
      <c r="E165" s="2735"/>
      <c r="F165" s="233"/>
      <c r="G165" s="238"/>
      <c r="H165" s="693"/>
      <c r="I165" s="3018"/>
      <c r="J165" s="694" t="s">
        <v>36</v>
      </c>
      <c r="K165" s="695">
        <f>K164</f>
        <v>28962</v>
      </c>
      <c r="L165" s="696">
        <f>L164</f>
        <v>28962</v>
      </c>
      <c r="M165" s="697">
        <f>N165+P165</f>
        <v>700000</v>
      </c>
      <c r="N165" s="698"/>
      <c r="O165" s="698"/>
      <c r="P165" s="698">
        <f>SUM(P164:P164)</f>
        <v>700000</v>
      </c>
      <c r="Q165" s="303"/>
      <c r="R165" s="699"/>
      <c r="S165" s="700"/>
      <c r="T165" s="701"/>
      <c r="U165" s="570"/>
      <c r="V165" s="276"/>
    </row>
    <row r="166" spans="1:22" s="3" customFormat="1" ht="19.5" customHeight="1" x14ac:dyDescent="0.3">
      <c r="A166" s="225"/>
      <c r="B166" s="1067"/>
      <c r="C166" s="657"/>
      <c r="D166" s="671" t="s">
        <v>59</v>
      </c>
      <c r="E166" s="2609" t="s">
        <v>114</v>
      </c>
      <c r="F166" s="227"/>
      <c r="G166" s="672" t="s">
        <v>26</v>
      </c>
      <c r="H166" s="702">
        <v>6</v>
      </c>
      <c r="I166" s="2684" t="s">
        <v>241</v>
      </c>
      <c r="J166" s="229" t="s">
        <v>31</v>
      </c>
      <c r="K166" s="45"/>
      <c r="L166" s="673"/>
      <c r="M166" s="674">
        <v>4600</v>
      </c>
      <c r="N166" s="1132">
        <v>4600</v>
      </c>
      <c r="O166" s="1132"/>
      <c r="P166" s="703"/>
      <c r="Q166" s="229"/>
      <c r="R166" s="231"/>
      <c r="S166" s="24" t="s">
        <v>108</v>
      </c>
      <c r="T166" s="259">
        <v>100</v>
      </c>
      <c r="U166" s="1132"/>
      <c r="V166" s="232"/>
    </row>
    <row r="167" spans="1:22" s="3" customFormat="1" ht="19.5" customHeight="1" x14ac:dyDescent="0.3">
      <c r="A167" s="225"/>
      <c r="B167" s="1067"/>
      <c r="C167" s="657"/>
      <c r="D167" s="658"/>
      <c r="E167" s="2735"/>
      <c r="F167" s="233"/>
      <c r="G167" s="234"/>
      <c r="H167" s="260"/>
      <c r="I167" s="2685"/>
      <c r="J167" s="229"/>
      <c r="K167" s="45"/>
      <c r="L167" s="673"/>
      <c r="M167" s="674"/>
      <c r="N167" s="1132"/>
      <c r="O167" s="1132"/>
      <c r="P167" s="703"/>
      <c r="Q167" s="229"/>
      <c r="R167" s="528"/>
      <c r="S167" s="662"/>
      <c r="T167" s="263"/>
      <c r="U167" s="1133"/>
      <c r="V167" s="245"/>
    </row>
    <row r="168" spans="1:22" s="3" customFormat="1" ht="15" customHeight="1" x14ac:dyDescent="0.3">
      <c r="A168" s="225"/>
      <c r="B168" s="1067"/>
      <c r="C168" s="657"/>
      <c r="D168" s="663"/>
      <c r="E168" s="2611"/>
      <c r="F168" s="278"/>
      <c r="G168" s="279"/>
      <c r="H168" s="280"/>
      <c r="I168" s="3009"/>
      <c r="J168" s="261" t="s">
        <v>36</v>
      </c>
      <c r="K168" s="665"/>
      <c r="L168" s="666"/>
      <c r="M168" s="667">
        <f>SUM(M166:M167)</f>
        <v>4600</v>
      </c>
      <c r="N168" s="668">
        <f>SUM(N166:N167)</f>
        <v>4600</v>
      </c>
      <c r="O168" s="668"/>
      <c r="P168" s="668"/>
      <c r="Q168" s="64"/>
      <c r="R168" s="669"/>
      <c r="S168" s="670"/>
      <c r="T168" s="274"/>
      <c r="U168" s="563"/>
      <c r="V168" s="564"/>
    </row>
    <row r="169" spans="1:22" s="3" customFormat="1" ht="29.25" customHeight="1" x14ac:dyDescent="0.3">
      <c r="A169" s="225"/>
      <c r="B169" s="1067"/>
      <c r="C169" s="657"/>
      <c r="D169" s="658" t="s">
        <v>97</v>
      </c>
      <c r="E169" s="2735" t="s">
        <v>269</v>
      </c>
      <c r="F169" s="237" t="s">
        <v>115</v>
      </c>
      <c r="G169" s="238" t="s">
        <v>26</v>
      </c>
      <c r="H169" s="258">
        <v>5</v>
      </c>
      <c r="I169" s="2685" t="s">
        <v>237</v>
      </c>
      <c r="J169" s="1120" t="s">
        <v>31</v>
      </c>
      <c r="K169" s="600"/>
      <c r="L169" s="659"/>
      <c r="M169" s="660"/>
      <c r="N169" s="1133"/>
      <c r="O169" s="1133"/>
      <c r="P169" s="661"/>
      <c r="Q169" s="1131">
        <v>6200</v>
      </c>
      <c r="R169" s="521">
        <v>49500</v>
      </c>
      <c r="S169" s="1089" t="s">
        <v>116</v>
      </c>
      <c r="T169" s="704"/>
      <c r="U169" s="705">
        <v>1</v>
      </c>
      <c r="V169" s="245"/>
    </row>
    <row r="170" spans="1:22" s="3" customFormat="1" ht="26.25" customHeight="1" x14ac:dyDescent="0.3">
      <c r="A170" s="225"/>
      <c r="B170" s="1067"/>
      <c r="C170" s="657"/>
      <c r="D170" s="658"/>
      <c r="E170" s="2735"/>
      <c r="F170" s="233"/>
      <c r="G170" s="234"/>
      <c r="H170" s="260"/>
      <c r="I170" s="2685"/>
      <c r="J170" s="271" t="s">
        <v>103</v>
      </c>
      <c r="K170" s="114"/>
      <c r="L170" s="688"/>
      <c r="M170" s="706"/>
      <c r="N170" s="707"/>
      <c r="O170" s="707"/>
      <c r="P170" s="707"/>
      <c r="Q170" s="708">
        <v>18600</v>
      </c>
      <c r="R170" s="531">
        <v>280600</v>
      </c>
      <c r="S170" s="266" t="s">
        <v>102</v>
      </c>
      <c r="T170" s="267"/>
      <c r="U170" s="268">
        <v>1</v>
      </c>
      <c r="V170" s="256"/>
    </row>
    <row r="171" spans="1:22" s="3" customFormat="1" ht="16.5" customHeight="1" x14ac:dyDescent="0.3">
      <c r="A171" s="924"/>
      <c r="B171" s="1105"/>
      <c r="C171" s="925"/>
      <c r="D171" s="663"/>
      <c r="E171" s="2611"/>
      <c r="F171" s="278"/>
      <c r="G171" s="279"/>
      <c r="H171" s="280"/>
      <c r="I171" s="3009"/>
      <c r="J171" s="261" t="s">
        <v>36</v>
      </c>
      <c r="K171" s="665"/>
      <c r="L171" s="666"/>
      <c r="M171" s="667"/>
      <c r="N171" s="668"/>
      <c r="O171" s="668"/>
      <c r="P171" s="668"/>
      <c r="Q171" s="64">
        <f>SUM(Q169:Q170)</f>
        <v>24800</v>
      </c>
      <c r="R171" s="669">
        <f>SUM(R169:R170)</f>
        <v>330100</v>
      </c>
      <c r="S171" s="252" t="s">
        <v>117</v>
      </c>
      <c r="T171" s="274"/>
      <c r="U171" s="275"/>
      <c r="V171" s="276">
        <v>80</v>
      </c>
    </row>
    <row r="172" spans="1:22" s="3" customFormat="1" ht="37.5" customHeight="1" x14ac:dyDescent="0.3">
      <c r="A172" s="225"/>
      <c r="B172" s="1067"/>
      <c r="C172" s="657"/>
      <c r="D172" s="658" t="s">
        <v>100</v>
      </c>
      <c r="E172" s="2735" t="s">
        <v>298</v>
      </c>
      <c r="F172" s="254" t="s">
        <v>115</v>
      </c>
      <c r="G172" s="255" t="s">
        <v>26</v>
      </c>
      <c r="H172" s="270">
        <v>5</v>
      </c>
      <c r="I172" s="2685" t="s">
        <v>237</v>
      </c>
      <c r="J172" s="1120" t="s">
        <v>31</v>
      </c>
      <c r="K172" s="600"/>
      <c r="L172" s="659"/>
      <c r="M172" s="660"/>
      <c r="N172" s="1133"/>
      <c r="O172" s="1133"/>
      <c r="P172" s="661"/>
      <c r="Q172" s="709"/>
      <c r="R172" s="521">
        <v>24800</v>
      </c>
      <c r="S172" s="1089" t="s">
        <v>118</v>
      </c>
      <c r="T172" s="704"/>
      <c r="U172" s="705"/>
      <c r="V172" s="996">
        <v>1</v>
      </c>
    </row>
    <row r="173" spans="1:22" s="3" customFormat="1" ht="32.25" customHeight="1" x14ac:dyDescent="0.3">
      <c r="A173" s="225"/>
      <c r="B173" s="1067"/>
      <c r="C173" s="657"/>
      <c r="D173" s="663"/>
      <c r="E173" s="2611"/>
      <c r="F173" s="278"/>
      <c r="G173" s="279"/>
      <c r="H173" s="280"/>
      <c r="I173" s="3009"/>
      <c r="J173" s="261" t="s">
        <v>36</v>
      </c>
      <c r="K173" s="665"/>
      <c r="L173" s="666"/>
      <c r="M173" s="667"/>
      <c r="N173" s="668"/>
      <c r="O173" s="668"/>
      <c r="P173" s="668"/>
      <c r="Q173" s="64"/>
      <c r="R173" s="669">
        <f>SUM(R172:R172)</f>
        <v>24800</v>
      </c>
      <c r="S173" s="266" t="s">
        <v>102</v>
      </c>
      <c r="T173" s="267"/>
      <c r="U173" s="268"/>
      <c r="V173" s="930">
        <v>1</v>
      </c>
    </row>
    <row r="174" spans="1:22" s="3" customFormat="1" ht="40.5" customHeight="1" x14ac:dyDescent="0.25">
      <c r="A174" s="225"/>
      <c r="B174" s="1067"/>
      <c r="C174" s="310"/>
      <c r="D174" s="710" t="s">
        <v>211</v>
      </c>
      <c r="E174" s="2847" t="s">
        <v>242</v>
      </c>
      <c r="F174" s="711" t="s">
        <v>115</v>
      </c>
      <c r="G174" s="1138" t="s">
        <v>26</v>
      </c>
      <c r="H174" s="712">
        <v>5</v>
      </c>
      <c r="I174" s="3013" t="s">
        <v>237</v>
      </c>
      <c r="J174" s="271" t="s">
        <v>31</v>
      </c>
      <c r="K174" s="689">
        <v>93924</v>
      </c>
      <c r="L174" s="713">
        <v>104131</v>
      </c>
      <c r="M174" s="706"/>
      <c r="N174" s="594"/>
      <c r="O174" s="594"/>
      <c r="P174" s="691"/>
      <c r="Q174" s="692"/>
      <c r="R174" s="528"/>
      <c r="S174" s="2847"/>
      <c r="T174" s="714"/>
      <c r="U174" s="3005"/>
      <c r="V174" s="3007"/>
    </row>
    <row r="175" spans="1:22" s="3" customFormat="1" ht="40.5" customHeight="1" x14ac:dyDescent="0.3">
      <c r="A175" s="225"/>
      <c r="B175" s="1067"/>
      <c r="C175" s="310"/>
      <c r="D175" s="715"/>
      <c r="E175" s="2848"/>
      <c r="F175" s="716"/>
      <c r="G175" s="717"/>
      <c r="H175" s="718"/>
      <c r="I175" s="2979"/>
      <c r="J175" s="232" t="s">
        <v>103</v>
      </c>
      <c r="K175" s="689">
        <v>21041</v>
      </c>
      <c r="L175" s="713">
        <v>21041</v>
      </c>
      <c r="M175" s="719"/>
      <c r="N175" s="675"/>
      <c r="O175" s="675"/>
      <c r="P175" s="675"/>
      <c r="Q175" s="692"/>
      <c r="R175" s="528"/>
      <c r="S175" s="2848"/>
      <c r="T175" s="720"/>
      <c r="U175" s="3006"/>
      <c r="V175" s="3008"/>
    </row>
    <row r="176" spans="1:22" s="3" customFormat="1" ht="40.5" customHeight="1" x14ac:dyDescent="0.3">
      <c r="A176" s="225"/>
      <c r="B176" s="1067"/>
      <c r="C176" s="310"/>
      <c r="D176" s="715"/>
      <c r="E176" s="2848"/>
      <c r="F176" s="716"/>
      <c r="G176" s="717"/>
      <c r="H176" s="718"/>
      <c r="I176" s="2979"/>
      <c r="J176" s="232" t="s">
        <v>52</v>
      </c>
      <c r="K176" s="443">
        <v>3713</v>
      </c>
      <c r="L176" s="84">
        <v>3713</v>
      </c>
      <c r="M176" s="719"/>
      <c r="N176" s="675"/>
      <c r="O176" s="675"/>
      <c r="P176" s="675"/>
      <c r="Q176" s="692"/>
      <c r="R176" s="528"/>
      <c r="S176" s="243"/>
      <c r="T176" s="720"/>
      <c r="U176" s="1133"/>
      <c r="V176" s="245"/>
    </row>
    <row r="177" spans="1:22" s="3" customFormat="1" ht="23.25" customHeight="1" x14ac:dyDescent="0.3">
      <c r="A177" s="225"/>
      <c r="B177" s="1067"/>
      <c r="C177" s="310"/>
      <c r="D177" s="715"/>
      <c r="E177" s="3012"/>
      <c r="F177" s="721"/>
      <c r="G177" s="722"/>
      <c r="H177" s="723"/>
      <c r="I177" s="3014"/>
      <c r="J177" s="724" t="s">
        <v>36</v>
      </c>
      <c r="K177" s="669">
        <f>SUM(K174:K176)</f>
        <v>118678</v>
      </c>
      <c r="L177" s="725">
        <f>SUM(L174:L176)</f>
        <v>128885</v>
      </c>
      <c r="M177" s="726"/>
      <c r="N177" s="727"/>
      <c r="O177" s="727"/>
      <c r="P177" s="727"/>
      <c r="Q177" s="64"/>
      <c r="R177" s="669"/>
      <c r="S177" s="252"/>
      <c r="T177" s="562"/>
      <c r="U177" s="563"/>
      <c r="V177" s="564"/>
    </row>
    <row r="178" spans="1:22" s="3" customFormat="1" ht="51" customHeight="1" x14ac:dyDescent="0.3">
      <c r="A178" s="225"/>
      <c r="B178" s="1067"/>
      <c r="C178" s="657"/>
      <c r="D178" s="671" t="s">
        <v>214</v>
      </c>
      <c r="E178" s="2669" t="s">
        <v>243</v>
      </c>
      <c r="F178" s="264"/>
      <c r="G178" s="228" t="s">
        <v>26</v>
      </c>
      <c r="H178" s="265">
        <v>6</v>
      </c>
      <c r="I178" s="2684" t="s">
        <v>244</v>
      </c>
      <c r="J178" s="229" t="s">
        <v>31</v>
      </c>
      <c r="K178" s="163">
        <v>17377</v>
      </c>
      <c r="L178" s="412">
        <v>9824</v>
      </c>
      <c r="M178" s="615"/>
      <c r="N178" s="728"/>
      <c r="O178" s="728"/>
      <c r="P178" s="729"/>
      <c r="Q178" s="730"/>
      <c r="R178" s="731"/>
      <c r="S178" s="3010"/>
      <c r="T178" s="732"/>
      <c r="U178" s="1132"/>
      <c r="V178" s="232"/>
    </row>
    <row r="179" spans="1:22" s="3" customFormat="1" ht="16.5" customHeight="1" x14ac:dyDescent="0.3">
      <c r="A179" s="225"/>
      <c r="B179" s="1067"/>
      <c r="C179" s="657"/>
      <c r="D179" s="658"/>
      <c r="E179" s="2712"/>
      <c r="F179" s="278"/>
      <c r="G179" s="279"/>
      <c r="H179" s="280"/>
      <c r="I179" s="3009"/>
      <c r="J179" s="261" t="s">
        <v>36</v>
      </c>
      <c r="K179" s="733">
        <f>K178</f>
        <v>17377</v>
      </c>
      <c r="L179" s="666">
        <f>L178</f>
        <v>9824</v>
      </c>
      <c r="M179" s="667"/>
      <c r="N179" s="681"/>
      <c r="O179" s="681"/>
      <c r="P179" s="261"/>
      <c r="Q179" s="734"/>
      <c r="R179" s="665"/>
      <c r="S179" s="3011"/>
      <c r="T179" s="735"/>
      <c r="U179" s="563"/>
      <c r="V179" s="564"/>
    </row>
    <row r="180" spans="1:22" s="2" customFormat="1" ht="16.5" customHeight="1" thickBot="1" x14ac:dyDescent="0.35">
      <c r="A180" s="281"/>
      <c r="B180" s="1059"/>
      <c r="C180" s="736"/>
      <c r="D180" s="2997"/>
      <c r="E180" s="2998"/>
      <c r="F180" s="2998"/>
      <c r="G180" s="2998"/>
      <c r="H180" s="2998"/>
      <c r="I180" s="2999"/>
      <c r="J180" s="737" t="s">
        <v>36</v>
      </c>
      <c r="K180" s="576">
        <f t="shared" ref="K180:R180" si="26">K177+K168+K158+K179+K165+K173+K171+K161+K163</f>
        <v>176602</v>
      </c>
      <c r="L180" s="738">
        <f t="shared" si="26"/>
        <v>179256</v>
      </c>
      <c r="M180" s="576">
        <f t="shared" si="26"/>
        <v>862900</v>
      </c>
      <c r="N180" s="739">
        <f>N177+N168+N158+N179+N165+N173+N171+N161+N163</f>
        <v>73700</v>
      </c>
      <c r="O180" s="739">
        <f t="shared" si="26"/>
        <v>0</v>
      </c>
      <c r="P180" s="1135">
        <f t="shared" si="26"/>
        <v>789200</v>
      </c>
      <c r="Q180" s="576">
        <f t="shared" si="26"/>
        <v>256800</v>
      </c>
      <c r="R180" s="576">
        <f t="shared" si="26"/>
        <v>354900</v>
      </c>
      <c r="S180" s="3000"/>
      <c r="T180" s="3001"/>
      <c r="U180" s="3001"/>
      <c r="V180" s="3002"/>
    </row>
    <row r="181" spans="1:22" s="3" customFormat="1" ht="42" customHeight="1" x14ac:dyDescent="0.3">
      <c r="A181" s="213" t="s">
        <v>22</v>
      </c>
      <c r="B181" s="1058" t="s">
        <v>54</v>
      </c>
      <c r="C181" s="651" t="s">
        <v>50</v>
      </c>
      <c r="D181" s="740"/>
      <c r="E181" s="741" t="s">
        <v>245</v>
      </c>
      <c r="F181" s="742"/>
      <c r="G181" s="743"/>
      <c r="H181" s="744"/>
      <c r="I181" s="745"/>
      <c r="J181" s="642"/>
      <c r="K181" s="746"/>
      <c r="L181" s="747"/>
      <c r="M181" s="748"/>
      <c r="N181" s="749"/>
      <c r="O181" s="749"/>
      <c r="P181" s="750"/>
      <c r="Q181" s="751"/>
      <c r="R181" s="752"/>
      <c r="S181" s="753"/>
      <c r="T181" s="754"/>
      <c r="U181" s="749"/>
      <c r="V181" s="752"/>
    </row>
    <row r="182" spans="1:22" s="3" customFormat="1" ht="15.75" customHeight="1" x14ac:dyDescent="0.3">
      <c r="A182" s="225"/>
      <c r="B182" s="1067"/>
      <c r="C182" s="657"/>
      <c r="D182" s="658" t="s">
        <v>22</v>
      </c>
      <c r="E182" s="3003" t="s">
        <v>246</v>
      </c>
      <c r="F182" s="254" t="s">
        <v>247</v>
      </c>
      <c r="G182" s="755" t="s">
        <v>26</v>
      </c>
      <c r="H182" s="270">
        <v>5</v>
      </c>
      <c r="I182" s="2989" t="s">
        <v>248</v>
      </c>
      <c r="J182" s="1121" t="s">
        <v>249</v>
      </c>
      <c r="K182" s="756">
        <v>17957</v>
      </c>
      <c r="L182" s="757">
        <v>17957</v>
      </c>
      <c r="M182" s="758"/>
      <c r="N182" s="759"/>
      <c r="O182" s="759"/>
      <c r="P182" s="760"/>
      <c r="Q182" s="1121"/>
      <c r="R182" s="503"/>
      <c r="S182" s="2981"/>
      <c r="T182" s="357"/>
      <c r="U182" s="1133"/>
      <c r="V182" s="245"/>
    </row>
    <row r="183" spans="1:22" s="3" customFormat="1" ht="15.75" customHeight="1" x14ac:dyDescent="0.3">
      <c r="A183" s="225"/>
      <c r="B183" s="1067"/>
      <c r="C183" s="657"/>
      <c r="D183" s="658"/>
      <c r="E183" s="3003"/>
      <c r="F183" s="254"/>
      <c r="G183" s="755"/>
      <c r="H183" s="270"/>
      <c r="I183" s="2744"/>
      <c r="J183" s="271" t="s">
        <v>31</v>
      </c>
      <c r="K183" s="689">
        <v>24096</v>
      </c>
      <c r="L183" s="713">
        <v>25469</v>
      </c>
      <c r="M183" s="690"/>
      <c r="N183" s="115"/>
      <c r="O183" s="115"/>
      <c r="P183" s="691"/>
      <c r="Q183" s="1120"/>
      <c r="R183" s="245"/>
      <c r="S183" s="2981"/>
      <c r="T183" s="357"/>
      <c r="U183" s="1133"/>
      <c r="V183" s="245"/>
    </row>
    <row r="184" spans="1:22" s="3" customFormat="1" ht="15.75" customHeight="1" x14ac:dyDescent="0.3">
      <c r="A184" s="225"/>
      <c r="B184" s="1067"/>
      <c r="C184" s="657"/>
      <c r="D184" s="658"/>
      <c r="E184" s="3003"/>
      <c r="F184" s="254"/>
      <c r="G184" s="755"/>
      <c r="H184" s="270"/>
      <c r="I184" s="761"/>
      <c r="J184" s="1120" t="s">
        <v>103</v>
      </c>
      <c r="K184" s="689">
        <v>127260</v>
      </c>
      <c r="L184" s="713">
        <v>127260</v>
      </c>
      <c r="M184" s="762"/>
      <c r="N184" s="763"/>
      <c r="O184" s="763"/>
      <c r="P184" s="763"/>
      <c r="Q184" s="271"/>
      <c r="R184" s="256"/>
      <c r="S184" s="2981"/>
      <c r="T184" s="357"/>
      <c r="U184" s="1133"/>
      <c r="V184" s="245"/>
    </row>
    <row r="185" spans="1:22" s="3" customFormat="1" ht="15.75" customHeight="1" x14ac:dyDescent="0.3">
      <c r="A185" s="225"/>
      <c r="B185" s="1067"/>
      <c r="C185" s="657"/>
      <c r="D185" s="663"/>
      <c r="E185" s="3004"/>
      <c r="F185" s="764"/>
      <c r="G185" s="765"/>
      <c r="H185" s="766"/>
      <c r="I185" s="767"/>
      <c r="J185" s="734" t="s">
        <v>36</v>
      </c>
      <c r="K185" s="699">
        <f>SUM(K182:K184)</f>
        <v>169313</v>
      </c>
      <c r="L185" s="696">
        <f>SUM(L182:L184)</f>
        <v>170686</v>
      </c>
      <c r="M185" s="667"/>
      <c r="N185" s="668"/>
      <c r="O185" s="668"/>
      <c r="P185" s="668"/>
      <c r="Q185" s="768"/>
      <c r="R185" s="769"/>
      <c r="S185" s="2982"/>
      <c r="T185" s="438"/>
      <c r="U185" s="597"/>
      <c r="V185" s="503"/>
    </row>
    <row r="186" spans="1:22" s="3" customFormat="1" ht="15.75" customHeight="1" x14ac:dyDescent="0.3">
      <c r="A186" s="225"/>
      <c r="B186" s="1067"/>
      <c r="C186" s="657"/>
      <c r="D186" s="658" t="s">
        <v>50</v>
      </c>
      <c r="E186" s="3003" t="s">
        <v>250</v>
      </c>
      <c r="F186" s="770" t="s">
        <v>247</v>
      </c>
      <c r="G186" s="255" t="s">
        <v>26</v>
      </c>
      <c r="H186" s="771">
        <v>5</v>
      </c>
      <c r="I186" s="2989" t="s">
        <v>248</v>
      </c>
      <c r="J186" s="1120" t="s">
        <v>249</v>
      </c>
      <c r="K186" s="531">
        <v>21837</v>
      </c>
      <c r="L186" s="713">
        <v>21837</v>
      </c>
      <c r="M186" s="600"/>
      <c r="N186" s="763"/>
      <c r="O186" s="763"/>
      <c r="P186" s="763"/>
      <c r="Q186" s="1121"/>
      <c r="R186" s="503"/>
      <c r="S186" s="2981"/>
      <c r="T186" s="357"/>
      <c r="U186" s="1133"/>
      <c r="V186" s="245"/>
    </row>
    <row r="187" spans="1:22" s="3" customFormat="1" ht="15.75" customHeight="1" x14ac:dyDescent="0.3">
      <c r="A187" s="225"/>
      <c r="B187" s="1067"/>
      <c r="C187" s="657"/>
      <c r="D187" s="658"/>
      <c r="E187" s="3003"/>
      <c r="F187" s="770"/>
      <c r="G187" s="255"/>
      <c r="H187" s="771"/>
      <c r="I187" s="2744"/>
      <c r="J187" s="271" t="s">
        <v>31</v>
      </c>
      <c r="K187" s="772">
        <v>22967</v>
      </c>
      <c r="L187" s="757">
        <v>25010</v>
      </c>
      <c r="M187" s="114"/>
      <c r="N187" s="691"/>
      <c r="O187" s="691"/>
      <c r="P187" s="691"/>
      <c r="Q187" s="1120"/>
      <c r="R187" s="245"/>
      <c r="S187" s="2981"/>
      <c r="T187" s="357"/>
      <c r="U187" s="1133"/>
      <c r="V187" s="245"/>
    </row>
    <row r="188" spans="1:22" s="3" customFormat="1" ht="15.75" customHeight="1" x14ac:dyDescent="0.3">
      <c r="A188" s="225"/>
      <c r="B188" s="1067"/>
      <c r="C188" s="657"/>
      <c r="D188" s="658"/>
      <c r="E188" s="3003"/>
      <c r="F188" s="770"/>
      <c r="G188" s="255"/>
      <c r="H188" s="771"/>
      <c r="I188" s="773"/>
      <c r="J188" s="1121" t="s">
        <v>103</v>
      </c>
      <c r="K188" s="772">
        <v>145361</v>
      </c>
      <c r="L188" s="757">
        <v>145361</v>
      </c>
      <c r="M188" s="676"/>
      <c r="N188" s="760"/>
      <c r="O188" s="760"/>
      <c r="P188" s="760"/>
      <c r="Q188" s="271"/>
      <c r="R188" s="256"/>
      <c r="S188" s="2981"/>
      <c r="T188" s="357"/>
      <c r="U188" s="1133"/>
      <c r="V188" s="245"/>
    </row>
    <row r="189" spans="1:22" s="3" customFormat="1" ht="15.75" customHeight="1" x14ac:dyDescent="0.3">
      <c r="A189" s="225"/>
      <c r="B189" s="1067"/>
      <c r="C189" s="657"/>
      <c r="D189" s="658"/>
      <c r="E189" s="3003"/>
      <c r="F189" s="770"/>
      <c r="G189" s="255"/>
      <c r="H189" s="771"/>
      <c r="I189" s="773"/>
      <c r="J189" s="774" t="s">
        <v>36</v>
      </c>
      <c r="K189" s="775">
        <f>SUM(K186:K188)</f>
        <v>190165</v>
      </c>
      <c r="L189" s="776">
        <f>SUM(L186:L188)</f>
        <v>192208</v>
      </c>
      <c r="M189" s="777"/>
      <c r="N189" s="778"/>
      <c r="O189" s="778"/>
      <c r="P189" s="698"/>
      <c r="Q189" s="779"/>
      <c r="R189" s="780"/>
      <c r="S189" s="2981"/>
      <c r="T189" s="357"/>
      <c r="U189" s="1133"/>
      <c r="V189" s="245"/>
    </row>
    <row r="190" spans="1:22" s="3" customFormat="1" ht="18.75" customHeight="1" x14ac:dyDescent="0.3">
      <c r="A190" s="225"/>
      <c r="B190" s="1067"/>
      <c r="C190" s="657"/>
      <c r="D190" s="671" t="s">
        <v>54</v>
      </c>
      <c r="E190" s="2669" t="s">
        <v>251</v>
      </c>
      <c r="F190" s="711" t="s">
        <v>247</v>
      </c>
      <c r="G190" s="228" t="s">
        <v>26</v>
      </c>
      <c r="H190" s="781">
        <v>5</v>
      </c>
      <c r="I190" s="2989" t="s">
        <v>248</v>
      </c>
      <c r="J190" s="782" t="s">
        <v>31</v>
      </c>
      <c r="K190" s="531">
        <v>23256</v>
      </c>
      <c r="L190" s="573">
        <v>23256</v>
      </c>
      <c r="M190" s="231"/>
      <c r="N190" s="703"/>
      <c r="O190" s="703"/>
      <c r="P190" s="675"/>
      <c r="Q190" s="271"/>
      <c r="R190" s="256"/>
      <c r="S190" s="507"/>
      <c r="T190" s="783"/>
      <c r="U190" s="1132"/>
      <c r="V190" s="232"/>
    </row>
    <row r="191" spans="1:22" s="3" customFormat="1" ht="18.75" customHeight="1" x14ac:dyDescent="0.3">
      <c r="A191" s="225"/>
      <c r="B191" s="1067"/>
      <c r="C191" s="657"/>
      <c r="D191" s="658"/>
      <c r="E191" s="2670"/>
      <c r="F191" s="770"/>
      <c r="G191" s="255"/>
      <c r="H191" s="771"/>
      <c r="I191" s="2744"/>
      <c r="J191" s="784" t="s">
        <v>103</v>
      </c>
      <c r="K191" s="785">
        <v>98036</v>
      </c>
      <c r="L191" s="713">
        <v>98036</v>
      </c>
      <c r="M191" s="45"/>
      <c r="N191" s="675"/>
      <c r="O191" s="675"/>
      <c r="P191" s="675"/>
      <c r="Q191" s="1120"/>
      <c r="R191" s="245"/>
      <c r="S191" s="31"/>
      <c r="T191" s="357"/>
      <c r="U191" s="1133"/>
      <c r="V191" s="245"/>
    </row>
    <row r="192" spans="1:22" s="3" customFormat="1" ht="15.75" customHeight="1" x14ac:dyDescent="0.3">
      <c r="A192" s="225"/>
      <c r="B192" s="1067"/>
      <c r="C192" s="657"/>
      <c r="D192" s="658"/>
      <c r="E192" s="2712"/>
      <c r="F192" s="786"/>
      <c r="G192" s="787"/>
      <c r="H192" s="788"/>
      <c r="I192" s="767"/>
      <c r="J192" s="789" t="s">
        <v>36</v>
      </c>
      <c r="K192" s="669">
        <f>SUM(K190:K191)</f>
        <v>121292</v>
      </c>
      <c r="L192" s="666">
        <f>SUM(L190:L191)</f>
        <v>121292</v>
      </c>
      <c r="M192" s="665"/>
      <c r="N192" s="668"/>
      <c r="O192" s="668"/>
      <c r="P192" s="668"/>
      <c r="Q192" s="64"/>
      <c r="R192" s="724"/>
      <c r="S192" s="670"/>
      <c r="T192" s="438"/>
      <c r="U192" s="597"/>
      <c r="V192" s="503"/>
    </row>
    <row r="193" spans="1:27" s="131" customFormat="1" ht="15.75" customHeight="1" thickBot="1" x14ac:dyDescent="0.35">
      <c r="A193" s="281"/>
      <c r="B193" s="1059"/>
      <c r="C193" s="790"/>
      <c r="D193" s="2990"/>
      <c r="E193" s="2991"/>
      <c r="F193" s="575"/>
      <c r="G193" s="791"/>
      <c r="H193" s="575"/>
      <c r="I193" s="792"/>
      <c r="J193" s="793" t="s">
        <v>36</v>
      </c>
      <c r="K193" s="576">
        <f>+K192+K189+K185</f>
        <v>480770</v>
      </c>
      <c r="L193" s="738">
        <f>+L192+L189+L185</f>
        <v>484186</v>
      </c>
      <c r="M193" s="576"/>
      <c r="N193" s="739"/>
      <c r="O193" s="1135"/>
      <c r="P193" s="738"/>
      <c r="Q193" s="576"/>
      <c r="R193" s="576"/>
      <c r="S193" s="2992"/>
      <c r="T193" s="2993"/>
      <c r="U193" s="2993"/>
      <c r="V193" s="2994"/>
    </row>
    <row r="194" spans="1:27" s="2" customFormat="1" ht="16.5" customHeight="1" thickBot="1" x14ac:dyDescent="0.35">
      <c r="A194" s="7" t="s">
        <v>22</v>
      </c>
      <c r="B194" s="282" t="s">
        <v>54</v>
      </c>
      <c r="C194" s="2995" t="s">
        <v>62</v>
      </c>
      <c r="D194" s="2671"/>
      <c r="E194" s="2671"/>
      <c r="F194" s="2671"/>
      <c r="G194" s="2671"/>
      <c r="H194" s="2671"/>
      <c r="I194" s="2671"/>
      <c r="J194" s="2996"/>
      <c r="K194" s="794">
        <f>K180+K193</f>
        <v>657372</v>
      </c>
      <c r="L194" s="795">
        <f>L180+L193</f>
        <v>663442</v>
      </c>
      <c r="M194" s="794">
        <f t="shared" ref="M194:R194" si="27">M180+M193</f>
        <v>862900</v>
      </c>
      <c r="N194" s="8">
        <f t="shared" si="27"/>
        <v>73700</v>
      </c>
      <c r="O194" s="796">
        <f t="shared" si="27"/>
        <v>0</v>
      </c>
      <c r="P194" s="480">
        <f t="shared" si="27"/>
        <v>789200</v>
      </c>
      <c r="Q194" s="794">
        <f t="shared" si="27"/>
        <v>256800</v>
      </c>
      <c r="R194" s="794">
        <f t="shared" si="27"/>
        <v>354900</v>
      </c>
      <c r="S194" s="2672"/>
      <c r="T194" s="2673"/>
      <c r="U194" s="2673"/>
      <c r="V194" s="2674"/>
    </row>
    <row r="195" spans="1:27" s="1" customFormat="1" ht="16.5" customHeight="1" thickBot="1" x14ac:dyDescent="0.3">
      <c r="A195" s="7" t="s">
        <v>22</v>
      </c>
      <c r="B195" s="282" t="s">
        <v>56</v>
      </c>
      <c r="C195" s="2977" t="s">
        <v>119</v>
      </c>
      <c r="D195" s="2707"/>
      <c r="E195" s="2707"/>
      <c r="F195" s="2707"/>
      <c r="G195" s="2707"/>
      <c r="H195" s="2707"/>
      <c r="I195" s="2707"/>
      <c r="J195" s="2707"/>
      <c r="K195" s="2707"/>
      <c r="L195" s="2707"/>
      <c r="M195" s="2707"/>
      <c r="N195" s="2707"/>
      <c r="O195" s="2707"/>
      <c r="P195" s="2707"/>
      <c r="Q195" s="2707"/>
      <c r="R195" s="2707"/>
      <c r="S195" s="2707"/>
      <c r="T195" s="2707"/>
      <c r="U195" s="2707"/>
      <c r="V195" s="2708"/>
    </row>
    <row r="196" spans="1:27" s="1" customFormat="1" ht="16.5" customHeight="1" x14ac:dyDescent="0.25">
      <c r="A196" s="213" t="s">
        <v>22</v>
      </c>
      <c r="B196" s="284" t="s">
        <v>56</v>
      </c>
      <c r="C196" s="285" t="s">
        <v>22</v>
      </c>
      <c r="D196" s="797"/>
      <c r="E196" s="286" t="s">
        <v>120</v>
      </c>
      <c r="F196" s="287"/>
      <c r="G196" s="288"/>
      <c r="H196" s="289"/>
      <c r="I196" s="106"/>
      <c r="J196" s="290"/>
      <c r="K196" s="153"/>
      <c r="L196" s="653"/>
      <c r="M196" s="654"/>
      <c r="N196" s="489"/>
      <c r="O196" s="489"/>
      <c r="P196" s="798"/>
      <c r="Q196" s="290"/>
      <c r="R196" s="219"/>
      <c r="S196" s="291"/>
      <c r="T196" s="78"/>
      <c r="U196" s="1072"/>
      <c r="V196" s="79"/>
    </row>
    <row r="197" spans="1:27" s="1" customFormat="1" ht="16.5" customHeight="1" x14ac:dyDescent="0.25">
      <c r="A197" s="1066"/>
      <c r="B197" s="1067"/>
      <c r="C197" s="1117"/>
      <c r="D197" s="799" t="s">
        <v>22</v>
      </c>
      <c r="E197" s="2679" t="s">
        <v>121</v>
      </c>
      <c r="F197" s="2978"/>
      <c r="G197" s="1128" t="s">
        <v>97</v>
      </c>
      <c r="H197" s="187">
        <v>5</v>
      </c>
      <c r="I197" s="2979" t="s">
        <v>248</v>
      </c>
      <c r="J197" s="229" t="s">
        <v>31</v>
      </c>
      <c r="K197" s="45"/>
      <c r="L197" s="673"/>
      <c r="M197" s="526">
        <v>236800</v>
      </c>
      <c r="N197" s="527"/>
      <c r="O197" s="532"/>
      <c r="P197" s="713">
        <v>236800</v>
      </c>
      <c r="Q197" s="800">
        <v>355200</v>
      </c>
      <c r="R197" s="801">
        <v>118400</v>
      </c>
      <c r="S197" s="2980" t="s">
        <v>122</v>
      </c>
      <c r="T197" s="292">
        <v>75</v>
      </c>
      <c r="U197" s="293">
        <v>100</v>
      </c>
      <c r="V197" s="294"/>
    </row>
    <row r="198" spans="1:27" s="1" customFormat="1" ht="16.5" customHeight="1" x14ac:dyDescent="0.25">
      <c r="A198" s="1066"/>
      <c r="B198" s="1067"/>
      <c r="C198" s="1117"/>
      <c r="D198" s="802"/>
      <c r="E198" s="2680"/>
      <c r="F198" s="2978"/>
      <c r="G198" s="1128"/>
      <c r="H198" s="295"/>
      <c r="I198" s="2979"/>
      <c r="J198" s="229" t="s">
        <v>103</v>
      </c>
      <c r="K198" s="45"/>
      <c r="L198" s="673"/>
      <c r="M198" s="403">
        <v>1341700</v>
      </c>
      <c r="N198" s="391"/>
      <c r="O198" s="803"/>
      <c r="P198" s="419">
        <v>1341700</v>
      </c>
      <c r="Q198" s="422">
        <v>2012600</v>
      </c>
      <c r="R198" s="643">
        <v>670900</v>
      </c>
      <c r="S198" s="2981"/>
      <c r="T198" s="298"/>
      <c r="U198" s="299"/>
      <c r="V198" s="300"/>
    </row>
    <row r="199" spans="1:27" s="1" customFormat="1" ht="16.5" customHeight="1" x14ac:dyDescent="0.25">
      <c r="A199" s="1066"/>
      <c r="B199" s="1067"/>
      <c r="C199" s="1117"/>
      <c r="D199" s="802"/>
      <c r="E199" s="2680"/>
      <c r="F199" s="2978"/>
      <c r="G199" s="1128"/>
      <c r="H199" s="295"/>
      <c r="I199" s="441"/>
      <c r="J199" s="229" t="s">
        <v>176</v>
      </c>
      <c r="K199" s="45">
        <v>48164</v>
      </c>
      <c r="L199" s="673">
        <f>15553+32611</f>
        <v>48164</v>
      </c>
      <c r="M199" s="30"/>
      <c r="N199" s="1083"/>
      <c r="O199" s="804"/>
      <c r="P199" s="1116"/>
      <c r="Q199" s="22"/>
      <c r="R199" s="1116"/>
      <c r="S199" s="1136"/>
      <c r="T199" s="298"/>
      <c r="U199" s="299"/>
      <c r="V199" s="300"/>
    </row>
    <row r="200" spans="1:27" s="1" customFormat="1" ht="15" customHeight="1" x14ac:dyDescent="0.25">
      <c r="A200" s="225"/>
      <c r="B200" s="301"/>
      <c r="C200" s="302"/>
      <c r="D200" s="799" t="s">
        <v>50</v>
      </c>
      <c r="E200" s="33" t="s">
        <v>252</v>
      </c>
      <c r="F200" s="246"/>
      <c r="G200" s="126"/>
      <c r="H200" s="289">
        <v>1</v>
      </c>
      <c r="I200" s="33" t="s">
        <v>253</v>
      </c>
      <c r="J200" s="271" t="s">
        <v>31</v>
      </c>
      <c r="K200" s="531">
        <v>115848</v>
      </c>
      <c r="L200" s="713">
        <v>115848</v>
      </c>
      <c r="M200" s="114"/>
      <c r="N200" s="115"/>
      <c r="O200" s="115"/>
      <c r="P200" s="116"/>
      <c r="Q200" s="271"/>
      <c r="R200" s="256"/>
      <c r="S200" s="2980"/>
      <c r="T200" s="292"/>
      <c r="U200" s="293"/>
      <c r="V200" s="294"/>
    </row>
    <row r="201" spans="1:27" s="1" customFormat="1" ht="15" customHeight="1" x14ac:dyDescent="0.25">
      <c r="A201" s="225"/>
      <c r="B201" s="301"/>
      <c r="C201" s="302"/>
      <c r="D201" s="805"/>
      <c r="E201" s="441"/>
      <c r="F201" s="246"/>
      <c r="G201" s="126"/>
      <c r="H201" s="295"/>
      <c r="I201" s="441"/>
      <c r="J201" s="1121" t="s">
        <v>176</v>
      </c>
      <c r="K201" s="785">
        <v>94138</v>
      </c>
      <c r="L201" s="757">
        <v>94138</v>
      </c>
      <c r="M201" s="244"/>
      <c r="N201" s="594"/>
      <c r="O201" s="594"/>
      <c r="P201" s="245"/>
      <c r="Q201" s="1120"/>
      <c r="R201" s="245"/>
      <c r="S201" s="2981"/>
      <c r="T201" s="298"/>
      <c r="U201" s="299"/>
      <c r="V201" s="300"/>
    </row>
    <row r="202" spans="1:27" s="1" customFormat="1" ht="15" customHeight="1" thickBot="1" x14ac:dyDescent="0.3">
      <c r="A202" s="225"/>
      <c r="B202" s="301"/>
      <c r="C202" s="302"/>
      <c r="D202" s="805"/>
      <c r="E202" s="441"/>
      <c r="F202" s="246"/>
      <c r="G202" s="126"/>
      <c r="H202" s="295"/>
      <c r="I202" s="441"/>
      <c r="J202" s="303" t="s">
        <v>36</v>
      </c>
      <c r="K202" s="397">
        <f>SUM(K197:K201)</f>
        <v>258150</v>
      </c>
      <c r="L202" s="398">
        <f>SUM(L197:L201)</f>
        <v>258150</v>
      </c>
      <c r="M202" s="397">
        <f>SUM(M197:M201)</f>
        <v>1578500</v>
      </c>
      <c r="N202" s="399"/>
      <c r="O202" s="399"/>
      <c r="P202" s="567">
        <f t="shared" ref="P202:R202" si="28">SUM(P197:P201)</f>
        <v>1578500</v>
      </c>
      <c r="Q202" s="36">
        <f t="shared" si="28"/>
        <v>2367800</v>
      </c>
      <c r="R202" s="36">
        <f t="shared" si="28"/>
        <v>789300</v>
      </c>
      <c r="S202" s="2982"/>
      <c r="T202" s="304"/>
      <c r="U202" s="305"/>
      <c r="V202" s="306"/>
    </row>
    <row r="203" spans="1:27" s="1" customFormat="1" ht="53.25" customHeight="1" x14ac:dyDescent="0.25">
      <c r="A203" s="213" t="s">
        <v>22</v>
      </c>
      <c r="B203" s="1058" t="s">
        <v>56</v>
      </c>
      <c r="C203" s="307" t="s">
        <v>50</v>
      </c>
      <c r="D203" s="627"/>
      <c r="E203" s="806" t="s">
        <v>123</v>
      </c>
      <c r="F203" s="308"/>
      <c r="G203" s="309"/>
      <c r="H203" s="927" t="s">
        <v>27</v>
      </c>
      <c r="I203" s="2983" t="s">
        <v>254</v>
      </c>
      <c r="J203" s="332"/>
      <c r="K203" s="807"/>
      <c r="L203" s="474"/>
      <c r="M203" s="808"/>
      <c r="N203" s="549"/>
      <c r="O203" s="549"/>
      <c r="P203" s="809"/>
      <c r="Q203" s="642"/>
      <c r="R203" s="752"/>
      <c r="S203" s="509"/>
      <c r="T203" s="334"/>
      <c r="U203" s="16"/>
      <c r="V203" s="335"/>
    </row>
    <row r="204" spans="1:27" s="1" customFormat="1" ht="20.25" customHeight="1" x14ac:dyDescent="0.25">
      <c r="A204" s="225"/>
      <c r="B204" s="1067"/>
      <c r="C204" s="310"/>
      <c r="D204" s="810"/>
      <c r="E204" s="2789" t="s">
        <v>255</v>
      </c>
      <c r="F204" s="246"/>
      <c r="G204" s="1138" t="s">
        <v>22</v>
      </c>
      <c r="H204" s="1129"/>
      <c r="I204" s="2984"/>
      <c r="J204" s="43" t="s">
        <v>68</v>
      </c>
      <c r="K204" s="811">
        <v>37651</v>
      </c>
      <c r="L204" s="729">
        <v>839898</v>
      </c>
      <c r="M204" s="163"/>
      <c r="N204" s="164"/>
      <c r="O204" s="164"/>
      <c r="P204" s="165"/>
      <c r="Q204" s="271"/>
      <c r="R204" s="271"/>
      <c r="S204" s="812"/>
      <c r="T204" s="1082"/>
      <c r="U204" s="1083"/>
      <c r="V204" s="1085"/>
      <c r="Y204" s="251"/>
    </row>
    <row r="205" spans="1:27" s="1" customFormat="1" ht="20.25" customHeight="1" thickBot="1" x14ac:dyDescent="0.3">
      <c r="A205" s="225"/>
      <c r="B205" s="1067"/>
      <c r="C205" s="310"/>
      <c r="D205" s="601"/>
      <c r="E205" s="2933"/>
      <c r="F205" s="246"/>
      <c r="G205" s="1139"/>
      <c r="H205" s="926"/>
      <c r="I205" s="1137"/>
      <c r="J205" s="22" t="s">
        <v>178</v>
      </c>
      <c r="K205" s="621">
        <v>5000</v>
      </c>
      <c r="L205" s="2987">
        <v>269965</v>
      </c>
      <c r="M205" s="20"/>
      <c r="N205" s="47"/>
      <c r="O205" s="47"/>
      <c r="P205" s="48"/>
      <c r="Q205" s="1120"/>
      <c r="R205" s="1120"/>
      <c r="S205" s="813"/>
      <c r="T205" s="320"/>
      <c r="U205" s="40"/>
      <c r="V205" s="84"/>
      <c r="Y205" s="251"/>
      <c r="AA205" s="251"/>
    </row>
    <row r="206" spans="1:27" s="1" customFormat="1" ht="25.5" customHeight="1" x14ac:dyDescent="0.25">
      <c r="A206" s="225"/>
      <c r="B206" s="1067"/>
      <c r="C206" s="310"/>
      <c r="D206" s="601"/>
      <c r="E206" s="1065" t="s">
        <v>124</v>
      </c>
      <c r="F206" s="2985" t="s">
        <v>125</v>
      </c>
      <c r="G206" s="1128" t="s">
        <v>97</v>
      </c>
      <c r="H206" s="926"/>
      <c r="I206" s="1044"/>
      <c r="J206" s="332" t="s">
        <v>68</v>
      </c>
      <c r="K206" s="814">
        <v>327270</v>
      </c>
      <c r="L206" s="2988"/>
      <c r="M206" s="808">
        <v>265000</v>
      </c>
      <c r="N206" s="549">
        <v>265000</v>
      </c>
      <c r="O206" s="549"/>
      <c r="P206" s="809"/>
      <c r="Q206" s="642">
        <v>265000</v>
      </c>
      <c r="R206" s="642">
        <v>265000</v>
      </c>
      <c r="S206" s="815" t="s">
        <v>126</v>
      </c>
      <c r="T206" s="816">
        <v>30</v>
      </c>
      <c r="U206" s="817">
        <v>30</v>
      </c>
      <c r="V206" s="818">
        <v>29</v>
      </c>
    </row>
    <row r="207" spans="1:27" s="1" customFormat="1" ht="25.5" customHeight="1" x14ac:dyDescent="0.25">
      <c r="A207" s="225"/>
      <c r="B207" s="1067"/>
      <c r="C207" s="310"/>
      <c r="D207" s="810"/>
      <c r="E207" s="1050"/>
      <c r="F207" s="2986"/>
      <c r="G207" s="1139"/>
      <c r="H207" s="926"/>
      <c r="I207" s="1044"/>
      <c r="J207" s="35" t="s">
        <v>178</v>
      </c>
      <c r="K207" s="465">
        <v>231810</v>
      </c>
      <c r="L207" s="2988"/>
      <c r="M207" s="1077"/>
      <c r="N207" s="1054"/>
      <c r="O207" s="1054"/>
      <c r="P207" s="1079"/>
      <c r="Q207" s="1121"/>
      <c r="R207" s="1121"/>
      <c r="S207" s="819"/>
      <c r="T207" s="66"/>
      <c r="U207" s="67"/>
      <c r="V207" s="68"/>
    </row>
    <row r="208" spans="1:27" s="1" customFormat="1" ht="25.5" customHeight="1" x14ac:dyDescent="0.25">
      <c r="A208" s="225"/>
      <c r="B208" s="1067"/>
      <c r="C208" s="310"/>
      <c r="D208" s="601"/>
      <c r="E208" s="2665" t="s">
        <v>127</v>
      </c>
      <c r="F208" s="246"/>
      <c r="G208" s="1128" t="s">
        <v>97</v>
      </c>
      <c r="H208" s="1070"/>
      <c r="I208" s="1044"/>
      <c r="J208" s="35" t="s">
        <v>68</v>
      </c>
      <c r="K208" s="820">
        <v>260658</v>
      </c>
      <c r="L208" s="934"/>
      <c r="M208" s="465">
        <v>274900</v>
      </c>
      <c r="N208" s="821">
        <f>M208-P208</f>
        <v>216900</v>
      </c>
      <c r="O208" s="821"/>
      <c r="P208" s="822">
        <v>58000</v>
      </c>
      <c r="Q208" s="823">
        <v>274900</v>
      </c>
      <c r="R208" s="823">
        <v>274900</v>
      </c>
      <c r="S208" s="2788" t="s">
        <v>277</v>
      </c>
      <c r="T208" s="313">
        <v>110</v>
      </c>
      <c r="U208" s="314">
        <v>120</v>
      </c>
      <c r="V208" s="315">
        <v>130</v>
      </c>
    </row>
    <row r="209" spans="1:44" s="1" customFormat="1" ht="40.5" customHeight="1" thickBot="1" x14ac:dyDescent="0.3">
      <c r="A209" s="225"/>
      <c r="B209" s="1067"/>
      <c r="C209" s="310"/>
      <c r="D209" s="601"/>
      <c r="E209" s="2933"/>
      <c r="F209" s="318"/>
      <c r="G209" s="1139"/>
      <c r="H209" s="926"/>
      <c r="I209" s="1044"/>
      <c r="J209" s="22" t="s">
        <v>178</v>
      </c>
      <c r="K209" s="571">
        <v>28155</v>
      </c>
      <c r="L209" s="934"/>
      <c r="M209" s="824"/>
      <c r="N209" s="825"/>
      <c r="O209" s="825"/>
      <c r="P209" s="826"/>
      <c r="Q209" s="229"/>
      <c r="R209" s="229"/>
      <c r="S209" s="2788"/>
      <c r="T209" s="320"/>
      <c r="U209" s="40"/>
      <c r="V209" s="84"/>
    </row>
    <row r="210" spans="1:44" s="1" customFormat="1" ht="36" customHeight="1" x14ac:dyDescent="0.25">
      <c r="A210" s="225"/>
      <c r="B210" s="1067"/>
      <c r="C210" s="310"/>
      <c r="D210" s="601"/>
      <c r="E210" s="2789" t="s">
        <v>128</v>
      </c>
      <c r="F210" s="318"/>
      <c r="G210" s="2969" t="s">
        <v>97</v>
      </c>
      <c r="H210" s="926"/>
      <c r="I210" s="1044"/>
      <c r="J210" s="332" t="s">
        <v>68</v>
      </c>
      <c r="K210" s="814">
        <v>11585</v>
      </c>
      <c r="L210" s="934"/>
      <c r="M210" s="808">
        <v>12000</v>
      </c>
      <c r="N210" s="549">
        <v>12000</v>
      </c>
      <c r="O210" s="549"/>
      <c r="P210" s="809"/>
      <c r="Q210" s="642">
        <v>12000</v>
      </c>
      <c r="R210" s="642">
        <v>12000</v>
      </c>
      <c r="S210" s="2971" t="s">
        <v>278</v>
      </c>
      <c r="T210" s="816">
        <v>50</v>
      </c>
      <c r="U210" s="817">
        <v>50</v>
      </c>
      <c r="V210" s="818">
        <v>40</v>
      </c>
    </row>
    <row r="211" spans="1:44" s="1" customFormat="1" ht="20.25" customHeight="1" thickBot="1" x14ac:dyDescent="0.3">
      <c r="A211" s="225"/>
      <c r="B211" s="1067"/>
      <c r="C211" s="310"/>
      <c r="D211" s="601"/>
      <c r="E211" s="2933"/>
      <c r="F211" s="318"/>
      <c r="G211" s="2970"/>
      <c r="H211" s="926"/>
      <c r="I211" s="1044"/>
      <c r="J211" s="442" t="s">
        <v>178</v>
      </c>
      <c r="K211" s="144">
        <v>5000</v>
      </c>
      <c r="L211" s="934"/>
      <c r="M211" s="827"/>
      <c r="N211" s="828"/>
      <c r="O211" s="828"/>
      <c r="P211" s="829"/>
      <c r="Q211" s="830"/>
      <c r="R211" s="830"/>
      <c r="S211" s="2972"/>
      <c r="T211" s="96"/>
      <c r="U211" s="1115"/>
      <c r="V211" s="97"/>
    </row>
    <row r="212" spans="1:44" s="1" customFormat="1" ht="39.75" customHeight="1" thickBot="1" x14ac:dyDescent="0.3">
      <c r="A212" s="225"/>
      <c r="B212" s="1067"/>
      <c r="C212" s="321"/>
      <c r="D212" s="601"/>
      <c r="E212" s="322" t="s">
        <v>129</v>
      </c>
      <c r="F212" s="318"/>
      <c r="G212" s="831" t="s">
        <v>97</v>
      </c>
      <c r="H212" s="926"/>
      <c r="I212" s="1044"/>
      <c r="J212" s="28" t="s">
        <v>68</v>
      </c>
      <c r="K212" s="832">
        <v>202734</v>
      </c>
      <c r="L212" s="935"/>
      <c r="M212" s="20">
        <v>195000</v>
      </c>
      <c r="N212" s="47">
        <v>195000</v>
      </c>
      <c r="O212" s="47"/>
      <c r="P212" s="48"/>
      <c r="Q212" s="1120">
        <v>195000</v>
      </c>
      <c r="R212" s="1120">
        <v>195000</v>
      </c>
      <c r="S212" s="172" t="s">
        <v>130</v>
      </c>
      <c r="T212" s="313">
        <v>85</v>
      </c>
      <c r="U212" s="314">
        <v>86</v>
      </c>
      <c r="V212" s="315">
        <v>87</v>
      </c>
      <c r="Z212" s="251"/>
    </row>
    <row r="213" spans="1:44" s="1" customFormat="1" ht="41.25" customHeight="1" thickBot="1" x14ac:dyDescent="0.3">
      <c r="A213" s="225"/>
      <c r="B213" s="1067"/>
      <c r="C213" s="321"/>
      <c r="D213" s="601"/>
      <c r="E213" s="1049" t="s">
        <v>131</v>
      </c>
      <c r="F213" s="318"/>
      <c r="G213" s="1138" t="s">
        <v>97</v>
      </c>
      <c r="H213" s="1070"/>
      <c r="I213" s="1044"/>
      <c r="J213" s="13" t="s">
        <v>52</v>
      </c>
      <c r="K213" s="641">
        <v>5503</v>
      </c>
      <c r="L213" s="2973">
        <v>5503</v>
      </c>
      <c r="M213" s="1076">
        <v>5600</v>
      </c>
      <c r="N213" s="1072">
        <v>5600</v>
      </c>
      <c r="O213" s="1072"/>
      <c r="P213" s="1073"/>
      <c r="Q213" s="1076">
        <v>5600</v>
      </c>
      <c r="R213" s="13">
        <v>5600</v>
      </c>
      <c r="S213" s="833" t="s">
        <v>265</v>
      </c>
      <c r="T213" s="834">
        <v>12</v>
      </c>
      <c r="U213" s="835">
        <v>12</v>
      </c>
      <c r="V213" s="836">
        <v>12</v>
      </c>
    </row>
    <row r="214" spans="1:44" s="1" customFormat="1" ht="54" customHeight="1" x14ac:dyDescent="0.25">
      <c r="A214" s="225"/>
      <c r="B214" s="1067"/>
      <c r="C214" s="321"/>
      <c r="D214" s="601"/>
      <c r="E214" s="2789" t="s">
        <v>132</v>
      </c>
      <c r="F214" s="318"/>
      <c r="G214" s="1138" t="s">
        <v>22</v>
      </c>
      <c r="H214" s="926"/>
      <c r="I214" s="1044"/>
      <c r="J214" s="13" t="s">
        <v>68</v>
      </c>
      <c r="K214" s="641"/>
      <c r="L214" s="2974"/>
      <c r="M214" s="1062">
        <v>120000</v>
      </c>
      <c r="N214" s="210">
        <v>120000</v>
      </c>
      <c r="O214" s="210"/>
      <c r="P214" s="211"/>
      <c r="Q214" s="290">
        <v>120000</v>
      </c>
      <c r="R214" s="290">
        <v>120000</v>
      </c>
      <c r="S214" s="2975" t="s">
        <v>133</v>
      </c>
      <c r="T214" s="816">
        <v>100</v>
      </c>
      <c r="U214" s="817">
        <v>100</v>
      </c>
      <c r="V214" s="818">
        <v>100</v>
      </c>
      <c r="X214" s="251"/>
    </row>
    <row r="215" spans="1:44" s="1" customFormat="1" ht="13.5" customHeight="1" thickBot="1" x14ac:dyDescent="0.3">
      <c r="A215" s="324"/>
      <c r="B215" s="1059"/>
      <c r="C215" s="325"/>
      <c r="D215" s="605"/>
      <c r="E215" s="2666"/>
      <c r="F215" s="326"/>
      <c r="G215" s="1109"/>
      <c r="H215" s="1081"/>
      <c r="I215" s="1045"/>
      <c r="J215" s="80" t="s">
        <v>36</v>
      </c>
      <c r="K215" s="458">
        <f>SUM(K204:K214)</f>
        <v>1115366</v>
      </c>
      <c r="L215" s="456">
        <f>SUM(L204:L214)</f>
        <v>1115366</v>
      </c>
      <c r="M215" s="455">
        <f>SUM(M204:M214)</f>
        <v>872500</v>
      </c>
      <c r="N215" s="459">
        <f>SUM(N204:N214)</f>
        <v>814500</v>
      </c>
      <c r="O215" s="459">
        <f t="shared" ref="O215:R215" si="29">SUM(O204:O214)</f>
        <v>0</v>
      </c>
      <c r="P215" s="478">
        <f t="shared" si="29"/>
        <v>58000</v>
      </c>
      <c r="Q215" s="80">
        <f>SUM(Q204:Q214)</f>
        <v>872500</v>
      </c>
      <c r="R215" s="478">
        <f t="shared" si="29"/>
        <v>872500</v>
      </c>
      <c r="S215" s="2976"/>
      <c r="T215" s="328"/>
      <c r="U215" s="329"/>
      <c r="V215" s="330"/>
      <c r="X215" s="251"/>
    </row>
    <row r="216" spans="1:44" s="1" customFormat="1" ht="56.25" customHeight="1" x14ac:dyDescent="0.25">
      <c r="A216" s="213" t="s">
        <v>22</v>
      </c>
      <c r="B216" s="1058" t="s">
        <v>56</v>
      </c>
      <c r="C216" s="2962" t="s">
        <v>54</v>
      </c>
      <c r="D216" s="837"/>
      <c r="E216" s="286" t="s">
        <v>134</v>
      </c>
      <c r="F216" s="331"/>
      <c r="G216" s="1108" t="s">
        <v>97</v>
      </c>
      <c r="H216" s="1122"/>
      <c r="I216" s="1100"/>
      <c r="J216" s="332"/>
      <c r="K216" s="473"/>
      <c r="L216" s="474"/>
      <c r="M216" s="808"/>
      <c r="N216" s="549"/>
      <c r="O216" s="549"/>
      <c r="P216" s="809"/>
      <c r="Q216" s="642"/>
      <c r="R216" s="642"/>
      <c r="S216" s="333"/>
      <c r="T216" s="334"/>
      <c r="U216" s="16"/>
      <c r="V216" s="335"/>
    </row>
    <row r="217" spans="1:44" s="1" customFormat="1" ht="16.5" customHeight="1" x14ac:dyDescent="0.25">
      <c r="A217" s="336"/>
      <c r="B217" s="1067"/>
      <c r="C217" s="2963"/>
      <c r="D217" s="838"/>
      <c r="E217" s="2965" t="s">
        <v>135</v>
      </c>
      <c r="F217" s="337"/>
      <c r="G217" s="2967"/>
      <c r="H217" s="265" t="s">
        <v>136</v>
      </c>
      <c r="I217" s="2684" t="s">
        <v>253</v>
      </c>
      <c r="J217" s="22" t="s">
        <v>52</v>
      </c>
      <c r="K217" s="413">
        <v>179275</v>
      </c>
      <c r="L217" s="1097">
        <v>179275</v>
      </c>
      <c r="M217" s="30">
        <v>400000</v>
      </c>
      <c r="N217" s="1083"/>
      <c r="O217" s="1114"/>
      <c r="P217" s="503">
        <v>400000</v>
      </c>
      <c r="Q217" s="28">
        <v>400000</v>
      </c>
      <c r="R217" s="28">
        <v>400000</v>
      </c>
      <c r="S217" s="128" t="s">
        <v>279</v>
      </c>
      <c r="T217" s="339">
        <v>8</v>
      </c>
      <c r="U217" s="340">
        <v>8</v>
      </c>
      <c r="V217" s="1098">
        <v>8</v>
      </c>
    </row>
    <row r="218" spans="1:44" s="1" customFormat="1" ht="16.5" customHeight="1" x14ac:dyDescent="0.25">
      <c r="A218" s="336"/>
      <c r="B218" s="1067"/>
      <c r="C218" s="2963"/>
      <c r="D218" s="838"/>
      <c r="E218" s="2965"/>
      <c r="F218" s="337"/>
      <c r="G218" s="2967"/>
      <c r="H218" s="270"/>
      <c r="I218" s="2685"/>
      <c r="J218" s="22" t="s">
        <v>28</v>
      </c>
      <c r="K218" s="413"/>
      <c r="L218" s="1097">
        <v>405468</v>
      </c>
      <c r="M218" s="30"/>
      <c r="N218" s="1114"/>
      <c r="O218" s="1114"/>
      <c r="P218" s="245"/>
      <c r="Q218" s="121"/>
      <c r="R218" s="43"/>
      <c r="S218" s="128"/>
      <c r="T218" s="339"/>
      <c r="U218" s="340"/>
      <c r="V218" s="1098"/>
    </row>
    <row r="219" spans="1:44" s="1" customFormat="1" ht="16.5" customHeight="1" thickBot="1" x14ac:dyDescent="0.3">
      <c r="A219" s="324"/>
      <c r="B219" s="1059"/>
      <c r="C219" s="2964"/>
      <c r="D219" s="839"/>
      <c r="E219" s="2966"/>
      <c r="F219" s="341"/>
      <c r="G219" s="2968"/>
      <c r="H219" s="342"/>
      <c r="I219" s="2750"/>
      <c r="J219" s="80" t="s">
        <v>36</v>
      </c>
      <c r="K219" s="455">
        <f>SUM(K217:K217)</f>
        <v>179275</v>
      </c>
      <c r="L219" s="456">
        <f>SUM(L217:L218)</f>
        <v>584743</v>
      </c>
      <c r="M219" s="455">
        <f t="shared" ref="M219:P219" si="30">SUM(M217:M217)</f>
        <v>400000</v>
      </c>
      <c r="N219" s="459"/>
      <c r="O219" s="459"/>
      <c r="P219" s="478">
        <f t="shared" si="30"/>
        <v>400000</v>
      </c>
      <c r="Q219" s="457">
        <f>SUM(Q217)</f>
        <v>400000</v>
      </c>
      <c r="R219" s="457">
        <f>SUM(R217)</f>
        <v>400000</v>
      </c>
      <c r="S219" s="82"/>
      <c r="T219" s="328"/>
      <c r="U219" s="329"/>
      <c r="V219" s="330"/>
    </row>
    <row r="220" spans="1:44" s="2" customFormat="1" ht="16.5" customHeight="1" thickBot="1" x14ac:dyDescent="0.35">
      <c r="A220" s="7" t="s">
        <v>22</v>
      </c>
      <c r="B220" s="8" t="s">
        <v>56</v>
      </c>
      <c r="C220" s="2671" t="s">
        <v>62</v>
      </c>
      <c r="D220" s="2671"/>
      <c r="E220" s="2671"/>
      <c r="F220" s="2671"/>
      <c r="G220" s="2671"/>
      <c r="H220" s="2671"/>
      <c r="I220" s="2671"/>
      <c r="J220" s="2671"/>
      <c r="K220" s="840">
        <f>K219+K215+K202</f>
        <v>1552791</v>
      </c>
      <c r="L220" s="841">
        <f>L219+L215+L202</f>
        <v>1958259</v>
      </c>
      <c r="M220" s="840">
        <f t="shared" ref="M220:R220" si="31">M219+M215+M202</f>
        <v>2851000</v>
      </c>
      <c r="N220" s="842">
        <f t="shared" si="31"/>
        <v>814500</v>
      </c>
      <c r="O220" s="842">
        <f t="shared" si="31"/>
        <v>0</v>
      </c>
      <c r="P220" s="843">
        <f t="shared" si="31"/>
        <v>2036500</v>
      </c>
      <c r="Q220" s="840">
        <f t="shared" si="31"/>
        <v>3640300</v>
      </c>
      <c r="R220" s="840">
        <f t="shared" si="31"/>
        <v>2061800</v>
      </c>
      <c r="S220" s="2672"/>
      <c r="T220" s="2673"/>
      <c r="U220" s="2673"/>
      <c r="V220" s="2674"/>
      <c r="AB220" s="3"/>
    </row>
    <row r="221" spans="1:44" s="1" customFormat="1" ht="16.5" customHeight="1" thickBot="1" x14ac:dyDescent="0.3">
      <c r="A221" s="1057" t="s">
        <v>22</v>
      </c>
      <c r="B221" s="344"/>
      <c r="C221" s="2952" t="s">
        <v>137</v>
      </c>
      <c r="D221" s="2952"/>
      <c r="E221" s="2952"/>
      <c r="F221" s="2952"/>
      <c r="G221" s="2952"/>
      <c r="H221" s="2952"/>
      <c r="I221" s="2952"/>
      <c r="J221" s="2952"/>
      <c r="K221" s="99">
        <f t="shared" ref="K221:R221" si="32">K220+K194+K153+K51</f>
        <v>31181376</v>
      </c>
      <c r="L221" s="844">
        <f t="shared" si="32"/>
        <v>30829516</v>
      </c>
      <c r="M221" s="99">
        <f t="shared" si="32"/>
        <v>32324000</v>
      </c>
      <c r="N221" s="845">
        <f t="shared" si="32"/>
        <v>29404200</v>
      </c>
      <c r="O221" s="845">
        <f t="shared" si="32"/>
        <v>3306868</v>
      </c>
      <c r="P221" s="846">
        <f t="shared" si="32"/>
        <v>2919800</v>
      </c>
      <c r="Q221" s="99">
        <f t="shared" si="32"/>
        <v>32373100</v>
      </c>
      <c r="R221" s="99">
        <f t="shared" si="32"/>
        <v>31346300</v>
      </c>
      <c r="S221" s="2953"/>
      <c r="T221" s="2954"/>
      <c r="U221" s="2954"/>
      <c r="V221" s="2955"/>
    </row>
    <row r="222" spans="1:44" s="2" customFormat="1" ht="16.5" customHeight="1" thickBot="1" x14ac:dyDescent="0.35">
      <c r="A222" s="346" t="s">
        <v>138</v>
      </c>
      <c r="B222" s="2956" t="s">
        <v>139</v>
      </c>
      <c r="C222" s="2957"/>
      <c r="D222" s="2957"/>
      <c r="E222" s="2957"/>
      <c r="F222" s="2957"/>
      <c r="G222" s="2957"/>
      <c r="H222" s="2957"/>
      <c r="I222" s="2957"/>
      <c r="J222" s="2957"/>
      <c r="K222" s="847">
        <f>K221</f>
        <v>31181376</v>
      </c>
      <c r="L222" s="848">
        <f>L221</f>
        <v>30829516</v>
      </c>
      <c r="M222" s="847">
        <f t="shared" ref="M222:R222" si="33">M221</f>
        <v>32324000</v>
      </c>
      <c r="N222" s="849">
        <f t="shared" si="33"/>
        <v>29404200</v>
      </c>
      <c r="O222" s="849">
        <f t="shared" si="33"/>
        <v>3306868</v>
      </c>
      <c r="P222" s="850">
        <f t="shared" si="33"/>
        <v>2919800</v>
      </c>
      <c r="Q222" s="847">
        <f t="shared" si="33"/>
        <v>32373100</v>
      </c>
      <c r="R222" s="847">
        <f t="shared" si="33"/>
        <v>31346300</v>
      </c>
      <c r="S222" s="2958"/>
      <c r="T222" s="2959"/>
      <c r="U222" s="2959"/>
      <c r="V222" s="2960"/>
      <c r="W222" s="167"/>
    </row>
    <row r="223" spans="1:44" s="350" customFormat="1" ht="26.25" customHeight="1" x14ac:dyDescent="0.3">
      <c r="A223" s="2961" t="s">
        <v>140</v>
      </c>
      <c r="B223" s="2961"/>
      <c r="C223" s="2961"/>
      <c r="D223" s="2961"/>
      <c r="E223" s="2961"/>
      <c r="F223" s="2961"/>
      <c r="G223" s="2961"/>
      <c r="H223" s="2961"/>
      <c r="I223" s="2961"/>
      <c r="J223" s="2961"/>
      <c r="K223" s="2961"/>
      <c r="L223" s="2961"/>
      <c r="M223" s="2961"/>
      <c r="N223" s="2961"/>
      <c r="O223" s="2961"/>
      <c r="P223" s="2961"/>
      <c r="Q223" s="2961"/>
      <c r="R223" s="2961"/>
      <c r="S223" s="2961"/>
      <c r="T223" s="2961"/>
      <c r="U223" s="2961"/>
      <c r="V223" s="2961"/>
      <c r="W223" s="348"/>
      <c r="X223" s="349"/>
      <c r="Y223" s="349"/>
      <c r="Z223" s="349"/>
      <c r="AA223" s="349"/>
      <c r="AB223" s="349"/>
      <c r="AC223" s="349"/>
      <c r="AD223" s="349"/>
      <c r="AE223" s="349"/>
      <c r="AF223" s="349"/>
      <c r="AG223" s="349"/>
      <c r="AH223" s="349"/>
      <c r="AI223" s="349"/>
      <c r="AJ223" s="349"/>
      <c r="AK223" s="349"/>
      <c r="AL223" s="349"/>
      <c r="AM223" s="349"/>
      <c r="AN223" s="349"/>
      <c r="AO223" s="349"/>
      <c r="AP223" s="349"/>
      <c r="AQ223" s="349"/>
      <c r="AR223" s="349"/>
    </row>
    <row r="224" spans="1:44" s="350" customFormat="1" ht="16.5" customHeight="1" x14ac:dyDescent="0.3">
      <c r="A224" s="2948" t="s">
        <v>256</v>
      </c>
      <c r="B224" s="2948"/>
      <c r="C224" s="2948"/>
      <c r="D224" s="2948"/>
      <c r="E224" s="2948"/>
      <c r="F224" s="2948"/>
      <c r="G224" s="2948"/>
      <c r="H224" s="2948"/>
      <c r="I224" s="2948"/>
      <c r="J224" s="2948"/>
      <c r="K224" s="2948"/>
      <c r="L224" s="2948"/>
      <c r="M224" s="2948"/>
      <c r="N224" s="2948"/>
      <c r="O224" s="2948"/>
      <c r="P224" s="2948"/>
      <c r="Q224" s="2948"/>
      <c r="R224" s="2948"/>
      <c r="S224" s="2948"/>
      <c r="T224" s="2948"/>
      <c r="U224" s="2948"/>
      <c r="V224" s="851"/>
      <c r="W224" s="851"/>
      <c r="X224" s="349"/>
      <c r="Y224" s="349"/>
      <c r="Z224" s="349"/>
      <c r="AA224" s="349"/>
      <c r="AB224" s="349"/>
      <c r="AC224" s="349"/>
      <c r="AD224" s="349"/>
      <c r="AE224" s="349"/>
      <c r="AF224" s="349"/>
      <c r="AG224" s="349"/>
      <c r="AH224" s="349"/>
      <c r="AI224" s="349"/>
      <c r="AJ224" s="349"/>
      <c r="AK224" s="349"/>
      <c r="AL224" s="349"/>
      <c r="AM224" s="349"/>
      <c r="AN224" s="349"/>
      <c r="AO224" s="349"/>
      <c r="AP224" s="349"/>
      <c r="AQ224" s="349"/>
      <c r="AR224" s="349"/>
    </row>
    <row r="225" spans="1:44" s="350" customFormat="1" ht="16.5" customHeight="1" x14ac:dyDescent="0.3">
      <c r="A225" s="2948" t="s">
        <v>304</v>
      </c>
      <c r="B225" s="2948"/>
      <c r="C225" s="2948"/>
      <c r="D225" s="2948"/>
      <c r="E225" s="2948"/>
      <c r="F225" s="2948"/>
      <c r="G225" s="2948"/>
      <c r="H225" s="2948"/>
      <c r="I225" s="2948"/>
      <c r="J225" s="2948"/>
      <c r="K225" s="2948"/>
      <c r="L225" s="2948"/>
      <c r="M225" s="2948"/>
      <c r="N225" s="2948"/>
      <c r="O225" s="2948"/>
      <c r="P225" s="2948"/>
      <c r="Q225" s="2948"/>
      <c r="R225" s="2948"/>
      <c r="S225" s="2948"/>
      <c r="T225" s="2948"/>
      <c r="U225" s="2948"/>
      <c r="V225" s="1140"/>
      <c r="W225" s="1140"/>
      <c r="X225" s="349"/>
      <c r="Y225" s="349"/>
      <c r="Z225" s="349"/>
      <c r="AA225" s="349"/>
      <c r="AB225" s="349"/>
      <c r="AC225" s="349"/>
      <c r="AD225" s="349"/>
      <c r="AE225" s="349"/>
      <c r="AF225" s="349"/>
      <c r="AG225" s="349"/>
      <c r="AH225" s="349"/>
      <c r="AI225" s="349"/>
      <c r="AJ225" s="349"/>
      <c r="AK225" s="349"/>
      <c r="AL225" s="349"/>
      <c r="AM225" s="349"/>
      <c r="AN225" s="349"/>
      <c r="AO225" s="349"/>
      <c r="AP225" s="349"/>
      <c r="AQ225" s="349"/>
      <c r="AR225" s="349"/>
    </row>
    <row r="226" spans="1:44" s="251" customFormat="1" ht="16.5" customHeight="1" thickBot="1" x14ac:dyDescent="0.3">
      <c r="B226" s="1093"/>
      <c r="C226" s="351"/>
      <c r="D226" s="852"/>
      <c r="E226" s="2949" t="s">
        <v>141</v>
      </c>
      <c r="F226" s="2949"/>
      <c r="G226" s="2949"/>
      <c r="H226" s="2949"/>
      <c r="I226" s="2949"/>
      <c r="J226" s="2949"/>
      <c r="K226" s="2949"/>
      <c r="L226" s="2949"/>
      <c r="M226" s="2949"/>
      <c r="N226" s="2949"/>
      <c r="O226" s="2949"/>
      <c r="P226" s="2949"/>
      <c r="Q226" s="2949"/>
      <c r="R226" s="2949"/>
      <c r="S226" s="352"/>
      <c r="T226" s="352"/>
      <c r="U226" s="352"/>
      <c r="V226" s="352"/>
    </row>
    <row r="227" spans="1:44" s="141" customFormat="1" ht="64.5" customHeight="1" thickBot="1" x14ac:dyDescent="0.35">
      <c r="A227" s="353"/>
      <c r="B227" s="1094"/>
      <c r="C227" s="2646" t="s">
        <v>142</v>
      </c>
      <c r="D227" s="2647"/>
      <c r="E227" s="2647"/>
      <c r="F227" s="2647"/>
      <c r="G227" s="2647"/>
      <c r="H227" s="2647"/>
      <c r="I227" s="2647"/>
      <c r="J227" s="2950"/>
      <c r="K227" s="372" t="s">
        <v>155</v>
      </c>
      <c r="L227" s="373" t="s">
        <v>156</v>
      </c>
      <c r="M227" s="853" t="s">
        <v>257</v>
      </c>
      <c r="N227" s="854"/>
      <c r="O227" s="854"/>
      <c r="P227" s="855"/>
      <c r="Q227" s="856" t="s">
        <v>258</v>
      </c>
      <c r="R227" s="856" t="s">
        <v>259</v>
      </c>
      <c r="S227" s="1094"/>
      <c r="T227" s="2951"/>
      <c r="U227" s="2951"/>
      <c r="V227" s="2951"/>
    </row>
    <row r="228" spans="1:44" s="2" customFormat="1" ht="16.5" customHeight="1" thickBot="1" x14ac:dyDescent="0.35">
      <c r="A228" s="354"/>
      <c r="B228" s="355"/>
      <c r="C228" s="2942" t="s">
        <v>144</v>
      </c>
      <c r="D228" s="2943"/>
      <c r="E228" s="2943"/>
      <c r="F228" s="2943"/>
      <c r="G228" s="2943"/>
      <c r="H228" s="2943"/>
      <c r="I228" s="2943"/>
      <c r="J228" s="2944"/>
      <c r="K228" s="857">
        <f>SUM(K229:K234)</f>
        <v>16461299</v>
      </c>
      <c r="L228" s="858">
        <f>SUM(L229:L234)</f>
        <v>16100531</v>
      </c>
      <c r="M228" s="859">
        <f>SUM(M229:P234)</f>
        <v>15640400</v>
      </c>
      <c r="N228" s="860"/>
      <c r="O228" s="860"/>
      <c r="P228" s="861"/>
      <c r="Q228" s="862">
        <f>SUM(Q229:Q233)</f>
        <v>15010300</v>
      </c>
      <c r="R228" s="863">
        <f>SUM(R229:R233)</f>
        <v>14648700</v>
      </c>
      <c r="S228" s="1092"/>
      <c r="T228" s="2937"/>
      <c r="U228" s="2937"/>
      <c r="V228" s="2937"/>
    </row>
    <row r="229" spans="1:44" s="2" customFormat="1" ht="16.5" customHeight="1" x14ac:dyDescent="0.3">
      <c r="A229" s="354"/>
      <c r="B229" s="357"/>
      <c r="C229" s="2721" t="s">
        <v>145</v>
      </c>
      <c r="D229" s="2940"/>
      <c r="E229" s="2940"/>
      <c r="F229" s="2940"/>
      <c r="G229" s="2940"/>
      <c r="H229" s="2940"/>
      <c r="I229" s="2940"/>
      <c r="J229" s="2722"/>
      <c r="K229" s="864">
        <f>SUMIF(J13:J217,"sb",K13:K217)</f>
        <v>10432866</v>
      </c>
      <c r="L229" s="865">
        <f>SUMIF(J13:J218,"sb",L13:L218)</f>
        <v>9847290</v>
      </c>
      <c r="M229" s="866">
        <f>SUMIF(J13:J217,"sb",M13:M217)</f>
        <v>9769400</v>
      </c>
      <c r="N229" s="867"/>
      <c r="O229" s="867"/>
      <c r="P229" s="868"/>
      <c r="Q229" s="869">
        <f>SUMIF(J13:J217,"sb",Q13:Q217)</f>
        <v>9189700</v>
      </c>
      <c r="R229" s="1123">
        <f>SUMIF(J13:J217,"sb",R13:R217)</f>
        <v>8828400</v>
      </c>
      <c r="S229" s="1091"/>
      <c r="T229" s="2939"/>
      <c r="U229" s="2939"/>
      <c r="V229" s="2939"/>
    </row>
    <row r="230" spans="1:44" s="2" customFormat="1" ht="16.5" customHeight="1" x14ac:dyDescent="0.3">
      <c r="A230" s="354"/>
      <c r="B230" s="357"/>
      <c r="C230" s="2629" t="s">
        <v>146</v>
      </c>
      <c r="D230" s="2630"/>
      <c r="E230" s="2630"/>
      <c r="F230" s="2630"/>
      <c r="G230" s="2630"/>
      <c r="H230" s="2630"/>
      <c r="I230" s="2630"/>
      <c r="J230" s="2938"/>
      <c r="K230" s="870">
        <f>SUMIF(J13:J217,"sb(sp)",K13:K217)</f>
        <v>1329211</v>
      </c>
      <c r="L230" s="871">
        <f>SUMIF(J13:J218,"sb(sp)",L13:L218)</f>
        <v>1384091</v>
      </c>
      <c r="M230" s="872">
        <f>SUMIF(J13:J215,"sb(sp)",M13:M215)</f>
        <v>1447600</v>
      </c>
      <c r="N230" s="873"/>
      <c r="O230" s="873"/>
      <c r="P230" s="874"/>
      <c r="Q230" s="875">
        <f>SUMIF(J13:J217,"sb(sp)",Q13:Q217)</f>
        <v>1441600</v>
      </c>
      <c r="R230" s="876">
        <f>SUMIF(J13:J217,"sb(sp)",R13:R217)</f>
        <v>1441300</v>
      </c>
      <c r="S230" s="1091"/>
      <c r="T230" s="2939"/>
      <c r="U230" s="2939"/>
      <c r="V230" s="2939"/>
    </row>
    <row r="231" spans="1:44" s="2" customFormat="1" ht="16.5" customHeight="1" x14ac:dyDescent="0.3">
      <c r="A231" s="354"/>
      <c r="B231" s="357"/>
      <c r="C231" s="2629" t="s">
        <v>260</v>
      </c>
      <c r="D231" s="2630"/>
      <c r="E231" s="2630"/>
      <c r="F231" s="2630"/>
      <c r="G231" s="2630"/>
      <c r="H231" s="2630"/>
      <c r="I231" s="2630"/>
      <c r="J231" s="2938"/>
      <c r="K231" s="870">
        <f>SUMIF(J13:J217,"sb(spl)",K13:K217)</f>
        <v>331101</v>
      </c>
      <c r="L231" s="871">
        <f>SUMIF(J13:J218,"sb(spl)",L13:L218)</f>
        <v>322891</v>
      </c>
      <c r="M231" s="872"/>
      <c r="N231" s="873"/>
      <c r="O231" s="873"/>
      <c r="P231" s="874"/>
      <c r="Q231" s="875"/>
      <c r="R231" s="876"/>
      <c r="S231" s="1091"/>
      <c r="T231" s="1091"/>
      <c r="U231" s="1091"/>
      <c r="V231" s="1091"/>
    </row>
    <row r="232" spans="1:44" s="2" customFormat="1" ht="16.5" customHeight="1" x14ac:dyDescent="0.3">
      <c r="A232" s="354"/>
      <c r="B232" s="357"/>
      <c r="C232" s="2629" t="s">
        <v>147</v>
      </c>
      <c r="D232" s="2630"/>
      <c r="E232" s="2630"/>
      <c r="F232" s="2630"/>
      <c r="G232" s="2630"/>
      <c r="H232" s="2630"/>
      <c r="I232" s="2630"/>
      <c r="J232" s="2938"/>
      <c r="K232" s="870">
        <f>SUMIF(J13:J217,"sb(vb)",K13:K217)</f>
        <v>4180046</v>
      </c>
      <c r="L232" s="871">
        <f>SUMIF(J13:J218,"sb(vb)",L13:L218)</f>
        <v>4358184</v>
      </c>
      <c r="M232" s="872">
        <f>SUMIF(J13:J217,"sb(vb)",M13:M217)</f>
        <v>4423400</v>
      </c>
      <c r="N232" s="873"/>
      <c r="O232" s="873"/>
      <c r="P232" s="874"/>
      <c r="Q232" s="875">
        <f>SUMIF(J13:J217,"sb(vb)",Q13:Q217)</f>
        <v>4379000</v>
      </c>
      <c r="R232" s="875">
        <f>SUMIF(J13:J217,"sb(vb)",R13:R217)</f>
        <v>4379000</v>
      </c>
      <c r="S232" s="1091"/>
      <c r="T232" s="2939"/>
      <c r="U232" s="2939"/>
      <c r="V232" s="2939"/>
    </row>
    <row r="233" spans="1:44" s="2" customFormat="1" ht="16.5" customHeight="1" x14ac:dyDescent="0.3">
      <c r="A233" s="354"/>
      <c r="B233" s="357"/>
      <c r="C233" s="2580" t="s">
        <v>261</v>
      </c>
      <c r="D233" s="2947"/>
      <c r="E233" s="2947"/>
      <c r="F233" s="2947"/>
      <c r="G233" s="2947"/>
      <c r="H233" s="2947"/>
      <c r="I233" s="2947"/>
      <c r="J233" s="2581"/>
      <c r="K233" s="824">
        <f>SUMIF(J13:J217,"sb(p)",K13:K217)</f>
        <v>39794</v>
      </c>
      <c r="L233" s="877">
        <f>SUMIF(J13:J218,"sb(p)",L13:L218)</f>
        <v>39794</v>
      </c>
      <c r="M233" s="878">
        <f>SUMIF(J13:J217,"sb(p)",M13:M217)</f>
        <v>0</v>
      </c>
      <c r="N233" s="879"/>
      <c r="O233" s="879"/>
      <c r="P233" s="880"/>
      <c r="Q233" s="881">
        <f>SUMIF(J13:J215,J182,Q13:Q215)</f>
        <v>0</v>
      </c>
      <c r="R233" s="709">
        <f>SUMIF(J13:J217,#REF!,R13:R217)</f>
        <v>0</v>
      </c>
      <c r="S233" s="1091"/>
      <c r="T233" s="2939"/>
      <c r="U233" s="2939"/>
      <c r="V233" s="2939"/>
    </row>
    <row r="234" spans="1:44" s="2" customFormat="1" ht="16.5" customHeight="1" thickBot="1" x14ac:dyDescent="0.35">
      <c r="A234" s="354"/>
      <c r="B234" s="357"/>
      <c r="C234" s="2576" t="s">
        <v>262</v>
      </c>
      <c r="D234" s="2941"/>
      <c r="E234" s="2941"/>
      <c r="F234" s="2941"/>
      <c r="G234" s="2941"/>
      <c r="H234" s="2941"/>
      <c r="I234" s="2941"/>
      <c r="J234" s="2577"/>
      <c r="K234" s="882">
        <f>SUMIF(J13:J217,"sb(l)",K13:K217)</f>
        <v>148281</v>
      </c>
      <c r="L234" s="883">
        <f>SUMIF(J13:J218,"sb(l)",L13:L218)</f>
        <v>148281</v>
      </c>
      <c r="M234" s="884">
        <f>SUMIF(J13:J217,"sb(l)",M13:M217)</f>
        <v>0</v>
      </c>
      <c r="N234" s="885"/>
      <c r="O234" s="885"/>
      <c r="P234" s="886"/>
      <c r="Q234" s="887"/>
      <c r="R234" s="888"/>
      <c r="S234" s="1091"/>
      <c r="T234" s="1091"/>
      <c r="U234" s="1091"/>
      <c r="V234" s="1091"/>
    </row>
    <row r="235" spans="1:44" s="2" customFormat="1" ht="16.5" customHeight="1" thickBot="1" x14ac:dyDescent="0.35">
      <c r="A235" s="354"/>
      <c r="B235" s="355"/>
      <c r="C235" s="2942" t="s">
        <v>148</v>
      </c>
      <c r="D235" s="2943"/>
      <c r="E235" s="2943"/>
      <c r="F235" s="2943"/>
      <c r="G235" s="2943"/>
      <c r="H235" s="2943"/>
      <c r="I235" s="2943"/>
      <c r="J235" s="2944"/>
      <c r="K235" s="857">
        <f>SUM(K236:K238)</f>
        <v>14720077</v>
      </c>
      <c r="L235" s="858">
        <f>SUM(L236:L238)</f>
        <v>14728985</v>
      </c>
      <c r="M235" s="859">
        <f>SUM(M236:P238)</f>
        <v>16683600</v>
      </c>
      <c r="N235" s="860"/>
      <c r="O235" s="860"/>
      <c r="P235" s="861"/>
      <c r="Q235" s="862">
        <f>SUM(Q236:Q238)</f>
        <v>17362800</v>
      </c>
      <c r="R235" s="863">
        <f>R236+R237+R238</f>
        <v>16697600</v>
      </c>
      <c r="S235" s="1092"/>
      <c r="T235" s="2937"/>
      <c r="U235" s="2937"/>
      <c r="V235" s="2937"/>
    </row>
    <row r="236" spans="1:44" s="2" customFormat="1" ht="16.5" customHeight="1" x14ac:dyDescent="0.3">
      <c r="A236" s="354"/>
      <c r="B236" s="357"/>
      <c r="C236" s="2848" t="s">
        <v>149</v>
      </c>
      <c r="D236" s="2945"/>
      <c r="E236" s="2945"/>
      <c r="F236" s="2945"/>
      <c r="G236" s="2945"/>
      <c r="H236" s="2945"/>
      <c r="I236" s="2945"/>
      <c r="J236" s="2946"/>
      <c r="K236" s="372">
        <f>SUMIF(J13:J217,"es",K13:K217)</f>
        <v>694062</v>
      </c>
      <c r="L236" s="373">
        <f>SUMIF(J13:J218,"es",L13:L218)</f>
        <v>694062</v>
      </c>
      <c r="M236" s="866">
        <f>SUMIF(J13:J217,"es",M13:M217)</f>
        <v>1341700</v>
      </c>
      <c r="N236" s="867"/>
      <c r="O236" s="867"/>
      <c r="P236" s="868"/>
      <c r="Q236" s="889">
        <f>SUMIF(J13:J215,"es",Q13:Q215)</f>
        <v>2031200</v>
      </c>
      <c r="R236" s="1127">
        <f>SUMIF(J13:J215,"es",R13:R215)</f>
        <v>1376500</v>
      </c>
      <c r="S236" s="1091"/>
      <c r="T236" s="2939"/>
      <c r="U236" s="2939"/>
      <c r="V236" s="2939"/>
    </row>
    <row r="237" spans="1:44" s="2" customFormat="1" ht="16.5" customHeight="1" x14ac:dyDescent="0.3">
      <c r="A237" s="354"/>
      <c r="B237" s="357"/>
      <c r="C237" s="2629" t="s">
        <v>150</v>
      </c>
      <c r="D237" s="2630"/>
      <c r="E237" s="2630"/>
      <c r="F237" s="2630"/>
      <c r="G237" s="2630"/>
      <c r="H237" s="2630"/>
      <c r="I237" s="2630"/>
      <c r="J237" s="2938"/>
      <c r="K237" s="870">
        <f>SUMIF(J13:J217,"lrvb",K13:K217)</f>
        <v>14000499</v>
      </c>
      <c r="L237" s="871">
        <f>SUMIF(J13:J218,"lrvb",L13:L218)</f>
        <v>14009407</v>
      </c>
      <c r="M237" s="872">
        <f>SUMIF(J13:J217,"lrvb",M13:M217)</f>
        <v>15340400</v>
      </c>
      <c r="N237" s="873"/>
      <c r="O237" s="873"/>
      <c r="P237" s="874"/>
      <c r="Q237" s="875">
        <f>SUMIF(J13:J217,"lrvb",Q13:Q217)</f>
        <v>15330000</v>
      </c>
      <c r="R237" s="875">
        <f>SUMIF(J13:J217,"lrvb",R13:R217)</f>
        <v>15319500</v>
      </c>
      <c r="S237" s="361"/>
      <c r="T237" s="2939"/>
      <c r="U237" s="2939"/>
      <c r="V237" s="2939"/>
    </row>
    <row r="238" spans="1:44" s="2" customFormat="1" ht="16.5" customHeight="1" thickBot="1" x14ac:dyDescent="0.35">
      <c r="A238" s="354"/>
      <c r="B238" s="357"/>
      <c r="C238" s="2721" t="s">
        <v>151</v>
      </c>
      <c r="D238" s="2940"/>
      <c r="E238" s="2940"/>
      <c r="F238" s="2940"/>
      <c r="G238" s="2940"/>
      <c r="H238" s="2940"/>
      <c r="I238" s="2940"/>
      <c r="J238" s="2722"/>
      <c r="K238" s="890">
        <f>SUMIF(J13:J217,"kt",K13:K217)</f>
        <v>25516</v>
      </c>
      <c r="L238" s="891">
        <f>SUMIF(J13:J218,"kt",L13:L218)</f>
        <v>25516</v>
      </c>
      <c r="M238" s="892">
        <f>SUMIF(J13:J217,"kt",M13:M217)</f>
        <v>1500</v>
      </c>
      <c r="N238" s="893"/>
      <c r="O238" s="893"/>
      <c r="P238" s="894"/>
      <c r="Q238" s="889">
        <f>SUMIF(J13:J215,"kt",Q13:Q215)</f>
        <v>1600</v>
      </c>
      <c r="R238" s="1127">
        <f>SUMIF(J13:J215,"kt",R13:R215)</f>
        <v>1600</v>
      </c>
      <c r="S238" s="361"/>
      <c r="T238" s="2939"/>
      <c r="U238" s="2939"/>
      <c r="V238" s="2939"/>
    </row>
    <row r="239" spans="1:44" s="2" customFormat="1" ht="16.5" customHeight="1" thickBot="1" x14ac:dyDescent="0.35">
      <c r="A239" s="354"/>
      <c r="B239" s="355"/>
      <c r="C239" s="2934" t="s">
        <v>152</v>
      </c>
      <c r="D239" s="2935"/>
      <c r="E239" s="2935"/>
      <c r="F239" s="2935"/>
      <c r="G239" s="2935"/>
      <c r="H239" s="2935"/>
      <c r="I239" s="2935"/>
      <c r="J239" s="2936"/>
      <c r="K239" s="895">
        <f>K235+K228</f>
        <v>31181376</v>
      </c>
      <c r="L239" s="896">
        <f>L235+L228</f>
        <v>30829516</v>
      </c>
      <c r="M239" s="897">
        <f>M235+M228</f>
        <v>32324000</v>
      </c>
      <c r="N239" s="898"/>
      <c r="O239" s="898"/>
      <c r="P239" s="899"/>
      <c r="Q239" s="900">
        <f>Q228+Q235</f>
        <v>32373100</v>
      </c>
      <c r="R239" s="901">
        <f>R228+R235</f>
        <v>31346300</v>
      </c>
      <c r="S239" s="364"/>
      <c r="T239" s="2937"/>
      <c r="U239" s="2937"/>
      <c r="V239" s="2937"/>
    </row>
    <row r="240" spans="1:44" s="1" customFormat="1" ht="16.5" customHeight="1" x14ac:dyDescent="0.25">
      <c r="B240" s="365"/>
      <c r="C240" s="366"/>
      <c r="D240" s="366"/>
      <c r="E240" s="367"/>
      <c r="F240" s="367"/>
      <c r="G240" s="368"/>
      <c r="H240" s="369"/>
      <c r="I240" s="902"/>
      <c r="J240" s="370"/>
      <c r="K240" s="1168">
        <f>K222-K239</f>
        <v>0</v>
      </c>
      <c r="L240" s="1168">
        <f>L222-L239</f>
        <v>0</v>
      </c>
      <c r="M240" s="1169">
        <f>M239-M222</f>
        <v>0</v>
      </c>
      <c r="N240" s="1168"/>
      <c r="O240" s="1168"/>
      <c r="P240" s="1168"/>
      <c r="Q240" s="1168">
        <f>Q222-Q239</f>
        <v>0</v>
      </c>
      <c r="R240" s="1168">
        <f>R222-R239</f>
        <v>0</v>
      </c>
      <c r="S240" s="371"/>
      <c r="T240" s="370"/>
      <c r="U240" s="370"/>
    </row>
  </sheetData>
  <mergeCells count="256">
    <mergeCell ref="I13:I19"/>
    <mergeCell ref="E14:E15"/>
    <mergeCell ref="L14:L16"/>
    <mergeCell ref="L17:L19"/>
    <mergeCell ref="S19:S20"/>
    <mergeCell ref="S7:S8"/>
    <mergeCell ref="T7:V7"/>
    <mergeCell ref="A9:V9"/>
    <mergeCell ref="A10:V10"/>
    <mergeCell ref="B11:V11"/>
    <mergeCell ref="C12:V12"/>
    <mergeCell ref="R6:R8"/>
    <mergeCell ref="A2:V2"/>
    <mergeCell ref="A3:V3"/>
    <mergeCell ref="A4:V4"/>
    <mergeCell ref="A5:V5"/>
    <mergeCell ref="A6:A8"/>
    <mergeCell ref="B6:B8"/>
    <mergeCell ref="C6:C8"/>
    <mergeCell ref="E6:E8"/>
    <mergeCell ref="F6:F8"/>
    <mergeCell ref="G6:G8"/>
    <mergeCell ref="S6:V6"/>
    <mergeCell ref="K7:K8"/>
    <mergeCell ref="L7:L8"/>
    <mergeCell ref="M7:M8"/>
    <mergeCell ref="N7:O7"/>
    <mergeCell ref="P7:P8"/>
    <mergeCell ref="H6:H8"/>
    <mergeCell ref="I6:I8"/>
    <mergeCell ref="J6:J8"/>
    <mergeCell ref="M6:P6"/>
    <mergeCell ref="Q6:Q8"/>
    <mergeCell ref="V29:V30"/>
    <mergeCell ref="E31:E32"/>
    <mergeCell ref="I31:I32"/>
    <mergeCell ref="S31:S32"/>
    <mergeCell ref="A33:A34"/>
    <mergeCell ref="B33:B34"/>
    <mergeCell ref="E33:E34"/>
    <mergeCell ref="I33:I34"/>
    <mergeCell ref="S27:S28"/>
    <mergeCell ref="E29:E30"/>
    <mergeCell ref="I29:I30"/>
    <mergeCell ref="S29:S30"/>
    <mergeCell ref="T29:T30"/>
    <mergeCell ref="U29:U30"/>
    <mergeCell ref="A43:A44"/>
    <mergeCell ref="B43:B44"/>
    <mergeCell ref="C43:C44"/>
    <mergeCell ref="E43:E44"/>
    <mergeCell ref="F43:F44"/>
    <mergeCell ref="A35:A36"/>
    <mergeCell ref="B35:B36"/>
    <mergeCell ref="G43:G44"/>
    <mergeCell ref="H43:H44"/>
    <mergeCell ref="E35:E38"/>
    <mergeCell ref="I35:I36"/>
    <mergeCell ref="S35:S36"/>
    <mergeCell ref="S39:S40"/>
    <mergeCell ref="I42:J42"/>
    <mergeCell ref="S41:S42"/>
    <mergeCell ref="U47:U48"/>
    <mergeCell ref="T41:T42"/>
    <mergeCell ref="U41:U42"/>
    <mergeCell ref="V41:V42"/>
    <mergeCell ref="I43:I44"/>
    <mergeCell ref="V47:V48"/>
    <mergeCell ref="A49:A50"/>
    <mergeCell ref="B49:B50"/>
    <mergeCell ref="E49:E50"/>
    <mergeCell ref="I49:I50"/>
    <mergeCell ref="T45:T46"/>
    <mergeCell ref="U45:U46"/>
    <mergeCell ref="V45:V46"/>
    <mergeCell ref="A47:A48"/>
    <mergeCell ref="B47:B48"/>
    <mergeCell ref="C47:C48"/>
    <mergeCell ref="E47:E48"/>
    <mergeCell ref="I47:I48"/>
    <mergeCell ref="S47:S48"/>
    <mergeCell ref="T47:T48"/>
    <mergeCell ref="E45:E46"/>
    <mergeCell ref="I45:I46"/>
    <mergeCell ref="S45:S46"/>
    <mergeCell ref="D99:D105"/>
    <mergeCell ref="E99:E105"/>
    <mergeCell ref="S100:S101"/>
    <mergeCell ref="S102:S103"/>
    <mergeCell ref="S104:S105"/>
    <mergeCell ref="C51:J51"/>
    <mergeCell ref="S51:V51"/>
    <mergeCell ref="C52:V52"/>
    <mergeCell ref="D54:D61"/>
    <mergeCell ref="E67:E68"/>
    <mergeCell ref="S67:S68"/>
    <mergeCell ref="E85:E86"/>
    <mergeCell ref="E93:E94"/>
    <mergeCell ref="S84:S86"/>
    <mergeCell ref="S91:S92"/>
    <mergeCell ref="A115:A116"/>
    <mergeCell ref="B115:B116"/>
    <mergeCell ref="C115:C116"/>
    <mergeCell ref="E115:E116"/>
    <mergeCell ref="F115:F116"/>
    <mergeCell ref="G115:G116"/>
    <mergeCell ref="E106:E107"/>
    <mergeCell ref="E108:E111"/>
    <mergeCell ref="S108:S109"/>
    <mergeCell ref="S110:S111"/>
    <mergeCell ref="S112:S113"/>
    <mergeCell ref="I114:J114"/>
    <mergeCell ref="S114:V114"/>
    <mergeCell ref="H115:H116"/>
    <mergeCell ref="I115:I116"/>
    <mergeCell ref="S115:S116"/>
    <mergeCell ref="E143:E144"/>
    <mergeCell ref="H143:H144"/>
    <mergeCell ref="I143:I144"/>
    <mergeCell ref="E125:E126"/>
    <mergeCell ref="S125:S126"/>
    <mergeCell ref="I127:I128"/>
    <mergeCell ref="S127:S128"/>
    <mergeCell ref="A131:A132"/>
    <mergeCell ref="B131:B132"/>
    <mergeCell ref="I131:I135"/>
    <mergeCell ref="S139:S140"/>
    <mergeCell ref="F124:F126"/>
    <mergeCell ref="G124:G126"/>
    <mergeCell ref="H124:H126"/>
    <mergeCell ref="I124:I126"/>
    <mergeCell ref="E131:E133"/>
    <mergeCell ref="E134:E135"/>
    <mergeCell ref="S131:S133"/>
    <mergeCell ref="S134:S135"/>
    <mergeCell ref="U149:U150"/>
    <mergeCell ref="V149:V150"/>
    <mergeCell ref="E151:E152"/>
    <mergeCell ref="F151:F152"/>
    <mergeCell ref="G151:G152"/>
    <mergeCell ref="H151:H152"/>
    <mergeCell ref="I151:I152"/>
    <mergeCell ref="T146:T147"/>
    <mergeCell ref="U146:U147"/>
    <mergeCell ref="V146:V147"/>
    <mergeCell ref="E148:E150"/>
    <mergeCell ref="F148:F150"/>
    <mergeCell ref="G148:G150"/>
    <mergeCell ref="H148:H150"/>
    <mergeCell ref="I148:I150"/>
    <mergeCell ref="S149:S150"/>
    <mergeCell ref="T149:T150"/>
    <mergeCell ref="E145:E147"/>
    <mergeCell ref="F145:F147"/>
    <mergeCell ref="G145:G147"/>
    <mergeCell ref="H145:H147"/>
    <mergeCell ref="I145:I147"/>
    <mergeCell ref="S146:S147"/>
    <mergeCell ref="E162:E163"/>
    <mergeCell ref="H162:H163"/>
    <mergeCell ref="I162:I163"/>
    <mergeCell ref="E164:E165"/>
    <mergeCell ref="I164:I165"/>
    <mergeCell ref="E166:E168"/>
    <mergeCell ref="I166:I168"/>
    <mergeCell ref="C153:J153"/>
    <mergeCell ref="S153:V153"/>
    <mergeCell ref="C154:V154"/>
    <mergeCell ref="E156:E158"/>
    <mergeCell ref="I156:I158"/>
    <mergeCell ref="E159:E161"/>
    <mergeCell ref="I159:I161"/>
    <mergeCell ref="S174:S175"/>
    <mergeCell ref="U174:U175"/>
    <mergeCell ref="V174:V175"/>
    <mergeCell ref="E178:E179"/>
    <mergeCell ref="I178:I179"/>
    <mergeCell ref="S178:S179"/>
    <mergeCell ref="E169:E171"/>
    <mergeCell ref="I169:I171"/>
    <mergeCell ref="E172:E173"/>
    <mergeCell ref="I172:I173"/>
    <mergeCell ref="E174:E177"/>
    <mergeCell ref="I174:I177"/>
    <mergeCell ref="E190:E192"/>
    <mergeCell ref="I190:I191"/>
    <mergeCell ref="D193:E193"/>
    <mergeCell ref="S193:V193"/>
    <mergeCell ref="C194:J194"/>
    <mergeCell ref="S194:V194"/>
    <mergeCell ref="D180:I180"/>
    <mergeCell ref="S180:V180"/>
    <mergeCell ref="E182:E185"/>
    <mergeCell ref="I182:I183"/>
    <mergeCell ref="S182:S185"/>
    <mergeCell ref="E186:E189"/>
    <mergeCell ref="I186:I187"/>
    <mergeCell ref="S186:S189"/>
    <mergeCell ref="C195:V195"/>
    <mergeCell ref="E197:E199"/>
    <mergeCell ref="F197:F199"/>
    <mergeCell ref="I197:I198"/>
    <mergeCell ref="S200:S202"/>
    <mergeCell ref="I203:I204"/>
    <mergeCell ref="E204:E205"/>
    <mergeCell ref="F206:F207"/>
    <mergeCell ref="E208:E209"/>
    <mergeCell ref="S197:S198"/>
    <mergeCell ref="L205:L207"/>
    <mergeCell ref="C216:C219"/>
    <mergeCell ref="E217:E219"/>
    <mergeCell ref="G217:G219"/>
    <mergeCell ref="I217:I219"/>
    <mergeCell ref="C220:J220"/>
    <mergeCell ref="S220:V220"/>
    <mergeCell ref="S208:S209"/>
    <mergeCell ref="E210:E211"/>
    <mergeCell ref="G210:G211"/>
    <mergeCell ref="S210:S211"/>
    <mergeCell ref="L213:L214"/>
    <mergeCell ref="E214:E215"/>
    <mergeCell ref="S214:S215"/>
    <mergeCell ref="C227:J227"/>
    <mergeCell ref="T227:V227"/>
    <mergeCell ref="C228:J228"/>
    <mergeCell ref="T228:V228"/>
    <mergeCell ref="C221:J221"/>
    <mergeCell ref="S221:V221"/>
    <mergeCell ref="B222:J222"/>
    <mergeCell ref="S222:V222"/>
    <mergeCell ref="A223:V223"/>
    <mergeCell ref="A224:U224"/>
    <mergeCell ref="S1:V1"/>
    <mergeCell ref="S94:S97"/>
    <mergeCell ref="C239:J239"/>
    <mergeCell ref="T239:V239"/>
    <mergeCell ref="C237:J237"/>
    <mergeCell ref="T237:V237"/>
    <mergeCell ref="C238:J238"/>
    <mergeCell ref="T238:V238"/>
    <mergeCell ref="C234:J234"/>
    <mergeCell ref="C235:J235"/>
    <mergeCell ref="T235:V235"/>
    <mergeCell ref="C236:J236"/>
    <mergeCell ref="T236:V236"/>
    <mergeCell ref="C231:J231"/>
    <mergeCell ref="C232:J232"/>
    <mergeCell ref="T232:V232"/>
    <mergeCell ref="C233:J233"/>
    <mergeCell ref="T233:V233"/>
    <mergeCell ref="C229:J229"/>
    <mergeCell ref="T229:V229"/>
    <mergeCell ref="C230:J230"/>
    <mergeCell ref="T230:V230"/>
    <mergeCell ref="A225:U225"/>
    <mergeCell ref="E226:R226"/>
  </mergeCells>
  <pageMargins left="0" right="0" top="0.35433070866141736" bottom="0" header="0.31496062992125984" footer="0.31496062992125984"/>
  <pageSetup paperSize="9" scale="76" orientation="landscape" r:id="rId1"/>
  <rowBreaks count="9" manualBreakCount="9">
    <brk id="21" max="21" man="1"/>
    <brk id="34" max="21" man="1"/>
    <brk id="61" max="21" man="1"/>
    <brk id="117" max="21" man="1"/>
    <brk id="128" max="21" man="1"/>
    <brk id="147" max="21" man="1"/>
    <brk id="171" max="21" man="1"/>
    <brk id="194" max="21" man="1"/>
    <brk id="215" max="2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1"/>
  <sheetViews>
    <sheetView zoomScaleNormal="100" zoomScaleSheetLayoutView="70" workbookViewId="0"/>
  </sheetViews>
  <sheetFormatPr defaultColWidth="9.109375" defaultRowHeight="14.4" x14ac:dyDescent="0.3"/>
  <cols>
    <col min="1" max="1" width="3.33203125" style="1043" customWidth="1"/>
    <col min="2" max="2" width="3.33203125" style="1205" customWidth="1"/>
    <col min="3" max="3" width="3.33203125" style="1043" customWidth="1"/>
    <col min="4" max="4" width="25.33203125" style="1043" customWidth="1"/>
    <col min="5" max="5" width="4.6640625" style="1043" customWidth="1"/>
    <col min="6" max="6" width="3.109375" style="1043" customWidth="1"/>
    <col min="7" max="7" width="8" style="1043" customWidth="1"/>
    <col min="8" max="8" width="10.109375" style="1043" customWidth="1"/>
    <col min="9" max="9" width="9.6640625" style="1043" customWidth="1"/>
    <col min="10" max="10" width="8.44140625" style="1043" customWidth="1"/>
    <col min="11" max="11" width="9.88671875" style="1043" customWidth="1"/>
    <col min="12" max="12" width="9.44140625" style="1043" customWidth="1"/>
    <col min="13" max="13" width="8.44140625" style="1043" customWidth="1"/>
    <col min="14" max="14" width="9.44140625" style="1043" customWidth="1"/>
    <col min="15" max="15" width="9.88671875" style="1043" customWidth="1"/>
    <col min="16" max="16" width="8.44140625" style="1043" customWidth="1"/>
    <col min="17" max="17" width="24.33203125" style="1043" customWidth="1"/>
    <col min="18" max="18" width="6.6640625" style="1043" customWidth="1"/>
    <col min="19" max="20" width="5.6640625" style="1043" customWidth="1"/>
    <col min="21" max="21" width="44.109375" style="1043" customWidth="1"/>
    <col min="22" max="16384" width="9.109375" style="1043"/>
  </cols>
  <sheetData>
    <row r="1" spans="1:26" ht="27.75" customHeight="1" x14ac:dyDescent="0.3">
      <c r="Q1" s="3248" t="s">
        <v>306</v>
      </c>
      <c r="R1" s="3248"/>
      <c r="S1" s="3248"/>
      <c r="T1" s="3248"/>
      <c r="U1" s="3248"/>
    </row>
    <row r="2" spans="1:26" s="1033" customFormat="1" ht="16.5" customHeight="1" x14ac:dyDescent="0.3">
      <c r="A2" s="2852" t="s">
        <v>0</v>
      </c>
      <c r="B2" s="2852"/>
      <c r="C2" s="2852"/>
      <c r="D2" s="2852"/>
      <c r="E2" s="2852"/>
      <c r="F2" s="2852"/>
      <c r="G2" s="2852"/>
      <c r="H2" s="2852"/>
      <c r="I2" s="2852"/>
      <c r="J2" s="2852"/>
      <c r="K2" s="2852"/>
      <c r="L2" s="2852"/>
      <c r="M2" s="2852"/>
      <c r="N2" s="2852"/>
      <c r="O2" s="2852"/>
      <c r="P2" s="2852"/>
      <c r="Q2" s="2852"/>
      <c r="R2" s="2852"/>
      <c r="S2" s="2852"/>
      <c r="T2" s="2852"/>
      <c r="U2" s="2852"/>
    </row>
    <row r="3" spans="1:26" s="1034" customFormat="1" ht="16.5" customHeight="1" x14ac:dyDescent="0.3">
      <c r="A3" s="2853" t="s">
        <v>1</v>
      </c>
      <c r="B3" s="2853"/>
      <c r="C3" s="2853"/>
      <c r="D3" s="2853"/>
      <c r="E3" s="2853"/>
      <c r="F3" s="2853"/>
      <c r="G3" s="2853"/>
      <c r="H3" s="2853"/>
      <c r="I3" s="2853"/>
      <c r="J3" s="2853"/>
      <c r="K3" s="2853"/>
      <c r="L3" s="2853"/>
      <c r="M3" s="2853"/>
      <c r="N3" s="2853"/>
      <c r="O3" s="2853"/>
      <c r="P3" s="2853"/>
      <c r="Q3" s="2853"/>
      <c r="R3" s="2853"/>
      <c r="S3" s="2853"/>
      <c r="T3" s="2853"/>
      <c r="U3" s="2853"/>
    </row>
    <row r="4" spans="1:26" s="1034" customFormat="1" ht="16.5" customHeight="1" x14ac:dyDescent="0.3">
      <c r="A4" s="3258" t="s">
        <v>2</v>
      </c>
      <c r="B4" s="3258"/>
      <c r="C4" s="3258"/>
      <c r="D4" s="3258"/>
      <c r="E4" s="3258"/>
      <c r="F4" s="3258"/>
      <c r="G4" s="3258"/>
      <c r="H4" s="3258"/>
      <c r="I4" s="3258"/>
      <c r="J4" s="3258"/>
      <c r="K4" s="3258"/>
      <c r="L4" s="3258"/>
      <c r="M4" s="3258"/>
      <c r="N4" s="3258"/>
      <c r="O4" s="3258"/>
      <c r="P4" s="3258"/>
      <c r="Q4" s="3258"/>
      <c r="R4" s="3258"/>
      <c r="S4" s="3258"/>
      <c r="T4" s="3258"/>
      <c r="U4" s="3258"/>
    </row>
    <row r="5" spans="1:26" s="2" customFormat="1" ht="21" customHeight="1" thickBot="1" x14ac:dyDescent="0.3">
      <c r="A5" s="2854" t="s">
        <v>3</v>
      </c>
      <c r="B5" s="2854"/>
      <c r="C5" s="2854"/>
      <c r="D5" s="2854"/>
      <c r="E5" s="2854"/>
      <c r="F5" s="2854"/>
      <c r="G5" s="2854"/>
      <c r="H5" s="2854"/>
      <c r="I5" s="2854"/>
      <c r="J5" s="2854"/>
      <c r="K5" s="2854"/>
      <c r="L5" s="2854"/>
      <c r="M5" s="2854"/>
      <c r="N5" s="2854"/>
      <c r="O5" s="2854"/>
      <c r="P5" s="2854"/>
      <c r="Q5" s="2854"/>
      <c r="R5" s="2854"/>
      <c r="S5" s="2854"/>
      <c r="T5" s="2854"/>
      <c r="U5" s="2854"/>
    </row>
    <row r="6" spans="1:26" s="3" customFormat="1" ht="18.75" customHeight="1" thickBot="1" x14ac:dyDescent="0.35">
      <c r="A6" s="2866" t="s">
        <v>4</v>
      </c>
      <c r="B6" s="2869" t="s">
        <v>5</v>
      </c>
      <c r="C6" s="2872" t="s">
        <v>6</v>
      </c>
      <c r="D6" s="2875" t="s">
        <v>7</v>
      </c>
      <c r="E6" s="3112" t="s">
        <v>8</v>
      </c>
      <c r="F6" s="2855" t="s">
        <v>10</v>
      </c>
      <c r="G6" s="3134" t="s">
        <v>11</v>
      </c>
      <c r="H6" s="3265" t="s">
        <v>12</v>
      </c>
      <c r="I6" s="2642" t="s">
        <v>308</v>
      </c>
      <c r="J6" s="2644" t="s">
        <v>309</v>
      </c>
      <c r="K6" s="3268" t="s">
        <v>343</v>
      </c>
      <c r="L6" s="2642" t="s">
        <v>344</v>
      </c>
      <c r="M6" s="2644" t="s">
        <v>309</v>
      </c>
      <c r="N6" s="3268" t="s">
        <v>346</v>
      </c>
      <c r="O6" s="2642" t="s">
        <v>345</v>
      </c>
      <c r="P6" s="2644" t="s">
        <v>309</v>
      </c>
      <c r="Q6" s="3118" t="s">
        <v>15</v>
      </c>
      <c r="R6" s="3119"/>
      <c r="S6" s="3119"/>
      <c r="T6" s="3120"/>
      <c r="U6" s="3262" t="s">
        <v>326</v>
      </c>
    </row>
    <row r="7" spans="1:26" s="3" customFormat="1" ht="16.5" customHeight="1" x14ac:dyDescent="0.3">
      <c r="A7" s="2867"/>
      <c r="B7" s="2870"/>
      <c r="C7" s="2873"/>
      <c r="D7" s="2876"/>
      <c r="E7" s="3113"/>
      <c r="F7" s="2856"/>
      <c r="G7" s="3135"/>
      <c r="H7" s="3266"/>
      <c r="I7" s="2894"/>
      <c r="J7" s="2896"/>
      <c r="K7" s="3269"/>
      <c r="L7" s="2894"/>
      <c r="M7" s="2896"/>
      <c r="N7" s="3269"/>
      <c r="O7" s="2894"/>
      <c r="P7" s="2896"/>
      <c r="Q7" s="2983" t="s">
        <v>7</v>
      </c>
      <c r="R7" s="2897" t="s">
        <v>16</v>
      </c>
      <c r="S7" s="3146"/>
      <c r="T7" s="2898"/>
      <c r="U7" s="3263"/>
    </row>
    <row r="8" spans="1:26" s="3" customFormat="1" ht="103.5" customHeight="1" thickBot="1" x14ac:dyDescent="0.35">
      <c r="A8" s="2868"/>
      <c r="B8" s="2871"/>
      <c r="C8" s="2874"/>
      <c r="D8" s="2877"/>
      <c r="E8" s="3114"/>
      <c r="F8" s="2857"/>
      <c r="G8" s="3136"/>
      <c r="H8" s="3267"/>
      <c r="I8" s="2643"/>
      <c r="J8" s="2645"/>
      <c r="K8" s="3270"/>
      <c r="L8" s="2643"/>
      <c r="M8" s="2645"/>
      <c r="N8" s="3270"/>
      <c r="O8" s="2643"/>
      <c r="P8" s="2645"/>
      <c r="Q8" s="3145"/>
      <c r="R8" s="4" t="s">
        <v>17</v>
      </c>
      <c r="S8" s="4" t="s">
        <v>18</v>
      </c>
      <c r="T8" s="5" t="s">
        <v>19</v>
      </c>
      <c r="U8" s="3264"/>
    </row>
    <row r="9" spans="1:26" s="2" customFormat="1" ht="14.25" customHeight="1" x14ac:dyDescent="0.3">
      <c r="A9" s="3147" t="s">
        <v>20</v>
      </c>
      <c r="B9" s="3148"/>
      <c r="C9" s="3148"/>
      <c r="D9" s="3148"/>
      <c r="E9" s="3148"/>
      <c r="F9" s="3148"/>
      <c r="G9" s="3148"/>
      <c r="H9" s="3148"/>
      <c r="I9" s="3148"/>
      <c r="J9" s="3148"/>
      <c r="K9" s="3148"/>
      <c r="L9" s="3148"/>
      <c r="M9" s="3148"/>
      <c r="N9" s="3148"/>
      <c r="O9" s="3148"/>
      <c r="P9" s="3148"/>
      <c r="Q9" s="3148"/>
      <c r="R9" s="3148"/>
      <c r="S9" s="3148"/>
      <c r="T9" s="3148"/>
      <c r="U9" s="3149"/>
    </row>
    <row r="10" spans="1:26" s="2" customFormat="1" ht="16.5" customHeight="1" thickBot="1" x14ac:dyDescent="0.35">
      <c r="A10" s="3150" t="s">
        <v>21</v>
      </c>
      <c r="B10" s="3151"/>
      <c r="C10" s="3151"/>
      <c r="D10" s="3151"/>
      <c r="E10" s="3151"/>
      <c r="F10" s="3151"/>
      <c r="G10" s="3151"/>
      <c r="H10" s="3151"/>
      <c r="I10" s="3151"/>
      <c r="J10" s="3151"/>
      <c r="K10" s="3151"/>
      <c r="L10" s="3151"/>
      <c r="M10" s="3151"/>
      <c r="N10" s="3151"/>
      <c r="O10" s="3151"/>
      <c r="P10" s="3151"/>
      <c r="Q10" s="3151"/>
      <c r="R10" s="3151"/>
      <c r="S10" s="3151"/>
      <c r="T10" s="3151"/>
      <c r="U10" s="3152"/>
      <c r="Z10" s="3"/>
    </row>
    <row r="11" spans="1:26" s="3" customFormat="1" ht="16.5" customHeight="1" thickBot="1" x14ac:dyDescent="0.35">
      <c r="A11" s="6" t="s">
        <v>22</v>
      </c>
      <c r="B11" s="3153" t="s">
        <v>23</v>
      </c>
      <c r="C11" s="3153"/>
      <c r="D11" s="3153"/>
      <c r="E11" s="3153"/>
      <c r="F11" s="3153"/>
      <c r="G11" s="3153"/>
      <c r="H11" s="3153"/>
      <c r="I11" s="3153"/>
      <c r="J11" s="3153"/>
      <c r="K11" s="3153"/>
      <c r="L11" s="3153"/>
      <c r="M11" s="3153"/>
      <c r="N11" s="3153"/>
      <c r="O11" s="3153"/>
      <c r="P11" s="3153"/>
      <c r="Q11" s="3153"/>
      <c r="R11" s="3153"/>
      <c r="S11" s="3153"/>
      <c r="T11" s="3153"/>
      <c r="U11" s="3154"/>
    </row>
    <row r="12" spans="1:26" s="3" customFormat="1" ht="16.5" customHeight="1" thickBot="1" x14ac:dyDescent="0.35">
      <c r="A12" s="7" t="s">
        <v>22</v>
      </c>
      <c r="B12" s="8" t="s">
        <v>22</v>
      </c>
      <c r="C12" s="3155" t="s">
        <v>24</v>
      </c>
      <c r="D12" s="3155"/>
      <c r="E12" s="3155"/>
      <c r="F12" s="3155"/>
      <c r="G12" s="3156"/>
      <c r="H12" s="3156"/>
      <c r="I12" s="3156"/>
      <c r="J12" s="3156"/>
      <c r="K12" s="3156"/>
      <c r="L12" s="3156"/>
      <c r="M12" s="3156"/>
      <c r="N12" s="3156"/>
      <c r="O12" s="3156"/>
      <c r="P12" s="3156"/>
      <c r="Q12" s="3156"/>
      <c r="R12" s="3156"/>
      <c r="S12" s="3156"/>
      <c r="T12" s="3156"/>
      <c r="U12" s="3157"/>
    </row>
    <row r="13" spans="1:26" s="3" customFormat="1" ht="81.75" customHeight="1" x14ac:dyDescent="0.3">
      <c r="A13" s="1146" t="s">
        <v>22</v>
      </c>
      <c r="B13" s="9" t="s">
        <v>22</v>
      </c>
      <c r="C13" s="10" t="s">
        <v>22</v>
      </c>
      <c r="D13" s="11" t="s">
        <v>25</v>
      </c>
      <c r="E13" s="138"/>
      <c r="F13" s="1335" t="s">
        <v>27</v>
      </c>
      <c r="G13" s="1336" t="s">
        <v>28</v>
      </c>
      <c r="H13" s="1430">
        <f>1155.6+2.1-420+6.1</f>
        <v>743.79999999999984</v>
      </c>
      <c r="I13" s="1661">
        <v>727</v>
      </c>
      <c r="J13" s="1662">
        <f>I13-H13</f>
        <v>-16.799999999999841</v>
      </c>
      <c r="K13" s="14">
        <v>1209.7</v>
      </c>
      <c r="L13" s="1539">
        <v>1209.7</v>
      </c>
      <c r="M13" s="1524"/>
      <c r="N13" s="14">
        <v>1209.7</v>
      </c>
      <c r="O13" s="1539">
        <v>1209.7</v>
      </c>
      <c r="P13" s="1537"/>
      <c r="Q13" s="936" t="s">
        <v>267</v>
      </c>
      <c r="R13" s="15">
        <v>5</v>
      </c>
      <c r="S13" s="16">
        <v>5</v>
      </c>
      <c r="T13" s="1303">
        <v>5</v>
      </c>
      <c r="U13" s="1293" t="s">
        <v>367</v>
      </c>
    </row>
    <row r="14" spans="1:26" s="3" customFormat="1" ht="42" customHeight="1" x14ac:dyDescent="0.3">
      <c r="A14" s="1144"/>
      <c r="B14" s="18"/>
      <c r="C14" s="19"/>
      <c r="D14" s="2669" t="s">
        <v>30</v>
      </c>
      <c r="E14" s="1276"/>
      <c r="F14" s="1337"/>
      <c r="G14" s="1338" t="s">
        <v>31</v>
      </c>
      <c r="H14" s="1431">
        <f>4309.8-128.4</f>
        <v>4181.4000000000005</v>
      </c>
      <c r="I14" s="1466">
        <f>4181.4-25.5</f>
        <v>4155.8999999999996</v>
      </c>
      <c r="J14" s="1342">
        <f>I14-H14</f>
        <v>-25.500000000000909</v>
      </c>
      <c r="K14" s="71">
        <f>4313.4-3.5</f>
        <v>4309.8999999999996</v>
      </c>
      <c r="L14" s="1477">
        <f>4313.4-3.5</f>
        <v>4309.8999999999996</v>
      </c>
      <c r="M14" s="1538"/>
      <c r="N14" s="71">
        <f>4313.5-3.5</f>
        <v>4310</v>
      </c>
      <c r="O14" s="1477">
        <f>4313.5-3.5</f>
        <v>4310</v>
      </c>
      <c r="P14" s="1414"/>
      <c r="Q14" s="24" t="s">
        <v>266</v>
      </c>
      <c r="R14" s="1663" t="s">
        <v>353</v>
      </c>
      <c r="S14" s="1249">
        <v>196</v>
      </c>
      <c r="T14" s="1304">
        <v>196</v>
      </c>
      <c r="U14" s="2665" t="s">
        <v>356</v>
      </c>
    </row>
    <row r="15" spans="1:26" s="3" customFormat="1" ht="54" customHeight="1" x14ac:dyDescent="0.3">
      <c r="A15" s="1144"/>
      <c r="B15" s="18"/>
      <c r="C15" s="19"/>
      <c r="D15" s="2670"/>
      <c r="E15" s="1276"/>
      <c r="F15" s="1337"/>
      <c r="G15" s="1339"/>
      <c r="H15" s="1432"/>
      <c r="I15" s="1467"/>
      <c r="J15" s="1420"/>
      <c r="K15" s="1353"/>
      <c r="L15" s="1467"/>
      <c r="M15" s="1420"/>
      <c r="N15" s="1353"/>
      <c r="O15" s="1467"/>
      <c r="P15" s="1340"/>
      <c r="Q15" s="507" t="s">
        <v>270</v>
      </c>
      <c r="R15" s="1664" t="s">
        <v>354</v>
      </c>
      <c r="S15" s="1320">
        <v>65</v>
      </c>
      <c r="T15" s="544">
        <v>70</v>
      </c>
      <c r="U15" s="2665"/>
    </row>
    <row r="16" spans="1:26" s="3" customFormat="1" ht="30" customHeight="1" x14ac:dyDescent="0.3">
      <c r="A16" s="1144"/>
      <c r="B16" s="18"/>
      <c r="C16" s="19"/>
      <c r="D16" s="2670"/>
      <c r="E16" s="1276"/>
      <c r="F16" s="1337"/>
      <c r="G16" s="1339"/>
      <c r="H16" s="1432"/>
      <c r="I16" s="1467"/>
      <c r="J16" s="1420"/>
      <c r="K16" s="1353"/>
      <c r="L16" s="1467"/>
      <c r="M16" s="1420"/>
      <c r="N16" s="1353"/>
      <c r="O16" s="1467"/>
      <c r="P16" s="1340"/>
      <c r="Q16" s="33" t="s">
        <v>33</v>
      </c>
      <c r="R16" s="30">
        <v>3500</v>
      </c>
      <c r="S16" s="1320">
        <v>3500</v>
      </c>
      <c r="T16" s="544">
        <v>3500</v>
      </c>
      <c r="U16" s="2665"/>
    </row>
    <row r="17" spans="1:25" s="3" customFormat="1" ht="42.75" customHeight="1" x14ac:dyDescent="0.3">
      <c r="A17" s="1224"/>
      <c r="B17" s="18"/>
      <c r="C17" s="19"/>
      <c r="D17" s="31"/>
      <c r="E17" s="20"/>
      <c r="F17" s="937"/>
      <c r="G17" s="28"/>
      <c r="H17" s="1433"/>
      <c r="I17" s="1468"/>
      <c r="J17" s="120"/>
      <c r="K17" s="29"/>
      <c r="L17" s="1469"/>
      <c r="M17" s="120"/>
      <c r="N17" s="29"/>
      <c r="O17" s="1469"/>
      <c r="P17" s="32"/>
      <c r="Q17" s="34" t="s">
        <v>34</v>
      </c>
      <c r="R17" s="1275" t="s">
        <v>355</v>
      </c>
      <c r="S17" s="976">
        <v>16280</v>
      </c>
      <c r="T17" s="1341">
        <v>16280</v>
      </c>
      <c r="U17" s="1343"/>
    </row>
    <row r="18" spans="1:25" s="3" customFormat="1" ht="38.25" customHeight="1" x14ac:dyDescent="0.3">
      <c r="A18" s="1224"/>
      <c r="B18" s="18"/>
      <c r="C18" s="19"/>
      <c r="D18" s="31"/>
      <c r="E18" s="20"/>
      <c r="F18" s="937"/>
      <c r="G18" s="35"/>
      <c r="H18" s="1434"/>
      <c r="I18" s="1469"/>
      <c r="J18" s="120"/>
      <c r="K18" s="29"/>
      <c r="L18" s="1469"/>
      <c r="M18" s="120"/>
      <c r="N18" s="29"/>
      <c r="O18" s="1469"/>
      <c r="P18" s="32"/>
      <c r="Q18" s="2981" t="s">
        <v>35</v>
      </c>
      <c r="R18" s="39">
        <v>95</v>
      </c>
      <c r="S18" s="1249">
        <v>104</v>
      </c>
      <c r="T18" s="544">
        <v>114</v>
      </c>
      <c r="U18" s="28"/>
    </row>
    <row r="19" spans="1:25" s="3" customFormat="1" ht="17.25" customHeight="1" x14ac:dyDescent="0.3">
      <c r="A19" s="1729"/>
      <c r="B19" s="1730"/>
      <c r="C19" s="1190"/>
      <c r="D19" s="1228"/>
      <c r="E19" s="1230"/>
      <c r="F19" s="939"/>
      <c r="G19" s="50" t="s">
        <v>36</v>
      </c>
      <c r="H19" s="51">
        <f>SUM(H13:H18)</f>
        <v>4925.2000000000007</v>
      </c>
      <c r="I19" s="1470">
        <f>SUM(I13:I18)</f>
        <v>4882.8999999999996</v>
      </c>
      <c r="J19" s="1573">
        <f t="shared" ref="J19" si="0">SUM(J13:J18)</f>
        <v>-42.30000000000075</v>
      </c>
      <c r="K19" s="1526">
        <f>SUM(K13:K18)</f>
        <v>5519.5999999999995</v>
      </c>
      <c r="L19" s="1470">
        <f>SUM(L13:L18)</f>
        <v>5519.5999999999995</v>
      </c>
      <c r="M19" s="1573"/>
      <c r="N19" s="1526">
        <f>SUM(N13:N18)</f>
        <v>5519.7</v>
      </c>
      <c r="O19" s="1470">
        <f>SUM(O13:O18)</f>
        <v>5519.7</v>
      </c>
      <c r="P19" s="1531"/>
      <c r="Q19" s="2982"/>
      <c r="R19" s="416"/>
      <c r="S19" s="67"/>
      <c r="T19" s="415"/>
      <c r="U19" s="35"/>
    </row>
    <row r="20" spans="1:25" s="3" customFormat="1" ht="55.5" customHeight="1" x14ac:dyDescent="0.3">
      <c r="A20" s="1752"/>
      <c r="B20" s="1753"/>
      <c r="C20" s="19"/>
      <c r="D20" s="2680" t="s">
        <v>37</v>
      </c>
      <c r="E20" s="3271" t="s">
        <v>319</v>
      </c>
      <c r="F20" s="937" t="s">
        <v>27</v>
      </c>
      <c r="G20" s="35" t="s">
        <v>28</v>
      </c>
      <c r="H20" s="1358">
        <v>1627.8</v>
      </c>
      <c r="I20" s="1750">
        <f>1627.8+425.1</f>
        <v>2052.9</v>
      </c>
      <c r="J20" s="1751">
        <f>I20-H20</f>
        <v>425.10000000000014</v>
      </c>
      <c r="K20" s="61">
        <v>1627.8</v>
      </c>
      <c r="L20" s="1475">
        <v>1627.8</v>
      </c>
      <c r="M20" s="127"/>
      <c r="N20" s="61">
        <v>1627.8</v>
      </c>
      <c r="O20" s="1475">
        <v>1627.8</v>
      </c>
      <c r="P20" s="1532"/>
      <c r="Q20" s="2665" t="s">
        <v>38</v>
      </c>
      <c r="R20" s="1665" t="s">
        <v>357</v>
      </c>
      <c r="S20" s="46">
        <v>640</v>
      </c>
      <c r="T20" s="1305">
        <v>640</v>
      </c>
      <c r="U20" s="2679" t="s">
        <v>369</v>
      </c>
    </row>
    <row r="21" spans="1:25" s="3" customFormat="1" ht="15" customHeight="1" x14ac:dyDescent="0.3">
      <c r="A21" s="1752"/>
      <c r="B21" s="1753"/>
      <c r="C21" s="19"/>
      <c r="D21" s="3060"/>
      <c r="E21" s="3272"/>
      <c r="F21" s="937"/>
      <c r="G21" s="36" t="s">
        <v>36</v>
      </c>
      <c r="H21" s="38">
        <f t="shared" ref="H21:I21" si="1">SUM(H20:H20)</f>
        <v>1627.8</v>
      </c>
      <c r="I21" s="1472">
        <f t="shared" si="1"/>
        <v>2052.9</v>
      </c>
      <c r="J21" s="134">
        <f t="shared" ref="J21" si="2">SUM(J20:J20)</f>
        <v>425.10000000000014</v>
      </c>
      <c r="K21" s="37">
        <f>SUM(K20:K20)</f>
        <v>1627.8</v>
      </c>
      <c r="L21" s="1472">
        <f>SUM(L20:L20)</f>
        <v>1627.8</v>
      </c>
      <c r="M21" s="1533"/>
      <c r="N21" s="37">
        <f>SUM(N20:N20)</f>
        <v>1627.8</v>
      </c>
      <c r="O21" s="1472">
        <f>SUM(O20:O20)</f>
        <v>1627.8</v>
      </c>
      <c r="P21" s="1425"/>
      <c r="Q21" s="2933"/>
      <c r="R21" s="20"/>
      <c r="S21" s="47"/>
      <c r="T21" s="91"/>
      <c r="U21" s="3060"/>
    </row>
    <row r="22" spans="1:25" s="3" customFormat="1" ht="52.5" customHeight="1" x14ac:dyDescent="0.3">
      <c r="A22" s="1765"/>
      <c r="B22" s="1783"/>
      <c r="C22" s="19"/>
      <c r="D22" s="2669" t="s">
        <v>39</v>
      </c>
      <c r="E22" s="1771"/>
      <c r="F22" s="938" t="s">
        <v>27</v>
      </c>
      <c r="G22" s="43" t="s">
        <v>28</v>
      </c>
      <c r="H22" s="1435">
        <v>214.5</v>
      </c>
      <c r="I22" s="1655">
        <f>214.5+2.9</f>
        <v>217.4</v>
      </c>
      <c r="J22" s="1653">
        <f>I22-H22</f>
        <v>2.9000000000000057</v>
      </c>
      <c r="K22" s="44">
        <v>214.5</v>
      </c>
      <c r="L22" s="1510">
        <v>214.5</v>
      </c>
      <c r="M22" s="1741"/>
      <c r="N22" s="44">
        <v>214.5</v>
      </c>
      <c r="O22" s="1510">
        <v>214.5</v>
      </c>
      <c r="P22" s="1414"/>
      <c r="Q22" s="2789" t="s">
        <v>40</v>
      </c>
      <c r="R22" s="3279">
        <v>23</v>
      </c>
      <c r="S22" s="3107">
        <v>23</v>
      </c>
      <c r="T22" s="3277">
        <v>23</v>
      </c>
      <c r="U22" s="2789" t="s">
        <v>370</v>
      </c>
    </row>
    <row r="23" spans="1:25" s="3" customFormat="1" ht="16.5" customHeight="1" x14ac:dyDescent="0.3">
      <c r="A23" s="1765"/>
      <c r="B23" s="1783"/>
      <c r="C23" s="1190"/>
      <c r="D23" s="2712"/>
      <c r="E23" s="1772"/>
      <c r="F23" s="939"/>
      <c r="G23" s="50" t="s">
        <v>36</v>
      </c>
      <c r="H23" s="51">
        <f>H22</f>
        <v>214.5</v>
      </c>
      <c r="I23" s="1470">
        <f>I22</f>
        <v>217.4</v>
      </c>
      <c r="J23" s="1573">
        <f>+J22</f>
        <v>2.9000000000000057</v>
      </c>
      <c r="K23" s="1526">
        <f>+K22</f>
        <v>214.5</v>
      </c>
      <c r="L23" s="1470">
        <f>+L22</f>
        <v>214.5</v>
      </c>
      <c r="M23" s="1742"/>
      <c r="N23" s="1526">
        <f>+N22</f>
        <v>214.5</v>
      </c>
      <c r="O23" s="1470">
        <f>+O22</f>
        <v>214.5</v>
      </c>
      <c r="P23" s="1531"/>
      <c r="Q23" s="2933"/>
      <c r="R23" s="3280"/>
      <c r="S23" s="3108"/>
      <c r="T23" s="3278"/>
      <c r="U23" s="2933"/>
    </row>
    <row r="24" spans="1:25" s="3" customFormat="1" ht="42.75" customHeight="1" x14ac:dyDescent="0.3">
      <c r="A24" s="1765"/>
      <c r="B24" s="1783"/>
      <c r="C24" s="19"/>
      <c r="D24" s="2679" t="s">
        <v>41</v>
      </c>
      <c r="E24" s="3246" t="s">
        <v>311</v>
      </c>
      <c r="F24" s="938" t="s">
        <v>27</v>
      </c>
      <c r="G24" s="43" t="s">
        <v>28</v>
      </c>
      <c r="H24" s="1436">
        <v>566.29999999999995</v>
      </c>
      <c r="I24" s="1666">
        <v>471</v>
      </c>
      <c r="J24" s="1667">
        <f>I24-H24</f>
        <v>-95.299999999999955</v>
      </c>
      <c r="K24" s="61">
        <v>589.70000000000005</v>
      </c>
      <c r="L24" s="1475">
        <v>589.70000000000005</v>
      </c>
      <c r="M24" s="112"/>
      <c r="N24" s="61">
        <v>589.70000000000005</v>
      </c>
      <c r="O24" s="1475">
        <v>589.70000000000005</v>
      </c>
      <c r="P24" s="1528"/>
      <c r="Q24" s="2679" t="s">
        <v>42</v>
      </c>
      <c r="R24" s="1739" t="s">
        <v>358</v>
      </c>
      <c r="S24" s="524" t="s">
        <v>43</v>
      </c>
      <c r="T24" s="1740" t="s">
        <v>43</v>
      </c>
      <c r="U24" s="3275" t="s">
        <v>372</v>
      </c>
    </row>
    <row r="25" spans="1:25" s="3" customFormat="1" ht="26.25" customHeight="1" x14ac:dyDescent="0.3">
      <c r="A25" s="1780"/>
      <c r="B25" s="905"/>
      <c r="C25" s="1206"/>
      <c r="D25" s="3060"/>
      <c r="E25" s="3198"/>
      <c r="F25" s="939"/>
      <c r="G25" s="50" t="s">
        <v>36</v>
      </c>
      <c r="H25" s="51">
        <f>H24</f>
        <v>566.29999999999995</v>
      </c>
      <c r="I25" s="1470">
        <f>I24</f>
        <v>471</v>
      </c>
      <c r="J25" s="1573">
        <f>+J24</f>
        <v>-95.299999999999955</v>
      </c>
      <c r="K25" s="1526">
        <f>+K24</f>
        <v>589.70000000000005</v>
      </c>
      <c r="L25" s="1470">
        <f>+L24</f>
        <v>589.70000000000005</v>
      </c>
      <c r="M25" s="1796"/>
      <c r="N25" s="1526">
        <f>+N24</f>
        <v>589.70000000000005</v>
      </c>
      <c r="O25" s="1470">
        <f>+O24</f>
        <v>589.70000000000005</v>
      </c>
      <c r="P25" s="1797"/>
      <c r="Q25" s="3060"/>
      <c r="R25" s="1798" t="s">
        <v>368</v>
      </c>
      <c r="S25" s="53" t="s">
        <v>44</v>
      </c>
      <c r="T25" s="1799" t="s">
        <v>44</v>
      </c>
      <c r="U25" s="3276"/>
    </row>
    <row r="26" spans="1:25" s="3" customFormat="1" ht="39" customHeight="1" x14ac:dyDescent="0.3">
      <c r="A26" s="3235"/>
      <c r="B26" s="3236"/>
      <c r="C26" s="1813"/>
      <c r="D26" s="2679" t="s">
        <v>45</v>
      </c>
      <c r="E26" s="3246" t="s">
        <v>311</v>
      </c>
      <c r="F26" s="1761">
        <v>3</v>
      </c>
      <c r="G26" s="1778" t="s">
        <v>31</v>
      </c>
      <c r="H26" s="1436">
        <v>129.19999999999999</v>
      </c>
      <c r="I26" s="1475">
        <v>129.19999999999999</v>
      </c>
      <c r="J26" s="1574"/>
      <c r="K26" s="61">
        <v>129.19999999999999</v>
      </c>
      <c r="L26" s="1475">
        <v>129.19999999999999</v>
      </c>
      <c r="M26" s="1599"/>
      <c r="N26" s="61">
        <v>129.19999999999999</v>
      </c>
      <c r="O26" s="1475">
        <v>129.19999999999999</v>
      </c>
      <c r="P26" s="1415"/>
      <c r="Q26" s="1758" t="s">
        <v>271</v>
      </c>
      <c r="R26" s="30">
        <v>2100</v>
      </c>
      <c r="S26" s="1763">
        <v>2100</v>
      </c>
      <c r="T26" s="544">
        <v>2100</v>
      </c>
      <c r="U26" s="22"/>
    </row>
    <row r="27" spans="1:25" s="3" customFormat="1" ht="15" customHeight="1" x14ac:dyDescent="0.3">
      <c r="A27" s="3038"/>
      <c r="B27" s="2756"/>
      <c r="C27" s="1784"/>
      <c r="D27" s="2680"/>
      <c r="E27" s="3198"/>
      <c r="F27" s="1762"/>
      <c r="G27" s="303" t="s">
        <v>36</v>
      </c>
      <c r="H27" s="38">
        <f>H26</f>
        <v>129.19999999999999</v>
      </c>
      <c r="I27" s="1472">
        <f>I26</f>
        <v>129.19999999999999</v>
      </c>
      <c r="J27" s="134">
        <f t="shared" ref="J27" si="3">+J26</f>
        <v>0</v>
      </c>
      <c r="K27" s="1526">
        <f>+K26</f>
        <v>129.19999999999999</v>
      </c>
      <c r="L27" s="1470">
        <f>+L26</f>
        <v>129.19999999999999</v>
      </c>
      <c r="M27" s="1743"/>
      <c r="N27" s="1526">
        <f>+N26</f>
        <v>129.19999999999999</v>
      </c>
      <c r="O27" s="1470">
        <f>+O26</f>
        <v>129.19999999999999</v>
      </c>
      <c r="P27" s="1531"/>
      <c r="Q27" s="128"/>
      <c r="R27" s="39"/>
      <c r="S27" s="67"/>
      <c r="T27" s="540"/>
      <c r="U27" s="28"/>
    </row>
    <row r="28" spans="1:25" s="2" customFormat="1" ht="32.25" customHeight="1" x14ac:dyDescent="0.3">
      <c r="A28" s="3038"/>
      <c r="B28" s="2756"/>
      <c r="C28" s="1784"/>
      <c r="D28" s="2679" t="s">
        <v>352</v>
      </c>
      <c r="E28" s="3121" t="s">
        <v>323</v>
      </c>
      <c r="F28" s="3232" t="s">
        <v>27</v>
      </c>
      <c r="G28" s="22" t="s">
        <v>31</v>
      </c>
      <c r="H28" s="1437">
        <v>31.6</v>
      </c>
      <c r="I28" s="1476">
        <v>31.6</v>
      </c>
      <c r="J28" s="1207"/>
      <c r="K28" s="70"/>
      <c r="L28" s="1503"/>
      <c r="M28" s="1600"/>
      <c r="N28" s="70"/>
      <c r="O28" s="1503"/>
      <c r="P28" s="161"/>
      <c r="Q28" s="2789" t="s">
        <v>47</v>
      </c>
      <c r="R28" s="30"/>
      <c r="S28" s="1763"/>
      <c r="T28" s="1304"/>
      <c r="U28" s="2789" t="s">
        <v>375</v>
      </c>
    </row>
    <row r="29" spans="1:25" s="2" customFormat="1" ht="32.25" customHeight="1" x14ac:dyDescent="0.3">
      <c r="A29" s="3038"/>
      <c r="B29" s="2756"/>
      <c r="C29" s="1784"/>
      <c r="D29" s="2680"/>
      <c r="E29" s="3223"/>
      <c r="F29" s="2749"/>
      <c r="G29" s="22" t="s">
        <v>28</v>
      </c>
      <c r="H29" s="1438">
        <v>216.5</v>
      </c>
      <c r="I29" s="1554">
        <f>216.5+34.7</f>
        <v>251.2</v>
      </c>
      <c r="J29" s="1409">
        <f>I29-H29</f>
        <v>34.699999999999989</v>
      </c>
      <c r="K29" s="71">
        <v>102.2</v>
      </c>
      <c r="L29" s="1554">
        <v>251.2</v>
      </c>
      <c r="M29" s="1744">
        <f>L29-K29</f>
        <v>149</v>
      </c>
      <c r="N29" s="71">
        <v>102.2</v>
      </c>
      <c r="O29" s="1554">
        <v>251.2</v>
      </c>
      <c r="P29" s="1709">
        <f>O29-N29</f>
        <v>149</v>
      </c>
      <c r="Q29" s="2665"/>
      <c r="R29" s="1671" t="s">
        <v>359</v>
      </c>
      <c r="S29" s="1672" t="s">
        <v>360</v>
      </c>
      <c r="T29" s="1749" t="s">
        <v>360</v>
      </c>
      <c r="U29" s="2665"/>
      <c r="V29" s="3"/>
      <c r="X29" s="3"/>
    </row>
    <row r="30" spans="1:25" s="2" customFormat="1" ht="32.25" customHeight="1" x14ac:dyDescent="0.3">
      <c r="A30" s="1765"/>
      <c r="B30" s="1766"/>
      <c r="C30" s="1784"/>
      <c r="D30" s="2680"/>
      <c r="E30" s="3223"/>
      <c r="F30" s="2749"/>
      <c r="G30" s="1235" t="s">
        <v>334</v>
      </c>
      <c r="H30" s="1436">
        <v>97.8</v>
      </c>
      <c r="I30" s="1666">
        <v>98.7</v>
      </c>
      <c r="J30" s="1667">
        <f>I30-H30</f>
        <v>0.90000000000000568</v>
      </c>
      <c r="K30" s="61"/>
      <c r="L30" s="1475"/>
      <c r="M30" s="1745"/>
      <c r="N30" s="338"/>
      <c r="O30" s="1476"/>
      <c r="P30" s="168"/>
      <c r="Q30" s="1759" t="s">
        <v>48</v>
      </c>
      <c r="R30" s="1668" t="s">
        <v>361</v>
      </c>
      <c r="S30" s="1669" t="s">
        <v>361</v>
      </c>
      <c r="T30" s="1670" t="s">
        <v>361</v>
      </c>
      <c r="U30" s="2665"/>
      <c r="W30" s="3"/>
      <c r="X30" s="3"/>
      <c r="Y30" s="3"/>
    </row>
    <row r="31" spans="1:25" s="2" customFormat="1" ht="32.25" customHeight="1" x14ac:dyDescent="0.3">
      <c r="A31" s="1765"/>
      <c r="B31" s="1766"/>
      <c r="C31" s="1784"/>
      <c r="D31" s="2680"/>
      <c r="E31" s="3223"/>
      <c r="F31" s="2749"/>
      <c r="G31" s="1673"/>
      <c r="H31" s="1437"/>
      <c r="I31" s="1674"/>
      <c r="J31" s="1675"/>
      <c r="K31" s="338"/>
      <c r="L31" s="1476"/>
      <c r="M31" s="1599"/>
      <c r="N31" s="61"/>
      <c r="O31" s="1475"/>
      <c r="P31" s="1679"/>
      <c r="Q31" s="1759" t="s">
        <v>268</v>
      </c>
      <c r="R31" s="1671" t="s">
        <v>362</v>
      </c>
      <c r="S31" s="1672" t="s">
        <v>363</v>
      </c>
      <c r="T31" s="1682" t="s">
        <v>363</v>
      </c>
      <c r="U31" s="2665"/>
      <c r="W31" s="3"/>
      <c r="X31" s="3"/>
      <c r="Y31" s="3"/>
    </row>
    <row r="32" spans="1:25" s="2" customFormat="1" ht="15.75" customHeight="1" x14ac:dyDescent="0.3">
      <c r="A32" s="1765"/>
      <c r="B32" s="1766"/>
      <c r="C32" s="1784"/>
      <c r="D32" s="2680"/>
      <c r="E32" s="3223"/>
      <c r="F32" s="2749"/>
      <c r="G32" s="36" t="s">
        <v>36</v>
      </c>
      <c r="H32" s="38">
        <f>SUM(H28:H30)</f>
        <v>345.9</v>
      </c>
      <c r="I32" s="1472">
        <f>SUM(I28:I30)</f>
        <v>381.5</v>
      </c>
      <c r="J32" s="134">
        <f t="shared" ref="J32" si="4">SUM(J28:J30)</f>
        <v>35.599999999999994</v>
      </c>
      <c r="K32" s="37">
        <f t="shared" ref="K32:P32" si="5">SUM(K28:K30)</f>
        <v>102.2</v>
      </c>
      <c r="L32" s="1472">
        <f t="shared" si="5"/>
        <v>251.2</v>
      </c>
      <c r="M32" s="1533">
        <f t="shared" si="5"/>
        <v>149</v>
      </c>
      <c r="N32" s="1676">
        <f t="shared" si="5"/>
        <v>102.2</v>
      </c>
      <c r="O32" s="1677">
        <f t="shared" si="5"/>
        <v>251.2</v>
      </c>
      <c r="P32" s="1678">
        <f t="shared" si="5"/>
        <v>149</v>
      </c>
      <c r="Q32" s="1789" t="s">
        <v>364</v>
      </c>
      <c r="R32" s="1665">
        <v>40</v>
      </c>
      <c r="S32" s="1680">
        <v>40</v>
      </c>
      <c r="T32" s="1681">
        <v>40</v>
      </c>
      <c r="U32" s="2665"/>
    </row>
    <row r="33" spans="1:24" s="2" customFormat="1" ht="15.75" customHeight="1" thickBot="1" x14ac:dyDescent="0.35">
      <c r="A33" s="1769"/>
      <c r="B33" s="1770"/>
      <c r="C33" s="1785"/>
      <c r="D33" s="2687" t="s">
        <v>49</v>
      </c>
      <c r="E33" s="2688"/>
      <c r="F33" s="2688"/>
      <c r="G33" s="3281"/>
      <c r="H33" s="81">
        <f t="shared" ref="H33:P33" si="6">H32+H27+H25+H23+H21+H19</f>
        <v>7808.9000000000005</v>
      </c>
      <c r="I33" s="1478">
        <f t="shared" si="6"/>
        <v>8134.9</v>
      </c>
      <c r="J33" s="327">
        <f t="shared" si="6"/>
        <v>325.99999999999943</v>
      </c>
      <c r="K33" s="75">
        <f t="shared" si="6"/>
        <v>8182.9999999999991</v>
      </c>
      <c r="L33" s="1478">
        <f t="shared" si="6"/>
        <v>8332</v>
      </c>
      <c r="M33" s="1746">
        <f t="shared" si="6"/>
        <v>149</v>
      </c>
      <c r="N33" s="1747">
        <f t="shared" si="6"/>
        <v>8183.0999999999995</v>
      </c>
      <c r="O33" s="1588">
        <f t="shared" si="6"/>
        <v>8332.0999999999985</v>
      </c>
      <c r="P33" s="1748">
        <f t="shared" si="6"/>
        <v>149</v>
      </c>
      <c r="Q33" s="1814"/>
      <c r="R33" s="1815"/>
      <c r="S33" s="1816"/>
      <c r="T33" s="1817"/>
      <c r="U33" s="2666"/>
      <c r="W33" s="3"/>
    </row>
    <row r="34" spans="1:24" s="3" customFormat="1" ht="61.5" customHeight="1" x14ac:dyDescent="0.3">
      <c r="A34" s="3068" t="s">
        <v>22</v>
      </c>
      <c r="B34" s="2755" t="s">
        <v>22</v>
      </c>
      <c r="C34" s="3093" t="s">
        <v>50</v>
      </c>
      <c r="D34" s="2757" t="s">
        <v>51</v>
      </c>
      <c r="E34" s="3094"/>
      <c r="F34" s="3209" t="s">
        <v>27</v>
      </c>
      <c r="G34" s="13" t="s">
        <v>52</v>
      </c>
      <c r="H34" s="76">
        <v>11910.9</v>
      </c>
      <c r="I34" s="1479">
        <v>11910.9</v>
      </c>
      <c r="J34" s="127"/>
      <c r="K34" s="69">
        <v>11910.9</v>
      </c>
      <c r="L34" s="1505">
        <v>11910.9</v>
      </c>
      <c r="M34" s="1532"/>
      <c r="N34" s="69">
        <v>11910.9</v>
      </c>
      <c r="O34" s="1505">
        <v>11910.9</v>
      </c>
      <c r="P34" s="168"/>
      <c r="Q34" s="77" t="s">
        <v>53</v>
      </c>
      <c r="R34" s="1248">
        <v>6460</v>
      </c>
      <c r="S34" s="1247">
        <v>6419</v>
      </c>
      <c r="T34" s="548">
        <v>6419</v>
      </c>
      <c r="U34" s="1295"/>
    </row>
    <row r="35" spans="1:24" s="3" customFormat="1" ht="16.5" customHeight="1" thickBot="1" x14ac:dyDescent="0.35">
      <c r="A35" s="3069"/>
      <c r="B35" s="2820"/>
      <c r="C35" s="2833"/>
      <c r="D35" s="2758"/>
      <c r="E35" s="3095"/>
      <c r="F35" s="2837"/>
      <c r="G35" s="80" t="s">
        <v>36</v>
      </c>
      <c r="H35" s="81">
        <f>H34</f>
        <v>11910.9</v>
      </c>
      <c r="I35" s="1478">
        <f>I34</f>
        <v>11910.9</v>
      </c>
      <c r="J35" s="327">
        <f>+J34</f>
        <v>0</v>
      </c>
      <c r="K35" s="75">
        <f>+K34</f>
        <v>11910.9</v>
      </c>
      <c r="L35" s="1478">
        <f>+L34</f>
        <v>11910.9</v>
      </c>
      <c r="M35" s="1416"/>
      <c r="N35" s="75">
        <f>+N34</f>
        <v>11910.9</v>
      </c>
      <c r="O35" s="1478">
        <f>+O34</f>
        <v>11910.9</v>
      </c>
      <c r="P35" s="1534"/>
      <c r="Q35" s="82"/>
      <c r="R35" s="443"/>
      <c r="S35" s="40"/>
      <c r="T35" s="542"/>
      <c r="U35" s="28"/>
    </row>
    <row r="36" spans="1:24" s="3" customFormat="1" ht="18.75" customHeight="1" x14ac:dyDescent="0.3">
      <c r="A36" s="1146" t="s">
        <v>22</v>
      </c>
      <c r="B36" s="9" t="s">
        <v>22</v>
      </c>
      <c r="C36" s="1154" t="s">
        <v>54</v>
      </c>
      <c r="D36" s="2757" t="s">
        <v>55</v>
      </c>
      <c r="E36" s="1208"/>
      <c r="F36" s="606" t="s">
        <v>27</v>
      </c>
      <c r="G36" s="1161" t="s">
        <v>52</v>
      </c>
      <c r="H36" s="86">
        <v>2305.5</v>
      </c>
      <c r="I36" s="1480">
        <v>2305.5</v>
      </c>
      <c r="J36" s="1575"/>
      <c r="K36" s="1527">
        <v>2305.5</v>
      </c>
      <c r="L36" s="1540">
        <v>2305.5</v>
      </c>
      <c r="M36" s="1428"/>
      <c r="N36" s="1527">
        <v>2305.5</v>
      </c>
      <c r="O36" s="1540">
        <v>2305.5</v>
      </c>
      <c r="P36" s="1536"/>
      <c r="Q36" s="2828" t="s">
        <v>53</v>
      </c>
      <c r="R36" s="3072">
        <v>5015</v>
      </c>
      <c r="S36" s="3074">
        <v>5016</v>
      </c>
      <c r="T36" s="3282">
        <v>5017</v>
      </c>
      <c r="U36" s="3233"/>
    </row>
    <row r="37" spans="1:24" s="3" customFormat="1" ht="16.5" customHeight="1" thickBot="1" x14ac:dyDescent="0.35">
      <c r="A37" s="1151"/>
      <c r="B37" s="87"/>
      <c r="C37" s="1155"/>
      <c r="D37" s="2758"/>
      <c r="E37" s="88"/>
      <c r="F37" s="1157"/>
      <c r="G37" s="80" t="s">
        <v>36</v>
      </c>
      <c r="H37" s="81">
        <f>H36</f>
        <v>2305.5</v>
      </c>
      <c r="I37" s="1478">
        <f>I36</f>
        <v>2305.5</v>
      </c>
      <c r="J37" s="327">
        <f t="shared" ref="J37" si="7">+J36</f>
        <v>0</v>
      </c>
      <c r="K37" s="75">
        <f>+K36</f>
        <v>2305.5</v>
      </c>
      <c r="L37" s="1478">
        <f>+L36</f>
        <v>2305.5</v>
      </c>
      <c r="M37" s="1534"/>
      <c r="N37" s="75">
        <f>+N36</f>
        <v>2305.5</v>
      </c>
      <c r="O37" s="1478">
        <f>+O36</f>
        <v>2305.5</v>
      </c>
      <c r="P37" s="1418"/>
      <c r="Q37" s="2829"/>
      <c r="R37" s="3073"/>
      <c r="S37" s="3075"/>
      <c r="T37" s="3283"/>
      <c r="U37" s="3234"/>
    </row>
    <row r="38" spans="1:24" s="2" customFormat="1" ht="25.5" customHeight="1" x14ac:dyDescent="0.3">
      <c r="A38" s="3068" t="s">
        <v>22</v>
      </c>
      <c r="B38" s="2755" t="s">
        <v>22</v>
      </c>
      <c r="C38" s="2821" t="s">
        <v>56</v>
      </c>
      <c r="D38" s="2757" t="s">
        <v>57</v>
      </c>
      <c r="E38" s="1208"/>
      <c r="F38" s="1150" t="s">
        <v>27</v>
      </c>
      <c r="G38" s="90" t="s">
        <v>31</v>
      </c>
      <c r="H38" s="86">
        <v>146.1</v>
      </c>
      <c r="I38" s="1480">
        <v>146.1</v>
      </c>
      <c r="J38" s="1181"/>
      <c r="K38" s="971">
        <v>146.1</v>
      </c>
      <c r="L38" s="1480">
        <v>146.1</v>
      </c>
      <c r="M38" s="1577"/>
      <c r="N38" s="971">
        <v>146.1</v>
      </c>
      <c r="O38" s="1480">
        <v>146.1</v>
      </c>
      <c r="P38" s="1577"/>
      <c r="Q38" s="3078" t="s">
        <v>58</v>
      </c>
      <c r="R38" s="3079">
        <v>154</v>
      </c>
      <c r="S38" s="3083">
        <v>155</v>
      </c>
      <c r="T38" s="3191">
        <v>156</v>
      </c>
      <c r="U38" s="3185"/>
    </row>
    <row r="39" spans="1:24" s="3" customFormat="1" ht="16.5" customHeight="1" thickBot="1" x14ac:dyDescent="0.35">
      <c r="A39" s="3069"/>
      <c r="B39" s="2820"/>
      <c r="C39" s="2823"/>
      <c r="D39" s="2758"/>
      <c r="E39" s="88"/>
      <c r="F39" s="1157"/>
      <c r="G39" s="80" t="s">
        <v>36</v>
      </c>
      <c r="H39" s="81">
        <f>H38</f>
        <v>146.1</v>
      </c>
      <c r="I39" s="1478">
        <f>I38</f>
        <v>146.1</v>
      </c>
      <c r="J39" s="327">
        <f t="shared" ref="J39" si="8">+J38</f>
        <v>0</v>
      </c>
      <c r="K39" s="75">
        <f>+K38</f>
        <v>146.1</v>
      </c>
      <c r="L39" s="1478">
        <f>+L38</f>
        <v>146.1</v>
      </c>
      <c r="M39" s="1416"/>
      <c r="N39" s="75">
        <f>+N38</f>
        <v>146.1</v>
      </c>
      <c r="O39" s="1478">
        <f>+O38</f>
        <v>146.1</v>
      </c>
      <c r="P39" s="1418"/>
      <c r="Q39" s="2666"/>
      <c r="R39" s="3080"/>
      <c r="S39" s="3084"/>
      <c r="T39" s="3192"/>
      <c r="U39" s="3186"/>
    </row>
    <row r="40" spans="1:24" s="2" customFormat="1" ht="16.5" customHeight="1" thickBot="1" x14ac:dyDescent="0.35">
      <c r="A40" s="7" t="s">
        <v>22</v>
      </c>
      <c r="B40" s="8" t="s">
        <v>22</v>
      </c>
      <c r="C40" s="2825" t="s">
        <v>62</v>
      </c>
      <c r="D40" s="2826"/>
      <c r="E40" s="2826"/>
      <c r="F40" s="2826"/>
      <c r="G40" s="2827"/>
      <c r="H40" s="98">
        <f>H39+H37+H35+H33</f>
        <v>22171.4</v>
      </c>
      <c r="I40" s="1481">
        <f>I39+I37+I35+I33</f>
        <v>22497.4</v>
      </c>
      <c r="J40" s="1443">
        <f>J39+J37+J35+J33</f>
        <v>325.99999999999943</v>
      </c>
      <c r="K40" s="212">
        <f>K39+K37+K35+K33</f>
        <v>22545.5</v>
      </c>
      <c r="L40" s="1481">
        <f>L39+L37+L35+L33</f>
        <v>22694.5</v>
      </c>
      <c r="M40" s="1429"/>
      <c r="N40" s="1443">
        <f>N39+N37+N33+N35</f>
        <v>22545.599999999999</v>
      </c>
      <c r="O40" s="1481">
        <f>O39+O37+O33+O35</f>
        <v>22694.6</v>
      </c>
      <c r="P40" s="1481">
        <f>P39+P37+P33+P35</f>
        <v>149</v>
      </c>
      <c r="Q40" s="2672"/>
      <c r="R40" s="2673"/>
      <c r="S40" s="2673"/>
      <c r="T40" s="2673"/>
      <c r="U40" s="2674"/>
      <c r="X40" s="3"/>
    </row>
    <row r="41" spans="1:24" s="2" customFormat="1" ht="16.5" customHeight="1" thickBot="1" x14ac:dyDescent="0.35">
      <c r="A41" s="99" t="s">
        <v>22</v>
      </c>
      <c r="B41" s="8" t="s">
        <v>50</v>
      </c>
      <c r="C41" s="2707" t="s">
        <v>63</v>
      </c>
      <c r="D41" s="2707"/>
      <c r="E41" s="2707"/>
      <c r="F41" s="2707"/>
      <c r="G41" s="2707"/>
      <c r="H41" s="2707"/>
      <c r="I41" s="2707"/>
      <c r="J41" s="2707"/>
      <c r="K41" s="2707"/>
      <c r="L41" s="2707"/>
      <c r="M41" s="2707"/>
      <c r="N41" s="2707"/>
      <c r="O41" s="2707"/>
      <c r="P41" s="2707"/>
      <c r="Q41" s="2707"/>
      <c r="R41" s="2707"/>
      <c r="S41" s="2707"/>
      <c r="T41" s="2707"/>
      <c r="U41" s="2708"/>
    </row>
    <row r="42" spans="1:24" s="3" customFormat="1" ht="29.25" customHeight="1" x14ac:dyDescent="0.3">
      <c r="A42" s="1767" t="s">
        <v>22</v>
      </c>
      <c r="B42" s="1768" t="s">
        <v>50</v>
      </c>
      <c r="C42" s="100" t="s">
        <v>22</v>
      </c>
      <c r="D42" s="101" t="s">
        <v>64</v>
      </c>
      <c r="E42" s="3197" t="s">
        <v>320</v>
      </c>
      <c r="F42" s="1690">
        <v>3</v>
      </c>
      <c r="G42" s="104" t="s">
        <v>31</v>
      </c>
      <c r="H42" s="1691">
        <v>3178.5</v>
      </c>
      <c r="I42" s="1465">
        <v>3178.5</v>
      </c>
      <c r="J42" s="105">
        <f>I42-H42</f>
        <v>0</v>
      </c>
      <c r="K42" s="137">
        <v>3038.1</v>
      </c>
      <c r="L42" s="1465">
        <v>3038.1</v>
      </c>
      <c r="M42" s="1423"/>
      <c r="N42" s="137">
        <v>3051.1</v>
      </c>
      <c r="O42" s="1465">
        <v>3051.1</v>
      </c>
      <c r="P42" s="1423"/>
      <c r="Q42" s="1565" t="s">
        <v>65</v>
      </c>
      <c r="R42" s="107">
        <f>R43+R44</f>
        <v>1338</v>
      </c>
      <c r="S42" s="108">
        <f t="shared" ref="S42:T42" si="9">S43+S44</f>
        <v>1338</v>
      </c>
      <c r="T42" s="109">
        <f t="shared" si="9"/>
        <v>1338</v>
      </c>
      <c r="U42" s="2757" t="s">
        <v>373</v>
      </c>
    </row>
    <row r="43" spans="1:24" s="3" customFormat="1" ht="28.5" customHeight="1" x14ac:dyDescent="0.3">
      <c r="A43" s="1765"/>
      <c r="B43" s="1766"/>
      <c r="C43" s="1764"/>
      <c r="D43" s="169" t="s">
        <v>66</v>
      </c>
      <c r="E43" s="3193"/>
      <c r="F43" s="111"/>
      <c r="G43" s="22" t="s">
        <v>28</v>
      </c>
      <c r="H43" s="1692">
        <v>372.1</v>
      </c>
      <c r="I43" s="1483">
        <v>372.1</v>
      </c>
      <c r="J43" s="1541"/>
      <c r="K43" s="338">
        <v>365.4</v>
      </c>
      <c r="L43" s="1476">
        <v>365.4</v>
      </c>
      <c r="M43" s="1415"/>
      <c r="N43" s="338">
        <v>365.4</v>
      </c>
      <c r="O43" s="1476">
        <v>365.4</v>
      </c>
      <c r="P43" s="1415"/>
      <c r="Q43" s="1566" t="s">
        <v>272</v>
      </c>
      <c r="R43" s="114">
        <v>707</v>
      </c>
      <c r="S43" s="115">
        <v>707</v>
      </c>
      <c r="T43" s="116">
        <v>707</v>
      </c>
      <c r="U43" s="2680"/>
    </row>
    <row r="44" spans="1:24" s="3" customFormat="1" ht="16.5" customHeight="1" x14ac:dyDescent="0.3">
      <c r="A44" s="1765"/>
      <c r="B44" s="1766"/>
      <c r="C44" s="1784"/>
      <c r="D44" s="2680" t="s">
        <v>67</v>
      </c>
      <c r="E44" s="3193"/>
      <c r="F44" s="111"/>
      <c r="G44" s="1702" t="s">
        <v>28</v>
      </c>
      <c r="H44" s="1693">
        <v>0</v>
      </c>
      <c r="I44" s="1686">
        <v>16.899999999999999</v>
      </c>
      <c r="J44" s="1703">
        <f>I44-H44</f>
        <v>16.899999999999999</v>
      </c>
      <c r="K44" s="1707"/>
      <c r="L44" s="1687"/>
      <c r="M44" s="1708"/>
      <c r="N44" s="1707"/>
      <c r="O44" s="1687"/>
      <c r="P44" s="1578"/>
      <c r="Q44" s="3187" t="s">
        <v>273</v>
      </c>
      <c r="R44" s="3199" t="s">
        <v>69</v>
      </c>
      <c r="S44" s="3201" t="s">
        <v>69</v>
      </c>
      <c r="T44" s="3203" t="s">
        <v>69</v>
      </c>
      <c r="U44" s="2680"/>
    </row>
    <row r="45" spans="1:24" s="3" customFormat="1" ht="16.5" customHeight="1" x14ac:dyDescent="0.3">
      <c r="A45" s="1765"/>
      <c r="B45" s="1766"/>
      <c r="C45" s="1784"/>
      <c r="D45" s="2680"/>
      <c r="E45" s="3193"/>
      <c r="F45" s="111"/>
      <c r="G45" s="43" t="s">
        <v>68</v>
      </c>
      <c r="H45" s="1694">
        <v>580.70000000000005</v>
      </c>
      <c r="I45" s="1688">
        <v>620</v>
      </c>
      <c r="J45" s="1704">
        <f>I45-H45</f>
        <v>39.299999999999955</v>
      </c>
      <c r="K45" s="1435">
        <v>574.70000000000005</v>
      </c>
      <c r="L45" s="1473">
        <v>574.70000000000005</v>
      </c>
      <c r="M45" s="1578"/>
      <c r="N45" s="1435">
        <v>574.4</v>
      </c>
      <c r="O45" s="1473">
        <v>574.4</v>
      </c>
      <c r="P45" s="1708"/>
      <c r="Q45" s="3188"/>
      <c r="R45" s="3200"/>
      <c r="S45" s="3202"/>
      <c r="T45" s="3204"/>
      <c r="U45" s="2680"/>
    </row>
    <row r="46" spans="1:24" s="1413" customFormat="1" ht="42.75" customHeight="1" x14ac:dyDescent="0.3">
      <c r="A46" s="1406"/>
      <c r="B46" s="1407"/>
      <c r="C46" s="1408"/>
      <c r="D46" s="1789" t="s">
        <v>377</v>
      </c>
      <c r="E46" s="3193"/>
      <c r="F46" s="1685"/>
      <c r="G46" s="43" t="s">
        <v>52</v>
      </c>
      <c r="H46" s="1695">
        <v>198.1</v>
      </c>
      <c r="I46" s="1689">
        <f>198.1+12</f>
        <v>210.1</v>
      </c>
      <c r="J46" s="1705">
        <f>I46-H46</f>
        <v>12</v>
      </c>
      <c r="K46" s="296">
        <f>198.1</f>
        <v>198.1</v>
      </c>
      <c r="L46" s="1655">
        <f>198.1+36</f>
        <v>234.1</v>
      </c>
      <c r="M46" s="1709">
        <f>L46-K46</f>
        <v>36</v>
      </c>
      <c r="N46" s="296">
        <f>187.6</f>
        <v>187.6</v>
      </c>
      <c r="O46" s="1510">
        <f>187.6+35</f>
        <v>222.6</v>
      </c>
      <c r="P46" s="1709">
        <f>O46-N46</f>
        <v>35</v>
      </c>
      <c r="Q46" s="1567" t="s">
        <v>342</v>
      </c>
      <c r="R46" s="1410" t="s">
        <v>26</v>
      </c>
      <c r="S46" s="1411" t="s">
        <v>234</v>
      </c>
      <c r="T46" s="1412" t="s">
        <v>234</v>
      </c>
      <c r="U46" s="2680"/>
    </row>
    <row r="47" spans="1:24" s="3" customFormat="1" ht="16.5" customHeight="1" x14ac:dyDescent="0.3">
      <c r="A47" s="1765"/>
      <c r="B47" s="1766"/>
      <c r="C47" s="1784"/>
      <c r="D47" s="2679" t="s">
        <v>70</v>
      </c>
      <c r="E47" s="3193"/>
      <c r="F47" s="111"/>
      <c r="G47" s="43" t="s">
        <v>71</v>
      </c>
      <c r="H47" s="1696">
        <v>1.5</v>
      </c>
      <c r="I47" s="1482">
        <v>1.5</v>
      </c>
      <c r="J47" s="1706"/>
      <c r="K47" s="1436">
        <v>1.6</v>
      </c>
      <c r="L47" s="1475">
        <v>1.6</v>
      </c>
      <c r="M47" s="1528"/>
      <c r="N47" s="1436">
        <v>1.6</v>
      </c>
      <c r="O47" s="1475">
        <v>1.6</v>
      </c>
      <c r="P47" s="1528"/>
      <c r="Q47" s="3205" t="s">
        <v>72</v>
      </c>
      <c r="R47" s="3254" t="s">
        <v>336</v>
      </c>
      <c r="S47" s="3107" t="s">
        <v>73</v>
      </c>
      <c r="T47" s="3230" t="s">
        <v>73</v>
      </c>
      <c r="U47" s="2680"/>
    </row>
    <row r="48" spans="1:24" s="3" customFormat="1" ht="16.5" customHeight="1" x14ac:dyDescent="0.3">
      <c r="A48" s="1765"/>
      <c r="B48" s="1766"/>
      <c r="C48" s="1784"/>
      <c r="D48" s="3060"/>
      <c r="E48" s="3193"/>
      <c r="F48" s="111"/>
      <c r="G48" s="1194" t="s">
        <v>178</v>
      </c>
      <c r="H48" s="1697">
        <v>65.900000000000006</v>
      </c>
      <c r="I48" s="1484">
        <v>65.900000000000006</v>
      </c>
      <c r="J48" s="1344"/>
      <c r="K48" s="1683"/>
      <c r="L48" s="1484"/>
      <c r="M48" s="1684"/>
      <c r="N48" s="1683"/>
      <c r="O48" s="1484"/>
      <c r="P48" s="1684"/>
      <c r="Q48" s="3206"/>
      <c r="R48" s="3255"/>
      <c r="S48" s="3108"/>
      <c r="T48" s="3231"/>
      <c r="U48" s="2680"/>
    </row>
    <row r="49" spans="1:29" s="3" customFormat="1" ht="16.5" customHeight="1" x14ac:dyDescent="0.3">
      <c r="A49" s="1765"/>
      <c r="B49" s="1766"/>
      <c r="C49" s="1784"/>
      <c r="D49" s="2679" t="s">
        <v>74</v>
      </c>
      <c r="E49" s="3193"/>
      <c r="F49" s="111"/>
      <c r="G49" s="1711"/>
      <c r="H49" s="1712"/>
      <c r="I49" s="1713"/>
      <c r="J49" s="1714"/>
      <c r="K49" s="1571"/>
      <c r="L49" s="1513"/>
      <c r="M49" s="1350"/>
      <c r="N49" s="1571"/>
      <c r="O49" s="1513"/>
      <c r="P49" s="1350"/>
      <c r="Q49" s="3207" t="s">
        <v>280</v>
      </c>
      <c r="R49" s="1776">
        <v>450</v>
      </c>
      <c r="S49" s="118" t="s">
        <v>75</v>
      </c>
      <c r="T49" s="119" t="s">
        <v>75</v>
      </c>
      <c r="U49" s="2680"/>
    </row>
    <row r="50" spans="1:29" s="3" customFormat="1" ht="25.5" customHeight="1" x14ac:dyDescent="0.3">
      <c r="A50" s="1765"/>
      <c r="B50" s="1766"/>
      <c r="C50" s="1764"/>
      <c r="D50" s="3060"/>
      <c r="E50" s="3193"/>
      <c r="F50" s="111"/>
      <c r="G50" s="28"/>
      <c r="H50" s="1698"/>
      <c r="I50" s="1486"/>
      <c r="J50" s="319"/>
      <c r="K50" s="1571"/>
      <c r="L50" s="1513"/>
      <c r="M50" s="1350"/>
      <c r="N50" s="1571"/>
      <c r="O50" s="1513"/>
      <c r="P50" s="1350"/>
      <c r="Q50" s="3208"/>
      <c r="R50" s="416"/>
      <c r="S50" s="67"/>
      <c r="T50" s="491"/>
      <c r="U50" s="2680"/>
    </row>
    <row r="51" spans="1:29" s="3" customFormat="1" ht="53.25" customHeight="1" x14ac:dyDescent="0.3">
      <c r="A51" s="1780"/>
      <c r="B51" s="1781"/>
      <c r="C51" s="1009"/>
      <c r="D51" s="169" t="s">
        <v>76</v>
      </c>
      <c r="E51" s="3198"/>
      <c r="F51" s="1733"/>
      <c r="G51" s="1779"/>
      <c r="H51" s="1801"/>
      <c r="I51" s="1802"/>
      <c r="J51" s="1734"/>
      <c r="K51" s="1735"/>
      <c r="L51" s="1736"/>
      <c r="M51" s="1737"/>
      <c r="N51" s="1735"/>
      <c r="O51" s="1736"/>
      <c r="P51" s="1737"/>
      <c r="Q51" s="1732" t="s">
        <v>281</v>
      </c>
      <c r="R51" s="416">
        <v>3</v>
      </c>
      <c r="S51" s="67">
        <v>4</v>
      </c>
      <c r="T51" s="491">
        <v>4</v>
      </c>
      <c r="U51" s="169"/>
    </row>
    <row r="52" spans="1:29" s="3" customFormat="1" ht="13.5" customHeight="1" x14ac:dyDescent="0.3">
      <c r="A52" s="1224"/>
      <c r="B52" s="1225"/>
      <c r="C52" s="58"/>
      <c r="D52" s="2680" t="s">
        <v>77</v>
      </c>
      <c r="E52" s="1731"/>
      <c r="F52" s="111"/>
      <c r="G52" s="1658"/>
      <c r="H52" s="1698"/>
      <c r="I52" s="1486"/>
      <c r="J52" s="319"/>
      <c r="K52" s="1571"/>
      <c r="L52" s="1513"/>
      <c r="M52" s="1350"/>
      <c r="N52" s="1571"/>
      <c r="O52" s="1513"/>
      <c r="P52" s="1350"/>
      <c r="Q52" s="2581" t="s">
        <v>274</v>
      </c>
      <c r="R52" s="1800" t="s">
        <v>365</v>
      </c>
      <c r="S52" s="123"/>
      <c r="T52" s="72"/>
      <c r="U52" s="2665"/>
    </row>
    <row r="53" spans="1:29" s="3" customFormat="1" ht="16.5" customHeight="1" x14ac:dyDescent="0.3">
      <c r="A53" s="1224"/>
      <c r="B53" s="1225"/>
      <c r="C53" s="58"/>
      <c r="D53" s="3060"/>
      <c r="E53" s="1731"/>
      <c r="F53" s="111"/>
      <c r="G53" s="125"/>
      <c r="H53" s="1699"/>
      <c r="I53" s="1487"/>
      <c r="J53" s="1345"/>
      <c r="K53" s="1572"/>
      <c r="L53" s="1487"/>
      <c r="M53" s="1439"/>
      <c r="N53" s="1572"/>
      <c r="O53" s="1487"/>
      <c r="P53" s="1439"/>
      <c r="Q53" s="2581"/>
      <c r="R53" s="39"/>
      <c r="S53" s="123"/>
      <c r="T53" s="72"/>
      <c r="U53" s="2665"/>
    </row>
    <row r="54" spans="1:29" s="3" customFormat="1" ht="27" customHeight="1" x14ac:dyDescent="0.3">
      <c r="A54" s="1224"/>
      <c r="B54" s="1225"/>
      <c r="C54" s="58"/>
      <c r="D54" s="1397" t="s">
        <v>78</v>
      </c>
      <c r="E54" s="1731"/>
      <c r="F54" s="111"/>
      <c r="G54" s="28"/>
      <c r="H54" s="1700"/>
      <c r="I54" s="1488"/>
      <c r="J54" s="316"/>
      <c r="K54" s="188"/>
      <c r="L54" s="1488"/>
      <c r="M54" s="189"/>
      <c r="N54" s="188"/>
      <c r="O54" s="1488"/>
      <c r="P54" s="189"/>
      <c r="Q54" s="2581"/>
      <c r="R54" s="39"/>
      <c r="S54" s="40"/>
      <c r="T54" s="41"/>
      <c r="U54" s="2665"/>
    </row>
    <row r="55" spans="1:29" s="3" customFormat="1" ht="27.75" customHeight="1" x14ac:dyDescent="0.3">
      <c r="A55" s="1224"/>
      <c r="B55" s="1225"/>
      <c r="C55" s="58"/>
      <c r="D55" s="1236" t="s">
        <v>79</v>
      </c>
      <c r="E55" s="1209"/>
      <c r="F55" s="111"/>
      <c r="G55" s="28"/>
      <c r="H55" s="1701"/>
      <c r="I55" s="1485"/>
      <c r="J55" s="1346"/>
      <c r="K55" s="1570"/>
      <c r="L55" s="1485"/>
      <c r="M55" s="1421"/>
      <c r="N55" s="1570"/>
      <c r="O55" s="1485"/>
      <c r="P55" s="1421"/>
      <c r="Q55" s="1561"/>
      <c r="R55" s="39"/>
      <c r="S55" s="40"/>
      <c r="T55" s="41"/>
      <c r="U55" s="2665"/>
    </row>
    <row r="56" spans="1:29" s="131" customFormat="1" ht="16.5" customHeight="1" x14ac:dyDescent="0.3">
      <c r="A56" s="1224"/>
      <c r="B56" s="1225"/>
      <c r="C56" s="129"/>
      <c r="D56" s="2679" t="s">
        <v>80</v>
      </c>
      <c r="E56" s="1209"/>
      <c r="F56" s="111"/>
      <c r="G56" s="28"/>
      <c r="H56" s="1700"/>
      <c r="I56" s="1488"/>
      <c r="J56" s="1347"/>
      <c r="K56" s="1660"/>
      <c r="L56" s="1659"/>
      <c r="M56" s="1579"/>
      <c r="N56" s="1660"/>
      <c r="O56" s="1659"/>
      <c r="P56" s="1579"/>
      <c r="Q56" s="1561"/>
      <c r="R56" s="39"/>
      <c r="S56" s="40"/>
      <c r="T56" s="41"/>
      <c r="U56" s="2665"/>
    </row>
    <row r="57" spans="1:29" s="131" customFormat="1" ht="16.5" customHeight="1" thickBot="1" x14ac:dyDescent="0.35">
      <c r="A57" s="324"/>
      <c r="B57" s="1229"/>
      <c r="C57" s="1238"/>
      <c r="D57" s="2758"/>
      <c r="E57" s="1239"/>
      <c r="F57" s="1227"/>
      <c r="G57" s="80" t="s">
        <v>36</v>
      </c>
      <c r="H57" s="1446">
        <f t="shared" ref="H57:P57" si="10">SUM(H42:H56)</f>
        <v>4396.8</v>
      </c>
      <c r="I57" s="1489">
        <f t="shared" si="10"/>
        <v>4465</v>
      </c>
      <c r="J57" s="1441">
        <f t="shared" si="10"/>
        <v>68.19999999999996</v>
      </c>
      <c r="K57" s="1523">
        <f t="shared" si="10"/>
        <v>4177.9000000000005</v>
      </c>
      <c r="L57" s="1543">
        <f t="shared" si="10"/>
        <v>4213.9000000000005</v>
      </c>
      <c r="M57" s="1710">
        <f t="shared" si="10"/>
        <v>36</v>
      </c>
      <c r="N57" s="1523">
        <f t="shared" si="10"/>
        <v>4180.1000000000004</v>
      </c>
      <c r="O57" s="1543">
        <f t="shared" si="10"/>
        <v>4215.1000000000004</v>
      </c>
      <c r="P57" s="1422">
        <f t="shared" si="10"/>
        <v>35</v>
      </c>
      <c r="Q57" s="1273"/>
      <c r="R57" s="136"/>
      <c r="S57" s="1250"/>
      <c r="T57" s="1251"/>
      <c r="U57" s="2666"/>
    </row>
    <row r="58" spans="1:29" s="141" customFormat="1" ht="51.75" customHeight="1" x14ac:dyDescent="0.3">
      <c r="A58" s="3041" t="s">
        <v>22</v>
      </c>
      <c r="B58" s="2779" t="s">
        <v>50</v>
      </c>
      <c r="C58" s="3043" t="s">
        <v>50</v>
      </c>
      <c r="D58" s="2763" t="s">
        <v>81</v>
      </c>
      <c r="E58" s="3210"/>
      <c r="F58" s="2786" t="s">
        <v>27</v>
      </c>
      <c r="G58" s="1160" t="s">
        <v>31</v>
      </c>
      <c r="H58" s="1430">
        <f>315.9-50</f>
        <v>265.89999999999998</v>
      </c>
      <c r="I58" s="1465">
        <f>315.9-50</f>
        <v>265.89999999999998</v>
      </c>
      <c r="J58" s="1419">
        <f>I58-H58</f>
        <v>0</v>
      </c>
      <c r="K58" s="1302">
        <v>315.89999999999998</v>
      </c>
      <c r="L58" s="1494">
        <v>315.89999999999998</v>
      </c>
      <c r="M58" s="1419"/>
      <c r="N58" s="1302">
        <v>315.89999999999998</v>
      </c>
      <c r="O58" s="1494">
        <v>315.89999999999998</v>
      </c>
      <c r="P58" s="1348"/>
      <c r="Q58" s="2587" t="s">
        <v>275</v>
      </c>
      <c r="R58" s="1354">
        <v>65</v>
      </c>
      <c r="S58" s="139">
        <v>80</v>
      </c>
      <c r="T58" s="140">
        <v>80</v>
      </c>
      <c r="U58" s="3228"/>
    </row>
    <row r="59" spans="1:29" s="147" customFormat="1" ht="15" customHeight="1" thickBot="1" x14ac:dyDescent="0.35">
      <c r="A59" s="3042"/>
      <c r="B59" s="2780"/>
      <c r="C59" s="3044"/>
      <c r="D59" s="2783"/>
      <c r="E59" s="3122"/>
      <c r="F59" s="2787"/>
      <c r="G59" s="142" t="s">
        <v>36</v>
      </c>
      <c r="H59" s="1446">
        <f>H58</f>
        <v>265.89999999999998</v>
      </c>
      <c r="I59" s="1489">
        <f>I58</f>
        <v>265.89999999999998</v>
      </c>
      <c r="J59" s="1441">
        <f>SUM(J58)</f>
        <v>0</v>
      </c>
      <c r="K59" s="143">
        <f>SUM(K58)</f>
        <v>315.89999999999998</v>
      </c>
      <c r="L59" s="1489">
        <f>SUM(L58)</f>
        <v>315.89999999999998</v>
      </c>
      <c r="M59" s="1591"/>
      <c r="N59" s="143">
        <f>SUM(N58)</f>
        <v>315.89999999999998</v>
      </c>
      <c r="O59" s="1489">
        <f>SUM(O58)</f>
        <v>315.89999999999998</v>
      </c>
      <c r="P59" s="1583"/>
      <c r="Q59" s="2589"/>
      <c r="R59" s="144"/>
      <c r="S59" s="145"/>
      <c r="T59" s="146"/>
      <c r="U59" s="3229"/>
    </row>
    <row r="60" spans="1:29" s="2" customFormat="1" ht="42" customHeight="1" x14ac:dyDescent="0.3">
      <c r="A60" s="148" t="s">
        <v>22</v>
      </c>
      <c r="B60" s="149" t="s">
        <v>50</v>
      </c>
      <c r="C60" s="1231" t="s">
        <v>54</v>
      </c>
      <c r="D60" s="2601" t="s">
        <v>82</v>
      </c>
      <c r="E60" s="1210"/>
      <c r="F60" s="606" t="s">
        <v>27</v>
      </c>
      <c r="G60" s="1233" t="s">
        <v>31</v>
      </c>
      <c r="H60" s="1447">
        <f>377.4+5</f>
        <v>382.4</v>
      </c>
      <c r="I60" s="1727">
        <f>377.4+5-0.1</f>
        <v>382.29999999999995</v>
      </c>
      <c r="J60" s="1728">
        <f>I60-H60</f>
        <v>-0.10000000000002274</v>
      </c>
      <c r="K60" s="151">
        <v>382.4</v>
      </c>
      <c r="L60" s="1544">
        <v>382.4</v>
      </c>
      <c r="M60" s="1592"/>
      <c r="N60" s="151">
        <v>382.4</v>
      </c>
      <c r="O60" s="1544">
        <v>382.4</v>
      </c>
      <c r="P60" s="1580"/>
      <c r="Q60" s="1290" t="s">
        <v>83</v>
      </c>
      <c r="R60" s="153">
        <v>77</v>
      </c>
      <c r="S60" s="154">
        <v>77</v>
      </c>
      <c r="T60" s="155">
        <v>77</v>
      </c>
      <c r="U60" s="2757" t="s">
        <v>371</v>
      </c>
    </row>
    <row r="61" spans="1:29" s="2" customFormat="1" ht="53.25" customHeight="1" x14ac:dyDescent="0.3">
      <c r="A61" s="156"/>
      <c r="B61" s="157"/>
      <c r="C61" s="158"/>
      <c r="D61" s="2602"/>
      <c r="E61" s="1211"/>
      <c r="F61" s="187"/>
      <c r="G61" s="1232"/>
      <c r="H61" s="1362"/>
      <c r="I61" s="1490"/>
      <c r="J61" s="1347"/>
      <c r="K61" s="160"/>
      <c r="L61" s="1545"/>
      <c r="M61" s="1593"/>
      <c r="N61" s="160"/>
      <c r="O61" s="1545"/>
      <c r="P61" s="1548"/>
      <c r="Q61" s="812" t="s">
        <v>84</v>
      </c>
      <c r="R61" s="163">
        <v>208</v>
      </c>
      <c r="S61" s="164">
        <v>208</v>
      </c>
      <c r="T61" s="165">
        <v>208</v>
      </c>
      <c r="U61" s="2680"/>
    </row>
    <row r="62" spans="1:29" s="2" customFormat="1" ht="54" customHeight="1" x14ac:dyDescent="0.3">
      <c r="A62" s="156"/>
      <c r="B62" s="157"/>
      <c r="C62" s="1190"/>
      <c r="D62" s="1726" t="s">
        <v>217</v>
      </c>
      <c r="E62" s="1211"/>
      <c r="F62" s="187"/>
      <c r="G62" s="1232"/>
      <c r="H62" s="1362"/>
      <c r="I62" s="1490"/>
      <c r="J62" s="319"/>
      <c r="K62" s="1301"/>
      <c r="L62" s="1514"/>
      <c r="M62" s="1594"/>
      <c r="N62" s="1301"/>
      <c r="O62" s="1514"/>
      <c r="P62" s="1581"/>
      <c r="Q62" s="1288" t="s">
        <v>85</v>
      </c>
      <c r="R62" s="166" t="s">
        <v>86</v>
      </c>
      <c r="S62" s="118" t="s">
        <v>87</v>
      </c>
      <c r="T62" s="119" t="s">
        <v>87</v>
      </c>
      <c r="U62" s="1174"/>
      <c r="AC62" s="3"/>
    </row>
    <row r="63" spans="1:29" s="2" customFormat="1" ht="56.25" customHeight="1" x14ac:dyDescent="0.3">
      <c r="A63" s="156"/>
      <c r="B63" s="157"/>
      <c r="C63" s="158"/>
      <c r="D63" s="65" t="s">
        <v>219</v>
      </c>
      <c r="E63" s="1223" t="s">
        <v>318</v>
      </c>
      <c r="F63" s="187"/>
      <c r="G63" s="1232"/>
      <c r="H63" s="1362"/>
      <c r="I63" s="1490"/>
      <c r="J63" s="1347"/>
      <c r="K63" s="160"/>
      <c r="L63" s="1545"/>
      <c r="M63" s="1593"/>
      <c r="N63" s="160"/>
      <c r="O63" s="1545"/>
      <c r="P63" s="1548"/>
      <c r="Q63" s="3"/>
      <c r="R63" s="167"/>
      <c r="S63" s="123"/>
      <c r="T63" s="72"/>
      <c r="U63" s="117"/>
    </row>
    <row r="64" spans="1:29" s="2" customFormat="1" ht="55.5" customHeight="1" x14ac:dyDescent="0.3">
      <c r="A64" s="156"/>
      <c r="B64" s="157"/>
      <c r="C64" s="158"/>
      <c r="D64" s="65" t="s">
        <v>221</v>
      </c>
      <c r="E64" s="1211"/>
      <c r="F64" s="187"/>
      <c r="G64" s="1232"/>
      <c r="H64" s="1362"/>
      <c r="I64" s="1490"/>
      <c r="J64" s="1347"/>
      <c r="K64" s="160"/>
      <c r="L64" s="1545"/>
      <c r="M64" s="1593"/>
      <c r="N64" s="160"/>
      <c r="O64" s="1545"/>
      <c r="P64" s="1548"/>
      <c r="Q64" s="813"/>
      <c r="R64" s="20"/>
      <c r="S64" s="47"/>
      <c r="T64" s="48"/>
      <c r="U64" s="1234"/>
      <c r="Z64" s="3"/>
    </row>
    <row r="65" spans="1:30" s="2" customFormat="1" ht="56.25" customHeight="1" x14ac:dyDescent="0.3">
      <c r="A65" s="156"/>
      <c r="B65" s="157"/>
      <c r="C65" s="1190"/>
      <c r="D65" s="65" t="s">
        <v>223</v>
      </c>
      <c r="E65" s="1223" t="s">
        <v>312</v>
      </c>
      <c r="F65" s="187"/>
      <c r="G65" s="1402"/>
      <c r="H65" s="1445"/>
      <c r="I65" s="1488"/>
      <c r="J65" s="189"/>
      <c r="K65" s="69"/>
      <c r="L65" s="1505"/>
      <c r="M65" s="1595"/>
      <c r="N65" s="69"/>
      <c r="O65" s="1505"/>
      <c r="P65" s="1535"/>
      <c r="Q65" s="3"/>
      <c r="R65" s="167"/>
      <c r="S65" s="123"/>
      <c r="T65" s="72"/>
      <c r="U65" s="117"/>
      <c r="Y65" s="3"/>
      <c r="AA65" s="3"/>
      <c r="AC65" s="3"/>
    </row>
    <row r="66" spans="1:30" s="2" customFormat="1" ht="78.75" customHeight="1" x14ac:dyDescent="0.3">
      <c r="A66" s="156"/>
      <c r="B66" s="157"/>
      <c r="C66" s="1190"/>
      <c r="D66" s="169" t="s">
        <v>283</v>
      </c>
      <c r="E66" s="1376" t="s">
        <v>311</v>
      </c>
      <c r="F66" s="187"/>
      <c r="G66" s="1773"/>
      <c r="H66" s="1362"/>
      <c r="I66" s="1490"/>
      <c r="J66" s="1347"/>
      <c r="K66" s="160"/>
      <c r="L66" s="1545"/>
      <c r="M66" s="1593"/>
      <c r="N66" s="160"/>
      <c r="O66" s="1545"/>
      <c r="P66" s="1548"/>
      <c r="Q66" s="813"/>
      <c r="R66" s="20"/>
      <c r="S66" s="47"/>
      <c r="T66" s="48"/>
      <c r="U66" s="1782"/>
      <c r="W66" s="3"/>
      <c r="AD66" s="3"/>
    </row>
    <row r="67" spans="1:30" s="2" customFormat="1" ht="68.25" customHeight="1" x14ac:dyDescent="0.3">
      <c r="A67" s="156"/>
      <c r="B67" s="157"/>
      <c r="C67" s="158"/>
      <c r="D67" s="1314" t="s">
        <v>284</v>
      </c>
      <c r="E67" s="1375" t="s">
        <v>314</v>
      </c>
      <c r="F67" s="187"/>
      <c r="G67" s="170"/>
      <c r="H67" s="1362"/>
      <c r="I67" s="1490"/>
      <c r="J67" s="1347"/>
      <c r="K67" s="160"/>
      <c r="L67" s="1545"/>
      <c r="M67" s="1593"/>
      <c r="N67" s="160"/>
      <c r="O67" s="1545"/>
      <c r="P67" s="1548"/>
      <c r="Q67" s="1401"/>
      <c r="R67" s="20"/>
      <c r="S67" s="47"/>
      <c r="T67" s="48"/>
      <c r="U67" s="1164"/>
    </row>
    <row r="68" spans="1:30" s="2" customFormat="1" ht="42" customHeight="1" x14ac:dyDescent="0.3">
      <c r="A68" s="1780"/>
      <c r="B68" s="1781"/>
      <c r="C68" s="908"/>
      <c r="D68" s="171" t="s">
        <v>282</v>
      </c>
      <c r="E68" s="1804"/>
      <c r="F68" s="958"/>
      <c r="G68" s="35"/>
      <c r="H68" s="1171"/>
      <c r="I68" s="1491"/>
      <c r="J68" s="1562"/>
      <c r="K68" s="176"/>
      <c r="L68" s="1471"/>
      <c r="M68" s="1596"/>
      <c r="N68" s="176"/>
      <c r="O68" s="1471"/>
      <c r="P68" s="1582"/>
      <c r="Q68" s="1805"/>
      <c r="R68" s="1806"/>
      <c r="S68" s="551"/>
      <c r="T68" s="1807"/>
      <c r="U68" s="1808"/>
    </row>
    <row r="69" spans="1:30" s="2" customFormat="1" ht="39" customHeight="1" x14ac:dyDescent="0.3">
      <c r="A69" s="1144"/>
      <c r="B69" s="1200"/>
      <c r="C69" s="1163"/>
      <c r="D69" s="3249" t="s">
        <v>88</v>
      </c>
      <c r="E69" s="3193" t="s">
        <v>313</v>
      </c>
      <c r="F69" s="957"/>
      <c r="G69" s="28"/>
      <c r="H69" s="1171"/>
      <c r="I69" s="1491"/>
      <c r="J69" s="1562"/>
      <c r="K69" s="176"/>
      <c r="L69" s="1471"/>
      <c r="M69" s="1596"/>
      <c r="N69" s="176"/>
      <c r="O69" s="1471"/>
      <c r="P69" s="1582"/>
      <c r="Q69" s="3195"/>
      <c r="R69" s="173"/>
      <c r="S69" s="174"/>
      <c r="T69" s="175"/>
      <c r="U69" s="1177"/>
      <c r="W69" s="3"/>
    </row>
    <row r="70" spans="1:30" s="2" customFormat="1" ht="19.5" customHeight="1" thickBot="1" x14ac:dyDescent="0.35">
      <c r="A70" s="1144"/>
      <c r="B70" s="1200"/>
      <c r="C70" s="1153"/>
      <c r="D70" s="2768"/>
      <c r="E70" s="3194"/>
      <c r="F70" s="1803"/>
      <c r="G70" s="80" t="s">
        <v>36</v>
      </c>
      <c r="H70" s="1446">
        <f>SUM(H60:H69)</f>
        <v>382.4</v>
      </c>
      <c r="I70" s="1489">
        <f>SUM(I60:I69)</f>
        <v>382.29999999999995</v>
      </c>
      <c r="J70" s="1441">
        <f>SUM(J60:J69)</f>
        <v>-0.10000000000002274</v>
      </c>
      <c r="K70" s="75">
        <f>SUM(K60:K69)</f>
        <v>382.4</v>
      </c>
      <c r="L70" s="1478">
        <f>SUM(L60:L69)</f>
        <v>382.4</v>
      </c>
      <c r="M70" s="1418"/>
      <c r="N70" s="75">
        <f>SUM(N60:N69)</f>
        <v>382.4</v>
      </c>
      <c r="O70" s="1478">
        <f>SUM(O60:O69)</f>
        <v>382.4</v>
      </c>
      <c r="P70" s="1416"/>
      <c r="Q70" s="3196"/>
      <c r="R70" s="177"/>
      <c r="S70" s="1250"/>
      <c r="T70" s="1251"/>
      <c r="U70" s="1175"/>
    </row>
    <row r="71" spans="1:30" s="2" customFormat="1" ht="27.75" customHeight="1" x14ac:dyDescent="0.3">
      <c r="A71" s="178" t="s">
        <v>22</v>
      </c>
      <c r="B71" s="149" t="s">
        <v>50</v>
      </c>
      <c r="C71" s="1330" t="s">
        <v>56</v>
      </c>
      <c r="D71" s="180" t="s">
        <v>89</v>
      </c>
      <c r="E71" s="3253" t="s">
        <v>317</v>
      </c>
      <c r="F71" s="606" t="s">
        <v>27</v>
      </c>
      <c r="G71" s="1332" t="s">
        <v>31</v>
      </c>
      <c r="H71" s="1430">
        <f>77.8+87</f>
        <v>164.8</v>
      </c>
      <c r="I71" s="1661">
        <f>77.8+87+0.1</f>
        <v>164.9</v>
      </c>
      <c r="J71" s="1662">
        <f>I71-H71</f>
        <v>9.9999999999994316E-2</v>
      </c>
      <c r="K71" s="14">
        <f>77.8</f>
        <v>77.8</v>
      </c>
      <c r="L71" s="1539">
        <f>77.8</f>
        <v>77.8</v>
      </c>
      <c r="M71" s="1524"/>
      <c r="N71" s="14">
        <f>77.8</f>
        <v>77.8</v>
      </c>
      <c r="O71" s="1539">
        <f>77.8</f>
        <v>77.8</v>
      </c>
      <c r="P71" s="1537"/>
      <c r="Q71" s="2579" t="s">
        <v>90</v>
      </c>
      <c r="R71" s="1355">
        <v>54</v>
      </c>
      <c r="S71" s="1328">
        <v>51</v>
      </c>
      <c r="T71" s="1329">
        <v>51</v>
      </c>
      <c r="U71" s="2763" t="s">
        <v>374</v>
      </c>
    </row>
    <row r="72" spans="1:30" s="2" customFormat="1" ht="29.25" customHeight="1" x14ac:dyDescent="0.3">
      <c r="A72" s="181"/>
      <c r="B72" s="157"/>
      <c r="C72" s="158"/>
      <c r="D72" s="183" t="s">
        <v>91</v>
      </c>
      <c r="E72" s="3237"/>
      <c r="F72" s="187"/>
      <c r="G72" s="22" t="s">
        <v>52</v>
      </c>
      <c r="H72" s="1448">
        <v>218.6</v>
      </c>
      <c r="I72" s="1492">
        <v>218.6</v>
      </c>
      <c r="J72" s="1440"/>
      <c r="K72" s="23">
        <v>208.2</v>
      </c>
      <c r="L72" s="1546">
        <v>208.2</v>
      </c>
      <c r="M72" s="1597"/>
      <c r="N72" s="23">
        <v>208.2</v>
      </c>
      <c r="O72" s="1546">
        <v>208.2</v>
      </c>
      <c r="P72" s="1584"/>
      <c r="Q72" s="2581"/>
      <c r="R72" s="1252"/>
      <c r="S72" s="185"/>
      <c r="T72" s="1256"/>
      <c r="U72" s="2764"/>
      <c r="W72" s="3"/>
    </row>
    <row r="73" spans="1:30" s="2" customFormat="1" ht="54" customHeight="1" x14ac:dyDescent="0.3">
      <c r="A73" s="181"/>
      <c r="B73" s="157"/>
      <c r="C73" s="158"/>
      <c r="D73" s="33" t="s">
        <v>92</v>
      </c>
      <c r="E73" s="3237"/>
      <c r="F73" s="187"/>
      <c r="G73" s="1331"/>
      <c r="H73" s="1432"/>
      <c r="I73" s="1467"/>
      <c r="J73" s="1420"/>
      <c r="K73" s="29"/>
      <c r="L73" s="1469"/>
      <c r="M73" s="120"/>
      <c r="N73" s="29"/>
      <c r="O73" s="1469"/>
      <c r="P73" s="32"/>
      <c r="Q73" s="192"/>
      <c r="R73" s="1253"/>
      <c r="S73" s="56"/>
      <c r="T73" s="1257"/>
      <c r="U73" s="2764"/>
      <c r="W73" s="3"/>
      <c r="Y73" s="3"/>
    </row>
    <row r="74" spans="1:30" s="2" customFormat="1" ht="21" customHeight="1" x14ac:dyDescent="0.3">
      <c r="A74" s="3038"/>
      <c r="B74" s="2756"/>
      <c r="C74" s="1334"/>
      <c r="D74" s="3189" t="s">
        <v>93</v>
      </c>
      <c r="E74" s="91"/>
      <c r="F74" s="942"/>
      <c r="G74" s="1331"/>
      <c r="H74" s="1445"/>
      <c r="I74" s="1488"/>
      <c r="J74" s="316"/>
      <c r="K74" s="188"/>
      <c r="L74" s="1488"/>
      <c r="M74" s="316"/>
      <c r="N74" s="188"/>
      <c r="O74" s="1488"/>
      <c r="P74" s="189"/>
      <c r="Q74" s="1039"/>
      <c r="R74" s="1253"/>
      <c r="S74" s="56"/>
      <c r="T74" s="1257"/>
      <c r="U74" s="2764"/>
      <c r="W74" s="3"/>
      <c r="AA74" s="3"/>
    </row>
    <row r="75" spans="1:30" s="2" customFormat="1" ht="21" customHeight="1" x14ac:dyDescent="0.25">
      <c r="A75" s="3038"/>
      <c r="B75" s="2756"/>
      <c r="C75" s="1403"/>
      <c r="D75" s="3190"/>
      <c r="E75" s="1624"/>
      <c r="F75" s="942"/>
      <c r="G75" s="28"/>
      <c r="H75" s="1445"/>
      <c r="I75" s="1488"/>
      <c r="J75" s="316"/>
      <c r="K75" s="188"/>
      <c r="L75" s="1488"/>
      <c r="M75" s="316"/>
      <c r="N75" s="188"/>
      <c r="O75" s="1488"/>
      <c r="P75" s="189"/>
      <c r="Q75" s="1039"/>
      <c r="R75" s="1253"/>
      <c r="S75" s="56"/>
      <c r="T75" s="1257"/>
      <c r="U75" s="2764"/>
      <c r="Y75" s="3"/>
    </row>
    <row r="76" spans="1:30" s="2" customFormat="1" ht="102.75" customHeight="1" x14ac:dyDescent="0.3">
      <c r="A76" s="181"/>
      <c r="B76" s="157"/>
      <c r="C76" s="158"/>
      <c r="D76" s="2965" t="s">
        <v>328</v>
      </c>
      <c r="E76" s="3237" t="s">
        <v>315</v>
      </c>
      <c r="F76" s="295"/>
      <c r="G76" s="1158"/>
      <c r="H76" s="1432"/>
      <c r="I76" s="1467"/>
      <c r="J76" s="1420"/>
      <c r="K76" s="29"/>
      <c r="L76" s="1469"/>
      <c r="M76" s="120"/>
      <c r="N76" s="29"/>
      <c r="O76" s="1469"/>
      <c r="P76" s="32"/>
      <c r="Q76" s="192"/>
      <c r="R76" s="1253"/>
      <c r="S76" s="56"/>
      <c r="T76" s="1257"/>
      <c r="U76" s="3256"/>
    </row>
    <row r="77" spans="1:30" s="2" customFormat="1" ht="16.5" customHeight="1" thickBot="1" x14ac:dyDescent="0.35">
      <c r="A77" s="1151"/>
      <c r="B77" s="1198"/>
      <c r="C77" s="1153"/>
      <c r="D77" s="2966"/>
      <c r="E77" s="3126"/>
      <c r="F77" s="1149"/>
      <c r="G77" s="142" t="s">
        <v>36</v>
      </c>
      <c r="H77" s="1446">
        <f>SUM(H71:H76)</f>
        <v>383.4</v>
      </c>
      <c r="I77" s="1489">
        <f>SUM(I71:I76)</f>
        <v>383.5</v>
      </c>
      <c r="J77" s="1441">
        <f>SUM(J71:J76)</f>
        <v>9.9999999999994316E-2</v>
      </c>
      <c r="K77" s="143">
        <f>SUM(K71:K76)</f>
        <v>286</v>
      </c>
      <c r="L77" s="1489">
        <f>SUM(L71:L76)</f>
        <v>286</v>
      </c>
      <c r="M77" s="1591"/>
      <c r="N77" s="143">
        <f>SUM(N71:N76)</f>
        <v>286</v>
      </c>
      <c r="O77" s="1489">
        <f>SUM(O71:O76)</f>
        <v>286</v>
      </c>
      <c r="P77" s="1583"/>
      <c r="Q77" s="1040"/>
      <c r="R77" s="1254"/>
      <c r="S77" s="196"/>
      <c r="T77" s="1258"/>
      <c r="U77" s="3257"/>
    </row>
    <row r="78" spans="1:30" s="2" customFormat="1" ht="27" customHeight="1" x14ac:dyDescent="0.3">
      <c r="A78" s="3068" t="s">
        <v>22</v>
      </c>
      <c r="B78" s="2755" t="s">
        <v>50</v>
      </c>
      <c r="C78" s="1152" t="s">
        <v>59</v>
      </c>
      <c r="D78" s="3244" t="s">
        <v>94</v>
      </c>
      <c r="E78" s="92"/>
      <c r="F78" s="1156" t="s">
        <v>95</v>
      </c>
      <c r="G78" s="1159" t="s">
        <v>31</v>
      </c>
      <c r="H78" s="1449">
        <v>139.9</v>
      </c>
      <c r="I78" s="1493">
        <f>139.9-3.5</f>
        <v>136.4</v>
      </c>
      <c r="J78" s="1563">
        <f>I78-H78</f>
        <v>-3.5</v>
      </c>
      <c r="K78" s="209">
        <v>139.9</v>
      </c>
      <c r="L78" s="1479">
        <v>139.9</v>
      </c>
      <c r="M78" s="1598"/>
      <c r="N78" s="209">
        <v>139.9</v>
      </c>
      <c r="O78" s="1479">
        <v>139.9</v>
      </c>
      <c r="P78" s="1585"/>
      <c r="Q78" s="1292" t="s">
        <v>96</v>
      </c>
      <c r="R78" s="1721">
        <v>20</v>
      </c>
      <c r="S78" s="1262">
        <v>20</v>
      </c>
      <c r="T78" s="1259">
        <v>20</v>
      </c>
      <c r="U78" s="1204"/>
    </row>
    <row r="79" spans="1:30" s="2" customFormat="1" ht="29.25" customHeight="1" x14ac:dyDescent="0.3">
      <c r="A79" s="3038"/>
      <c r="B79" s="2756"/>
      <c r="C79" s="1163"/>
      <c r="D79" s="3239"/>
      <c r="E79" s="91"/>
      <c r="F79" s="937"/>
      <c r="G79" s="202" t="s">
        <v>52</v>
      </c>
      <c r="H79" s="1444">
        <v>137.1</v>
      </c>
      <c r="I79" s="1482">
        <v>137.1</v>
      </c>
      <c r="J79" s="1442"/>
      <c r="K79" s="61">
        <v>137.1</v>
      </c>
      <c r="L79" s="1475">
        <v>137.1</v>
      </c>
      <c r="M79" s="1599"/>
      <c r="N79" s="61">
        <v>137.1</v>
      </c>
      <c r="O79" s="1475">
        <v>137.1</v>
      </c>
      <c r="P79" s="1528"/>
      <c r="Q79" s="3169" t="s">
        <v>276</v>
      </c>
      <c r="R79" s="1255">
        <v>7</v>
      </c>
      <c r="S79" s="204">
        <v>7</v>
      </c>
      <c r="T79" s="1260">
        <v>7</v>
      </c>
      <c r="U79" s="1178"/>
      <c r="X79" s="3"/>
    </row>
    <row r="80" spans="1:30" s="2" customFormat="1" ht="16.5" customHeight="1" thickBot="1" x14ac:dyDescent="0.35">
      <c r="A80" s="1151"/>
      <c r="B80" s="1198"/>
      <c r="C80" s="1153"/>
      <c r="D80" s="3245"/>
      <c r="E80" s="88"/>
      <c r="F80" s="1157"/>
      <c r="G80" s="94" t="s">
        <v>36</v>
      </c>
      <c r="H80" s="1446">
        <f>SUM(H78:H79)</f>
        <v>277</v>
      </c>
      <c r="I80" s="1489">
        <f>SUM(I78:I79)</f>
        <v>273.5</v>
      </c>
      <c r="J80" s="1441">
        <f>SUM(J78:J79)</f>
        <v>-3.5</v>
      </c>
      <c r="K80" s="75">
        <f>SUM(K78:K79)</f>
        <v>277</v>
      </c>
      <c r="L80" s="1478">
        <f>SUM(L78:L79)</f>
        <v>277</v>
      </c>
      <c r="M80" s="1418"/>
      <c r="N80" s="75">
        <f>SUM(N78:N79)</f>
        <v>277</v>
      </c>
      <c r="O80" s="1478">
        <f>SUM(O78:O79)</f>
        <v>277</v>
      </c>
      <c r="P80" s="1416"/>
      <c r="Q80" s="3170"/>
      <c r="R80" s="1245"/>
      <c r="S80" s="207"/>
      <c r="T80" s="208"/>
      <c r="U80" s="1162"/>
    </row>
    <row r="81" spans="1:25" s="2" customFormat="1" ht="18.75" customHeight="1" x14ac:dyDescent="0.3">
      <c r="A81" s="1146" t="s">
        <v>22</v>
      </c>
      <c r="B81" s="1197" t="s">
        <v>50</v>
      </c>
      <c r="C81" s="1152" t="s">
        <v>97</v>
      </c>
      <c r="D81" s="2763" t="s">
        <v>301</v>
      </c>
      <c r="E81" s="92"/>
      <c r="F81" s="2765">
        <v>3</v>
      </c>
      <c r="G81" s="1187" t="s">
        <v>31</v>
      </c>
      <c r="H81" s="1450">
        <v>3.5</v>
      </c>
      <c r="I81" s="1494">
        <v>3.5</v>
      </c>
      <c r="J81" s="1419"/>
      <c r="K81" s="209">
        <v>3.5</v>
      </c>
      <c r="L81" s="1479">
        <v>3.5</v>
      </c>
      <c r="M81" s="1417"/>
      <c r="N81" s="209">
        <v>3.5</v>
      </c>
      <c r="O81" s="1479">
        <v>3.5</v>
      </c>
      <c r="P81" s="1428"/>
      <c r="Q81" s="1568" t="s">
        <v>307</v>
      </c>
      <c r="R81" s="138">
        <v>2</v>
      </c>
      <c r="S81" s="139">
        <v>2</v>
      </c>
      <c r="T81" s="1261">
        <v>2</v>
      </c>
      <c r="U81" s="1176"/>
    </row>
    <row r="82" spans="1:25" s="2" customFormat="1" ht="16.5" customHeight="1" thickBot="1" x14ac:dyDescent="0.3">
      <c r="A82" s="1144"/>
      <c r="B82" s="1200"/>
      <c r="C82" s="1153"/>
      <c r="D82" s="2783"/>
      <c r="E82" s="190"/>
      <c r="F82" s="3037"/>
      <c r="G82" s="142" t="s">
        <v>36</v>
      </c>
      <c r="H82" s="1446">
        <f>H81</f>
        <v>3.5</v>
      </c>
      <c r="I82" s="1489">
        <f>I81</f>
        <v>3.5</v>
      </c>
      <c r="J82" s="1441">
        <f>J81</f>
        <v>0</v>
      </c>
      <c r="K82" s="75">
        <f>K81</f>
        <v>3.5</v>
      </c>
      <c r="L82" s="1478">
        <f>L81</f>
        <v>3.5</v>
      </c>
      <c r="M82" s="1533"/>
      <c r="N82" s="75">
        <f>N81</f>
        <v>3.5</v>
      </c>
      <c r="O82" s="1478">
        <f>O81</f>
        <v>3.5</v>
      </c>
      <c r="P82" s="1529"/>
      <c r="Q82" s="1401"/>
      <c r="R82" s="1245"/>
      <c r="S82" s="207"/>
      <c r="T82" s="208"/>
      <c r="U82" s="1162"/>
    </row>
    <row r="83" spans="1:25" s="2" customFormat="1" ht="16.5" customHeight="1" x14ac:dyDescent="0.3">
      <c r="A83" s="1277" t="s">
        <v>22</v>
      </c>
      <c r="B83" s="1279" t="s">
        <v>50</v>
      </c>
      <c r="C83" s="3273" t="s">
        <v>340</v>
      </c>
      <c r="D83" s="3220" t="s">
        <v>341</v>
      </c>
      <c r="E83" s="3210"/>
      <c r="F83" s="2786">
        <v>3</v>
      </c>
      <c r="G83" s="468" t="s">
        <v>31</v>
      </c>
      <c r="H83" s="1451">
        <v>5</v>
      </c>
      <c r="I83" s="1495">
        <v>5</v>
      </c>
      <c r="J83" s="1564">
        <f>I83-H83</f>
        <v>0</v>
      </c>
      <c r="K83" s="1542"/>
      <c r="L83" s="1509"/>
      <c r="M83" s="1592"/>
      <c r="N83" s="1542"/>
      <c r="O83" s="1509"/>
      <c r="P83" s="1580"/>
      <c r="Q83" s="1569" t="s">
        <v>332</v>
      </c>
      <c r="R83" s="1318">
        <v>1</v>
      </c>
      <c r="S83" s="1283"/>
      <c r="T83" s="1284"/>
      <c r="U83" s="2763"/>
    </row>
    <row r="84" spans="1:25" s="2" customFormat="1" ht="16.5" customHeight="1" x14ac:dyDescent="0.3">
      <c r="A84" s="1281"/>
      <c r="B84" s="1282"/>
      <c r="C84" s="3274"/>
      <c r="D84" s="3221"/>
      <c r="E84" s="3223"/>
      <c r="F84" s="3224"/>
      <c r="G84" s="823" t="s">
        <v>103</v>
      </c>
      <c r="H84" s="1445"/>
      <c r="I84" s="1490"/>
      <c r="J84" s="1347"/>
      <c r="K84" s="240">
        <v>487.3</v>
      </c>
      <c r="L84" s="1502">
        <v>487.3</v>
      </c>
      <c r="M84" s="1600"/>
      <c r="N84" s="240">
        <v>487.3</v>
      </c>
      <c r="O84" s="1502">
        <v>487.3</v>
      </c>
      <c r="P84" s="1576"/>
      <c r="Q84" s="3211" t="s">
        <v>333</v>
      </c>
      <c r="R84" s="3212"/>
      <c r="S84" s="3021">
        <v>350</v>
      </c>
      <c r="T84" s="3214">
        <v>350</v>
      </c>
      <c r="U84" s="2764"/>
    </row>
    <row r="85" spans="1:25" s="2" customFormat="1" ht="16.5" customHeight="1" thickBot="1" x14ac:dyDescent="0.35">
      <c r="A85" s="1278"/>
      <c r="B85" s="1280"/>
      <c r="C85" s="1285"/>
      <c r="D85" s="3222"/>
      <c r="E85" s="3122"/>
      <c r="F85" s="2787"/>
      <c r="G85" s="1357" t="s">
        <v>36</v>
      </c>
      <c r="H85" s="1446">
        <f>H83</f>
        <v>5</v>
      </c>
      <c r="I85" s="1489">
        <f>SUM(I83:I84)</f>
        <v>5</v>
      </c>
      <c r="J85" s="1441">
        <f>SUM(J83:J84)</f>
        <v>0</v>
      </c>
      <c r="K85" s="75">
        <f>K84+K83</f>
        <v>487.3</v>
      </c>
      <c r="L85" s="1478">
        <f>L84+L83</f>
        <v>487.3</v>
      </c>
      <c r="M85" s="1418"/>
      <c r="N85" s="37">
        <f>N84+N83</f>
        <v>487.3</v>
      </c>
      <c r="O85" s="1472">
        <f>O84+O83</f>
        <v>487.3</v>
      </c>
      <c r="P85" s="1425"/>
      <c r="Q85" s="2589"/>
      <c r="R85" s="3213"/>
      <c r="S85" s="3022"/>
      <c r="T85" s="3215"/>
      <c r="U85" s="2783"/>
    </row>
    <row r="86" spans="1:25" s="2" customFormat="1" ht="16.5" customHeight="1" thickBot="1" x14ac:dyDescent="0.35">
      <c r="A86" s="7" t="s">
        <v>22</v>
      </c>
      <c r="B86" s="8" t="s">
        <v>50</v>
      </c>
      <c r="C86" s="2705" t="s">
        <v>62</v>
      </c>
      <c r="D86" s="2671"/>
      <c r="E86" s="2671"/>
      <c r="F86" s="2671"/>
      <c r="G86" s="2996"/>
      <c r="H86" s="98">
        <f>+H80+H77+H70+H59+H57+H82+H85</f>
        <v>5714</v>
      </c>
      <c r="I86" s="1481">
        <f>+I80+I77+I70+I59+I57+I82+I85</f>
        <v>5778.7</v>
      </c>
      <c r="J86" s="1443">
        <f>+J80+J77+J70+J59+J57+J82+J85</f>
        <v>64.699999999999932</v>
      </c>
      <c r="K86" s="212">
        <f t="shared" ref="K86" si="11">K82+K80+K77+K70+K59+K57+K85</f>
        <v>5930.0000000000009</v>
      </c>
      <c r="L86" s="1481">
        <f>L82+L80+L77+L70+L59+L57+L85</f>
        <v>5966.0000000000009</v>
      </c>
      <c r="M86" s="1481">
        <f>M82+M80+M77+M70+M59+M57+M85</f>
        <v>36</v>
      </c>
      <c r="N86" s="212">
        <f t="shared" ref="N86:P86" si="12">N82+N80+N77+N70+N59+N57+N85</f>
        <v>5932.2000000000007</v>
      </c>
      <c r="O86" s="1481">
        <f>O82+O80+O77+O70+O59+O57+O85</f>
        <v>5967.2000000000007</v>
      </c>
      <c r="P86" s="1601">
        <f t="shared" si="12"/>
        <v>35</v>
      </c>
      <c r="Q86" s="2673"/>
      <c r="R86" s="2673"/>
      <c r="S86" s="2673"/>
      <c r="T86" s="2673"/>
      <c r="U86" s="2674"/>
    </row>
    <row r="87" spans="1:25" s="2" customFormat="1" ht="18.75" customHeight="1" thickBot="1" x14ac:dyDescent="0.35">
      <c r="A87" s="99" t="s">
        <v>22</v>
      </c>
      <c r="B87" s="8" t="s">
        <v>54</v>
      </c>
      <c r="C87" s="3238" t="s">
        <v>105</v>
      </c>
      <c r="D87" s="3019"/>
      <c r="E87" s="3019"/>
      <c r="F87" s="3019"/>
      <c r="G87" s="3019"/>
      <c r="H87" s="3019"/>
      <c r="I87" s="3019"/>
      <c r="J87" s="3019"/>
      <c r="K87" s="3019"/>
      <c r="L87" s="3019"/>
      <c r="M87" s="3019"/>
      <c r="N87" s="3019"/>
      <c r="O87" s="3019"/>
      <c r="P87" s="3019"/>
      <c r="Q87" s="3019"/>
      <c r="R87" s="3019"/>
      <c r="S87" s="3019"/>
      <c r="T87" s="3019"/>
      <c r="U87" s="3020"/>
    </row>
    <row r="88" spans="1:25" s="3" customFormat="1" ht="54.75" customHeight="1" x14ac:dyDescent="0.3">
      <c r="A88" s="213" t="s">
        <v>22</v>
      </c>
      <c r="B88" s="9" t="s">
        <v>54</v>
      </c>
      <c r="C88" s="214" t="s">
        <v>22</v>
      </c>
      <c r="D88" s="101" t="s">
        <v>106</v>
      </c>
      <c r="E88" s="1212"/>
      <c r="F88" s="744"/>
      <c r="G88" s="219"/>
      <c r="H88" s="220"/>
      <c r="I88" s="1501"/>
      <c r="J88" s="1496"/>
      <c r="K88" s="221"/>
      <c r="L88" s="1501"/>
      <c r="M88" s="1496"/>
      <c r="N88" s="221"/>
      <c r="O88" s="1501"/>
      <c r="P88" s="1549"/>
      <c r="Q88" s="291"/>
      <c r="R88" s="1263"/>
      <c r="S88" s="223"/>
      <c r="T88" s="224"/>
      <c r="U88" s="3247" t="s">
        <v>378</v>
      </c>
    </row>
    <row r="89" spans="1:25" s="3" customFormat="1" ht="29.25" customHeight="1" x14ac:dyDescent="0.3">
      <c r="A89" s="225"/>
      <c r="B89" s="1783"/>
      <c r="C89" s="226"/>
      <c r="D89" s="2669" t="s">
        <v>285</v>
      </c>
      <c r="E89" s="1215"/>
      <c r="F89" s="1775">
        <v>6</v>
      </c>
      <c r="G89" s="232" t="s">
        <v>31</v>
      </c>
      <c r="H89" s="230">
        <f>48-28-10</f>
        <v>10</v>
      </c>
      <c r="I89" s="1502">
        <f>48-28-10</f>
        <v>10</v>
      </c>
      <c r="J89" s="1188">
        <f>I89-H89</f>
        <v>0</v>
      </c>
      <c r="K89" s="240">
        <v>232</v>
      </c>
      <c r="L89" s="1502">
        <v>232</v>
      </c>
      <c r="M89" s="1188"/>
      <c r="N89" s="240"/>
      <c r="O89" s="1502"/>
      <c r="P89" s="323"/>
      <c r="Q89" s="1286" t="s">
        <v>107</v>
      </c>
      <c r="R89" s="528">
        <v>1</v>
      </c>
      <c r="S89" s="594"/>
      <c r="T89" s="256"/>
      <c r="U89" s="2981"/>
    </row>
    <row r="90" spans="1:25" s="3" customFormat="1" ht="18" customHeight="1" x14ac:dyDescent="0.3">
      <c r="A90" s="225"/>
      <c r="B90" s="1783"/>
      <c r="C90" s="1325"/>
      <c r="D90" s="2712"/>
      <c r="E90" s="1214"/>
      <c r="F90" s="235"/>
      <c r="G90" s="503"/>
      <c r="H90" s="242"/>
      <c r="I90" s="1503"/>
      <c r="J90" s="1426"/>
      <c r="K90" s="70"/>
      <c r="L90" s="1503"/>
      <c r="M90" s="1426"/>
      <c r="N90" s="70"/>
      <c r="O90" s="1503"/>
      <c r="P90" s="931"/>
      <c r="Q90" s="670" t="s">
        <v>108</v>
      </c>
      <c r="R90" s="439">
        <v>10</v>
      </c>
      <c r="S90" s="597">
        <v>100</v>
      </c>
      <c r="T90" s="503"/>
      <c r="U90" s="2981"/>
    </row>
    <row r="91" spans="1:25" s="3" customFormat="1" ht="20.25" customHeight="1" x14ac:dyDescent="0.3">
      <c r="A91" s="225"/>
      <c r="B91" s="1783"/>
      <c r="C91" s="226"/>
      <c r="D91" s="2670" t="s">
        <v>109</v>
      </c>
      <c r="E91" s="1215"/>
      <c r="F91" s="1312"/>
      <c r="G91" s="245" t="s">
        <v>31</v>
      </c>
      <c r="H91" s="1379">
        <f>69.1-16</f>
        <v>53.099999999999994</v>
      </c>
      <c r="I91" s="1504">
        <f>69.1-16</f>
        <v>53.099999999999994</v>
      </c>
      <c r="J91" s="1497">
        <f>I91-H91</f>
        <v>0</v>
      </c>
      <c r="K91" s="1380"/>
      <c r="L91" s="1504"/>
      <c r="M91" s="1497"/>
      <c r="N91" s="1380"/>
      <c r="O91" s="1504"/>
      <c r="P91" s="1550"/>
      <c r="Q91" s="662" t="s">
        <v>110</v>
      </c>
      <c r="R91" s="244">
        <v>100</v>
      </c>
      <c r="S91" s="1774"/>
      <c r="T91" s="245"/>
      <c r="U91" s="2981"/>
    </row>
    <row r="92" spans="1:25" s="3" customFormat="1" ht="20.25" customHeight="1" x14ac:dyDescent="0.3">
      <c r="A92" s="924"/>
      <c r="B92" s="905"/>
      <c r="C92" s="932"/>
      <c r="D92" s="2712"/>
      <c r="E92" s="1809"/>
      <c r="F92" s="664"/>
      <c r="G92" s="503"/>
      <c r="H92" s="242"/>
      <c r="I92" s="1503"/>
      <c r="J92" s="1426"/>
      <c r="K92" s="70"/>
      <c r="L92" s="1503"/>
      <c r="M92" s="1426"/>
      <c r="N92" s="70"/>
      <c r="O92" s="1503"/>
      <c r="P92" s="931"/>
      <c r="Q92" s="670"/>
      <c r="R92" s="439"/>
      <c r="S92" s="597"/>
      <c r="T92" s="503"/>
      <c r="U92" s="2982"/>
    </row>
    <row r="93" spans="1:25" s="1" customFormat="1" ht="27.75" customHeight="1" x14ac:dyDescent="0.25">
      <c r="A93" s="1818"/>
      <c r="B93" s="1738"/>
      <c r="C93" s="995"/>
      <c r="D93" s="2669" t="s">
        <v>339</v>
      </c>
      <c r="E93" s="1819"/>
      <c r="F93" s="3016"/>
      <c r="G93" s="1777" t="s">
        <v>31</v>
      </c>
      <c r="H93" s="1437">
        <v>41.2</v>
      </c>
      <c r="I93" s="1476">
        <v>41.2</v>
      </c>
      <c r="J93" s="1188"/>
      <c r="K93" s="240"/>
      <c r="L93" s="1502"/>
      <c r="M93" s="1188"/>
      <c r="N93" s="240"/>
      <c r="O93" s="1502"/>
      <c r="P93" s="323"/>
      <c r="Q93" s="1820" t="s">
        <v>111</v>
      </c>
      <c r="R93" s="1264">
        <v>20</v>
      </c>
      <c r="S93" s="1821"/>
      <c r="T93" s="1822"/>
      <c r="U93" s="2980" t="s">
        <v>379</v>
      </c>
      <c r="W93" s="251"/>
    </row>
    <row r="94" spans="1:25" s="1" customFormat="1" ht="27.75" customHeight="1" x14ac:dyDescent="0.25">
      <c r="A94" s="225"/>
      <c r="B94" s="1783"/>
      <c r="C94" s="1325"/>
      <c r="D94" s="2712"/>
      <c r="E94" s="1216"/>
      <c r="F94" s="3225"/>
      <c r="G94" s="491"/>
      <c r="H94" s="1172"/>
      <c r="I94" s="1474"/>
      <c r="J94" s="1426"/>
      <c r="K94" s="70"/>
      <c r="L94" s="1503"/>
      <c r="M94" s="1426"/>
      <c r="N94" s="70"/>
      <c r="O94" s="1503"/>
      <c r="P94" s="931"/>
      <c r="Q94" s="670" t="s">
        <v>287</v>
      </c>
      <c r="R94" s="1324">
        <v>2400</v>
      </c>
      <c r="S94" s="67"/>
      <c r="T94" s="491"/>
      <c r="U94" s="2981"/>
      <c r="W94" s="251"/>
      <c r="X94" s="251"/>
      <c r="Y94" s="251"/>
    </row>
    <row r="95" spans="1:25" s="3" customFormat="1" ht="54" customHeight="1" x14ac:dyDescent="0.3">
      <c r="A95" s="225"/>
      <c r="B95" s="1783"/>
      <c r="C95" s="226"/>
      <c r="D95" s="1760" t="s">
        <v>112</v>
      </c>
      <c r="E95" s="1217"/>
      <c r="F95" s="1788"/>
      <c r="G95" s="503" t="s">
        <v>31</v>
      </c>
      <c r="H95" s="1358">
        <f>700-124.4</f>
        <v>575.6</v>
      </c>
      <c r="I95" s="1471">
        <f>700-124.4</f>
        <v>575.6</v>
      </c>
      <c r="J95" s="1498">
        <f>I95-H95</f>
        <v>0</v>
      </c>
      <c r="K95" s="1380"/>
      <c r="L95" s="1504"/>
      <c r="M95" s="1497"/>
      <c r="N95" s="1380"/>
      <c r="O95" s="1504"/>
      <c r="P95" s="1550"/>
      <c r="Q95" s="31" t="s">
        <v>113</v>
      </c>
      <c r="R95" s="114">
        <v>100</v>
      </c>
      <c r="S95" s="933"/>
      <c r="T95" s="1307"/>
      <c r="U95" s="2981"/>
    </row>
    <row r="96" spans="1:25" s="3" customFormat="1" ht="42" customHeight="1" x14ac:dyDescent="0.3">
      <c r="A96" s="225"/>
      <c r="B96" s="1783"/>
      <c r="C96" s="226"/>
      <c r="D96" s="1405" t="s">
        <v>114</v>
      </c>
      <c r="E96" s="1215"/>
      <c r="F96" s="258"/>
      <c r="G96" s="232" t="s">
        <v>31</v>
      </c>
      <c r="H96" s="230">
        <v>4.5999999999999996</v>
      </c>
      <c r="I96" s="1506">
        <f>4.6+3.5</f>
        <v>8.1</v>
      </c>
      <c r="J96" s="1499">
        <f>I96-H96</f>
        <v>3.5</v>
      </c>
      <c r="K96" s="1244"/>
      <c r="L96" s="1506"/>
      <c r="M96" s="1499"/>
      <c r="N96" s="1244"/>
      <c r="O96" s="1506"/>
      <c r="P96" s="1551"/>
      <c r="Q96" s="24" t="s">
        <v>288</v>
      </c>
      <c r="R96" s="1265">
        <v>100</v>
      </c>
      <c r="S96" s="1266"/>
      <c r="T96" s="1308"/>
      <c r="U96" s="2981"/>
    </row>
    <row r="97" spans="1:30" s="3" customFormat="1" ht="21" customHeight="1" x14ac:dyDescent="0.3">
      <c r="A97" s="225"/>
      <c r="B97" s="1783"/>
      <c r="C97" s="226"/>
      <c r="D97" s="3242" t="s">
        <v>327</v>
      </c>
      <c r="E97" s="1213"/>
      <c r="F97" s="3218">
        <v>1</v>
      </c>
      <c r="G97" s="1393" t="s">
        <v>31</v>
      </c>
      <c r="H97" s="230">
        <v>160</v>
      </c>
      <c r="I97" s="1502">
        <v>160</v>
      </c>
      <c r="J97" s="1188">
        <f>I97-H97</f>
        <v>0</v>
      </c>
      <c r="K97" s="240"/>
      <c r="L97" s="1502"/>
      <c r="M97" s="1188"/>
      <c r="N97" s="240"/>
      <c r="O97" s="1502"/>
      <c r="P97" s="323"/>
      <c r="Q97" s="507" t="s">
        <v>329</v>
      </c>
      <c r="R97" s="1359">
        <v>1</v>
      </c>
      <c r="S97" s="1287"/>
      <c r="T97" s="1309"/>
      <c r="U97" s="2981"/>
    </row>
    <row r="98" spans="1:30" s="3" customFormat="1" ht="21" customHeight="1" x14ac:dyDescent="0.3">
      <c r="A98" s="225"/>
      <c r="B98" s="1783"/>
      <c r="C98" s="226"/>
      <c r="D98" s="3243"/>
      <c r="E98" s="1268"/>
      <c r="F98" s="3219"/>
      <c r="G98" s="503"/>
      <c r="H98" s="242"/>
      <c r="I98" s="1503"/>
      <c r="J98" s="1426"/>
      <c r="K98" s="70"/>
      <c r="L98" s="1503"/>
      <c r="M98" s="1426"/>
      <c r="N98" s="70"/>
      <c r="O98" s="1503"/>
      <c r="P98" s="931"/>
      <c r="Q98" s="169" t="s">
        <v>330</v>
      </c>
      <c r="R98" s="274">
        <v>8</v>
      </c>
      <c r="S98" s="1306"/>
      <c r="T98" s="1310"/>
      <c r="U98" s="2981"/>
    </row>
    <row r="99" spans="1:30" s="3" customFormat="1" ht="30.75" customHeight="1" x14ac:dyDescent="0.3">
      <c r="A99" s="225"/>
      <c r="B99" s="1783"/>
      <c r="C99" s="226"/>
      <c r="D99" s="3226" t="s">
        <v>331</v>
      </c>
      <c r="E99" s="1213"/>
      <c r="F99" s="3218">
        <v>3</v>
      </c>
      <c r="G99" s="1364" t="s">
        <v>31</v>
      </c>
      <c r="H99" s="1360"/>
      <c r="I99" s="1787"/>
      <c r="J99" s="1500"/>
      <c r="K99" s="3240">
        <v>182.6</v>
      </c>
      <c r="L99" s="3216">
        <v>182.6</v>
      </c>
      <c r="M99" s="1500"/>
      <c r="N99" s="1790"/>
      <c r="O99" s="1787"/>
      <c r="P99" s="1424"/>
      <c r="Q99" s="1791" t="s">
        <v>107</v>
      </c>
      <c r="R99" s="1365"/>
      <c r="S99" s="1366">
        <v>1</v>
      </c>
      <c r="T99" s="1308"/>
      <c r="U99" s="2981"/>
    </row>
    <row r="100" spans="1:30" s="3" customFormat="1" ht="15.75" customHeight="1" x14ac:dyDescent="0.3">
      <c r="A100" s="225"/>
      <c r="B100" s="1783"/>
      <c r="C100" s="226"/>
      <c r="D100" s="3227"/>
      <c r="E100" s="1215"/>
      <c r="F100" s="3224"/>
      <c r="G100" s="1361"/>
      <c r="H100" s="1362"/>
      <c r="I100" s="1490"/>
      <c r="J100" s="1347"/>
      <c r="K100" s="3241"/>
      <c r="L100" s="3217"/>
      <c r="M100" s="1347"/>
      <c r="N100" s="1363"/>
      <c r="O100" s="1490"/>
      <c r="P100" s="1349"/>
      <c r="Q100" s="1322" t="s">
        <v>338</v>
      </c>
      <c r="R100" s="1367"/>
      <c r="S100" s="1368">
        <v>2</v>
      </c>
      <c r="T100" s="1311"/>
      <c r="U100" s="662"/>
    </row>
    <row r="101" spans="1:30" s="3" customFormat="1" ht="18" customHeight="1" x14ac:dyDescent="0.3">
      <c r="A101" s="225"/>
      <c r="B101" s="18"/>
      <c r="C101" s="226"/>
      <c r="D101" s="3158" t="s">
        <v>349</v>
      </c>
      <c r="E101" s="1213"/>
      <c r="F101" s="1394">
        <v>5</v>
      </c>
      <c r="G101" s="1393" t="s">
        <v>31</v>
      </c>
      <c r="H101" s="230">
        <v>0</v>
      </c>
      <c r="I101" s="1506">
        <v>6.6</v>
      </c>
      <c r="J101" s="1499">
        <f>I101-H101</f>
        <v>6.6</v>
      </c>
      <c r="K101" s="1547">
        <v>6.2</v>
      </c>
      <c r="L101" s="1640">
        <v>34.799999999999997</v>
      </c>
      <c r="M101" s="1649">
        <f>L101-K101</f>
        <v>28.599999999999998</v>
      </c>
      <c r="N101" s="1387">
        <v>49.5</v>
      </c>
      <c r="O101" s="1466">
        <v>36.299999999999997</v>
      </c>
      <c r="P101" s="1648">
        <f>O101-N101</f>
        <v>-13.200000000000003</v>
      </c>
      <c r="Q101" s="1390" t="s">
        <v>116</v>
      </c>
      <c r="R101" s="1370">
        <v>1</v>
      </c>
      <c r="S101" s="1371">
        <v>1</v>
      </c>
      <c r="T101" s="783"/>
      <c r="U101" s="662"/>
    </row>
    <row r="102" spans="1:30" s="3" customFormat="1" ht="18" customHeight="1" x14ac:dyDescent="0.3">
      <c r="A102" s="225"/>
      <c r="B102" s="1628"/>
      <c r="C102" s="226"/>
      <c r="D102" s="3159"/>
      <c r="E102" s="1215"/>
      <c r="F102" s="1631"/>
      <c r="G102" s="1393" t="s">
        <v>103</v>
      </c>
      <c r="H102" s="230"/>
      <c r="I102" s="1506"/>
      <c r="J102" s="1499"/>
      <c r="K102" s="1646">
        <v>18.600000000000001</v>
      </c>
      <c r="L102" s="1647">
        <v>18.600000000000001</v>
      </c>
      <c r="M102" s="1650"/>
      <c r="N102" s="1387">
        <v>280.60000000000002</v>
      </c>
      <c r="O102" s="1466">
        <v>243.4</v>
      </c>
      <c r="P102" s="1648">
        <f>O102-N102</f>
        <v>-37.200000000000017</v>
      </c>
      <c r="Q102" s="1638" t="s">
        <v>350</v>
      </c>
      <c r="R102" s="1636">
        <v>1</v>
      </c>
      <c r="S102" s="1637"/>
      <c r="T102" s="357"/>
      <c r="U102" s="662"/>
    </row>
    <row r="103" spans="1:30" s="3" customFormat="1" ht="18" customHeight="1" x14ac:dyDescent="0.3">
      <c r="A103" s="225"/>
      <c r="B103" s="18"/>
      <c r="C103" s="226"/>
      <c r="D103" s="3159"/>
      <c r="E103" s="1215"/>
      <c r="F103" s="258"/>
      <c r="G103" s="1627"/>
      <c r="H103" s="236"/>
      <c r="I103" s="1641"/>
      <c r="J103" s="1642"/>
      <c r="K103" s="1643"/>
      <c r="L103" s="1644"/>
      <c r="M103" s="1651"/>
      <c r="N103" s="1639"/>
      <c r="O103" s="1491"/>
      <c r="P103" s="1645"/>
      <c r="Q103" s="1391" t="s">
        <v>102</v>
      </c>
      <c r="R103" s="1267"/>
      <c r="S103" s="705">
        <v>1</v>
      </c>
      <c r="T103" s="357"/>
      <c r="U103" s="662"/>
    </row>
    <row r="104" spans="1:30" s="3" customFormat="1" ht="17.25" customHeight="1" x14ac:dyDescent="0.3">
      <c r="A104" s="225"/>
      <c r="B104" s="18"/>
      <c r="C104" s="226"/>
      <c r="D104" s="3160"/>
      <c r="E104" s="1268"/>
      <c r="F104" s="1369"/>
      <c r="G104" s="734" t="s">
        <v>36</v>
      </c>
      <c r="H104" s="1521">
        <f>SUM(H101:H103)</f>
        <v>0</v>
      </c>
      <c r="I104" s="1553">
        <f t="shared" ref="I104:J104" si="13">SUM(I101:I103)</f>
        <v>6.6</v>
      </c>
      <c r="J104" s="1634">
        <f t="shared" si="13"/>
        <v>6.6</v>
      </c>
      <c r="K104" s="1521">
        <f>SUM(K101:K103)</f>
        <v>24.8</v>
      </c>
      <c r="L104" s="1553">
        <f>SUM(L101:L103)</f>
        <v>53.4</v>
      </c>
      <c r="M104" s="1633">
        <f t="shared" ref="M104:P104" si="14">SUM(M101:M103)</f>
        <v>28.599999999999998</v>
      </c>
      <c r="N104" s="262">
        <f t="shared" si="14"/>
        <v>330.1</v>
      </c>
      <c r="O104" s="1553">
        <f t="shared" si="14"/>
        <v>279.7</v>
      </c>
      <c r="P104" s="1635">
        <f t="shared" si="14"/>
        <v>-50.40000000000002</v>
      </c>
      <c r="Q104" s="670" t="s">
        <v>117</v>
      </c>
      <c r="R104" s="274"/>
      <c r="S104" s="275"/>
      <c r="T104" s="561">
        <v>80</v>
      </c>
      <c r="U104" s="662"/>
    </row>
    <row r="105" spans="1:30" s="3" customFormat="1" ht="18.75" customHeight="1" x14ac:dyDescent="0.3">
      <c r="A105" s="225"/>
      <c r="B105" s="1389"/>
      <c r="C105" s="226"/>
      <c r="D105" s="3158" t="s">
        <v>351</v>
      </c>
      <c r="E105" s="1289"/>
      <c r="F105" s="1394">
        <v>5</v>
      </c>
      <c r="G105" s="1393" t="s">
        <v>31</v>
      </c>
      <c r="H105" s="230">
        <v>0</v>
      </c>
      <c r="I105" s="1507">
        <v>1.7</v>
      </c>
      <c r="J105" s="1409">
        <f>I105-H105</f>
        <v>1.7</v>
      </c>
      <c r="K105" s="71">
        <v>0</v>
      </c>
      <c r="L105" s="1554">
        <v>13.5</v>
      </c>
      <c r="M105" s="1409">
        <f>L105-K105</f>
        <v>13.5</v>
      </c>
      <c r="N105" s="71">
        <v>24.8</v>
      </c>
      <c r="O105" s="1554">
        <v>11.4</v>
      </c>
      <c r="P105" s="1193">
        <f>O105-N105</f>
        <v>-13.4</v>
      </c>
      <c r="Q105" s="1390" t="s">
        <v>118</v>
      </c>
      <c r="R105" s="277">
        <v>1</v>
      </c>
      <c r="S105" s="1372"/>
      <c r="T105" s="1373">
        <v>1</v>
      </c>
      <c r="U105" s="3239"/>
    </row>
    <row r="106" spans="1:30" s="3" customFormat="1" ht="18.75" customHeight="1" x14ac:dyDescent="0.3">
      <c r="A106" s="225"/>
      <c r="B106" s="1389"/>
      <c r="C106" s="1325"/>
      <c r="D106" s="3159"/>
      <c r="E106" s="1215"/>
      <c r="F106" s="260"/>
      <c r="G106" s="271" t="s">
        <v>103</v>
      </c>
      <c r="H106" s="272"/>
      <c r="I106" s="1652"/>
      <c r="J106" s="1653"/>
      <c r="K106" s="1654"/>
      <c r="L106" s="1655"/>
      <c r="M106" s="1653"/>
      <c r="N106" s="44">
        <v>0</v>
      </c>
      <c r="O106" s="1655">
        <v>64.5</v>
      </c>
      <c r="P106" s="1656">
        <f>O106-N106</f>
        <v>64.5</v>
      </c>
      <c r="Q106" s="1391" t="s">
        <v>102</v>
      </c>
      <c r="R106" s="704"/>
      <c r="S106" s="705">
        <v>1</v>
      </c>
      <c r="T106" s="1374">
        <v>1</v>
      </c>
      <c r="U106" s="3239"/>
    </row>
    <row r="107" spans="1:30" s="3" customFormat="1" ht="15.75" customHeight="1" x14ac:dyDescent="0.3">
      <c r="A107" s="225"/>
      <c r="B107" s="1626"/>
      <c r="C107" s="226"/>
      <c r="D107" s="3160"/>
      <c r="E107" s="1632"/>
      <c r="F107" s="260"/>
      <c r="G107" s="734" t="s">
        <v>36</v>
      </c>
      <c r="H107" s="262"/>
      <c r="I107" s="1553">
        <f>SUM(I105:I106)</f>
        <v>1.7</v>
      </c>
      <c r="J107" s="1633">
        <f t="shared" ref="J107:P107" si="15">SUM(J105:J106)</f>
        <v>1.7</v>
      </c>
      <c r="K107" s="262">
        <f t="shared" si="15"/>
        <v>0</v>
      </c>
      <c r="L107" s="1553">
        <f t="shared" si="15"/>
        <v>13.5</v>
      </c>
      <c r="M107" s="1553">
        <f t="shared" si="15"/>
        <v>13.5</v>
      </c>
      <c r="N107" s="262">
        <f t="shared" si="15"/>
        <v>24.8</v>
      </c>
      <c r="O107" s="1553">
        <f t="shared" si="15"/>
        <v>75.900000000000006</v>
      </c>
      <c r="P107" s="1553">
        <f t="shared" si="15"/>
        <v>51.1</v>
      </c>
      <c r="Q107" s="1722" t="s">
        <v>366</v>
      </c>
      <c r="R107" s="1723"/>
      <c r="S107" s="1724"/>
      <c r="T107" s="1725">
        <v>30</v>
      </c>
      <c r="U107" s="3239"/>
    </row>
    <row r="108" spans="1:30" s="2" customFormat="1" ht="14.25" customHeight="1" x14ac:dyDescent="0.3">
      <c r="A108" s="1388"/>
      <c r="B108" s="1389"/>
      <c r="C108" s="1392"/>
      <c r="D108" s="2679" t="s">
        <v>376</v>
      </c>
      <c r="E108" s="3246" t="s">
        <v>321</v>
      </c>
      <c r="F108" s="3232">
        <v>5</v>
      </c>
      <c r="G108" s="43" t="s">
        <v>31</v>
      </c>
      <c r="H108" s="1452"/>
      <c r="I108" s="1508"/>
      <c r="J108" s="1522"/>
      <c r="K108" s="1630">
        <v>50</v>
      </c>
      <c r="L108" s="1629">
        <v>50</v>
      </c>
      <c r="M108" s="1500"/>
      <c r="N108" s="1396">
        <v>75</v>
      </c>
      <c r="O108" s="1589">
        <v>75</v>
      </c>
      <c r="P108" s="323"/>
      <c r="Q108" s="1395" t="s">
        <v>102</v>
      </c>
      <c r="R108" s="1755"/>
      <c r="S108" s="1757">
        <v>1</v>
      </c>
      <c r="T108" s="1756"/>
      <c r="U108" s="3159"/>
    </row>
    <row r="109" spans="1:30" s="2" customFormat="1" ht="14.25" customHeight="1" x14ac:dyDescent="0.3">
      <c r="A109" s="1246"/>
      <c r="B109" s="18"/>
      <c r="C109" s="2732"/>
      <c r="D109" s="2680"/>
      <c r="E109" s="3193"/>
      <c r="F109" s="2749"/>
      <c r="G109" s="35" t="s">
        <v>103</v>
      </c>
      <c r="H109" s="1362"/>
      <c r="I109" s="1490"/>
      <c r="J109" s="1347"/>
      <c r="K109" s="1586"/>
      <c r="L109" s="1508"/>
      <c r="M109" s="1522"/>
      <c r="N109" s="160">
        <v>425</v>
      </c>
      <c r="O109" s="1545">
        <v>425</v>
      </c>
      <c r="P109" s="1576"/>
      <c r="Q109" s="2789" t="s">
        <v>104</v>
      </c>
      <c r="R109" s="3033"/>
      <c r="S109" s="3021"/>
      <c r="T109" s="3023">
        <v>50</v>
      </c>
      <c r="U109" s="3159"/>
      <c r="AD109" s="3"/>
    </row>
    <row r="110" spans="1:30" s="3" customFormat="1" ht="14.25" customHeight="1" x14ac:dyDescent="0.3">
      <c r="A110" s="3038"/>
      <c r="B110" s="3167"/>
      <c r="C110" s="2732"/>
      <c r="D110" s="2680"/>
      <c r="E110" s="3198"/>
      <c r="F110" s="260"/>
      <c r="G110" s="694" t="s">
        <v>36</v>
      </c>
      <c r="H110" s="1603">
        <f>SUM(H108:H109)</f>
        <v>0</v>
      </c>
      <c r="I110" s="1604">
        <f t="shared" ref="I110:L110" si="16">SUM(I108:I109)</f>
        <v>0</v>
      </c>
      <c r="J110" s="1605">
        <f t="shared" si="16"/>
        <v>0</v>
      </c>
      <c r="K110" s="1606">
        <f t="shared" si="16"/>
        <v>50</v>
      </c>
      <c r="L110" s="1607">
        <f t="shared" si="16"/>
        <v>50</v>
      </c>
      <c r="M110" s="1427"/>
      <c r="N110" s="37">
        <f>SUM(N108:N109)</f>
        <v>500</v>
      </c>
      <c r="O110" s="1472">
        <f>SUM(O108:O109)</f>
        <v>500</v>
      </c>
      <c r="P110" s="1425"/>
      <c r="Q110" s="2933"/>
      <c r="R110" s="3033"/>
      <c r="S110" s="3021"/>
      <c r="T110" s="3023"/>
      <c r="U110" s="3160"/>
    </row>
    <row r="111" spans="1:30" s="3" customFormat="1" ht="15.75" customHeight="1" thickBot="1" x14ac:dyDescent="0.35">
      <c r="A111" s="3069"/>
      <c r="B111" s="3168"/>
      <c r="C111" s="2733"/>
      <c r="D111" s="3164" t="s">
        <v>49</v>
      </c>
      <c r="E111" s="3165"/>
      <c r="F111" s="3165"/>
      <c r="G111" s="3166"/>
      <c r="H111" s="1608">
        <f>H110+H106+H104+H99+H97+H96+H95+H93+H89+H91</f>
        <v>844.50000000000011</v>
      </c>
      <c r="I111" s="1609">
        <f>I110+I105+I104+I99+I97+I96+I95+I93+I91+I89</f>
        <v>856.30000000000007</v>
      </c>
      <c r="J111" s="1610">
        <f t="shared" ref="J111" si="17">J110+J105+J104+J99+J97+J96+J95+J93+J91+J89</f>
        <v>11.799999999999999</v>
      </c>
      <c r="K111" s="1608">
        <f>K110+K105+K104+K99+K97+K96+K95+K93+K91+K89</f>
        <v>489.4</v>
      </c>
      <c r="L111" s="1609">
        <f>L110+L105+L104+L99+L97+L96+L95+L93+L91+L89</f>
        <v>531.5</v>
      </c>
      <c r="M111" s="1610">
        <f>M110+M107+M104</f>
        <v>42.099999999999994</v>
      </c>
      <c r="N111" s="1608">
        <f>N110+N105+N104+N99+N97+N96+N95+N93+N91+N89</f>
        <v>854.9</v>
      </c>
      <c r="O111" s="1609">
        <f>O110+O107+O104</f>
        <v>855.59999999999991</v>
      </c>
      <c r="P111" s="1609">
        <f>P110+P107+P104</f>
        <v>0.69999999999998153</v>
      </c>
      <c r="Q111" s="1611"/>
      <c r="R111" s="1612"/>
      <c r="S111" s="1612"/>
      <c r="T111" s="1612"/>
      <c r="U111" s="1613"/>
    </row>
    <row r="112" spans="1:30" s="2" customFormat="1" ht="16.5" customHeight="1" thickBot="1" x14ac:dyDescent="0.35">
      <c r="A112" s="1240" t="s">
        <v>22</v>
      </c>
      <c r="B112" s="87" t="s">
        <v>54</v>
      </c>
      <c r="C112" s="2995" t="s">
        <v>62</v>
      </c>
      <c r="D112" s="2671"/>
      <c r="E112" s="2671"/>
      <c r="F112" s="2671"/>
      <c r="G112" s="2996"/>
      <c r="H112" s="212">
        <f>H111</f>
        <v>844.50000000000011</v>
      </c>
      <c r="I112" s="1481">
        <f t="shared" ref="I112:J112" si="18">I111</f>
        <v>856.30000000000007</v>
      </c>
      <c r="J112" s="1602">
        <f t="shared" si="18"/>
        <v>11.799999999999999</v>
      </c>
      <c r="K112" s="283">
        <f t="shared" ref="K112:P112" si="19">K111</f>
        <v>489.4</v>
      </c>
      <c r="L112" s="1555">
        <f t="shared" si="19"/>
        <v>531.5</v>
      </c>
      <c r="M112" s="1552">
        <f t="shared" si="19"/>
        <v>42.099999999999994</v>
      </c>
      <c r="N112" s="283">
        <f t="shared" si="19"/>
        <v>854.9</v>
      </c>
      <c r="O112" s="1555">
        <f t="shared" si="19"/>
        <v>855.59999999999991</v>
      </c>
      <c r="P112" s="1555">
        <f t="shared" si="19"/>
        <v>0.69999999999998153</v>
      </c>
      <c r="Q112" s="3250"/>
      <c r="R112" s="3251"/>
      <c r="S112" s="3251"/>
      <c r="T112" s="3251"/>
      <c r="U112" s="3252"/>
      <c r="X112" s="3"/>
      <c r="Z112" s="3"/>
    </row>
    <row r="113" spans="1:28" s="1" customFormat="1" ht="16.5" customHeight="1" thickBot="1" x14ac:dyDescent="0.3">
      <c r="A113" s="7" t="s">
        <v>22</v>
      </c>
      <c r="B113" s="282" t="s">
        <v>56</v>
      </c>
      <c r="C113" s="2977" t="s">
        <v>119</v>
      </c>
      <c r="D113" s="2707"/>
      <c r="E113" s="2707"/>
      <c r="F113" s="2707"/>
      <c r="G113" s="2707"/>
      <c r="H113" s="2707"/>
      <c r="I113" s="2707"/>
      <c r="J113" s="2707"/>
      <c r="K113" s="2707"/>
      <c r="L113" s="2707"/>
      <c r="M113" s="2707"/>
      <c r="N113" s="2707"/>
      <c r="O113" s="2707"/>
      <c r="P113" s="2707"/>
      <c r="Q113" s="2707"/>
      <c r="R113" s="2707"/>
      <c r="S113" s="2707"/>
      <c r="T113" s="2707"/>
      <c r="U113" s="2708"/>
      <c r="Z113" s="251"/>
    </row>
    <row r="114" spans="1:28" s="1" customFormat="1" ht="16.5" customHeight="1" x14ac:dyDescent="0.25">
      <c r="A114" s="213" t="s">
        <v>22</v>
      </c>
      <c r="B114" s="1400" t="s">
        <v>56</v>
      </c>
      <c r="C114" s="1625" t="s">
        <v>22</v>
      </c>
      <c r="D114" s="1381" t="s">
        <v>120</v>
      </c>
      <c r="E114" s="1382"/>
      <c r="F114" s="1383"/>
      <c r="G114" s="642"/>
      <c r="H114" s="1455"/>
      <c r="I114" s="1509"/>
      <c r="J114" s="1183"/>
      <c r="K114" s="1542"/>
      <c r="L114" s="1509"/>
      <c r="M114" s="1183"/>
      <c r="N114" s="1542"/>
      <c r="O114" s="1509"/>
      <c r="P114" s="1183"/>
      <c r="Q114" s="1559"/>
      <c r="R114" s="15"/>
      <c r="S114" s="16"/>
      <c r="T114" s="17"/>
      <c r="U114" s="1404"/>
    </row>
    <row r="115" spans="1:28" s="1" customFormat="1" ht="21.75" customHeight="1" x14ac:dyDescent="0.25">
      <c r="A115" s="1144"/>
      <c r="B115" s="1200"/>
      <c r="C115" s="1163"/>
      <c r="D115" s="2680" t="s">
        <v>121</v>
      </c>
      <c r="E115" s="3259" t="s">
        <v>325</v>
      </c>
      <c r="F115" s="187">
        <v>5</v>
      </c>
      <c r="G115" s="1333" t="s">
        <v>31</v>
      </c>
      <c r="H115" s="1171">
        <v>236.8</v>
      </c>
      <c r="I115" s="1491">
        <v>236.8</v>
      </c>
      <c r="J115" s="1352"/>
      <c r="K115" s="273">
        <v>355.2</v>
      </c>
      <c r="L115" s="1557">
        <v>355.2</v>
      </c>
      <c r="M115" s="1351"/>
      <c r="N115" s="273">
        <v>118.4</v>
      </c>
      <c r="O115" s="1557">
        <v>118.4</v>
      </c>
      <c r="P115" s="1351"/>
      <c r="Q115" s="1398" t="s">
        <v>122</v>
      </c>
      <c r="R115" s="298">
        <v>75</v>
      </c>
      <c r="S115" s="299">
        <v>100</v>
      </c>
      <c r="T115" s="300"/>
      <c r="U115" s="1402"/>
    </row>
    <row r="116" spans="1:28" s="1" customFormat="1" ht="21.75" customHeight="1" x14ac:dyDescent="0.25">
      <c r="A116" s="1144"/>
      <c r="B116" s="1200"/>
      <c r="C116" s="1163"/>
      <c r="D116" s="2680"/>
      <c r="E116" s="3259"/>
      <c r="F116" s="295"/>
      <c r="G116" s="229" t="s">
        <v>103</v>
      </c>
      <c r="H116" s="296">
        <v>1341.7</v>
      </c>
      <c r="I116" s="1510">
        <v>1341.7</v>
      </c>
      <c r="J116" s="297"/>
      <c r="K116" s="44">
        <v>2012.6</v>
      </c>
      <c r="L116" s="1510">
        <v>2012.6</v>
      </c>
      <c r="M116" s="1530"/>
      <c r="N116" s="44">
        <v>670.9</v>
      </c>
      <c r="O116" s="1510">
        <v>670.9</v>
      </c>
      <c r="P116" s="1530"/>
      <c r="Q116" s="1398"/>
      <c r="R116" s="298"/>
      <c r="S116" s="299"/>
      <c r="T116" s="300"/>
      <c r="U116" s="1158"/>
    </row>
    <row r="117" spans="1:28" s="1" customFormat="1" ht="15" customHeight="1" thickBot="1" x14ac:dyDescent="0.3">
      <c r="A117" s="225"/>
      <c r="B117" s="1200"/>
      <c r="C117" s="302"/>
      <c r="D117" s="2758"/>
      <c r="E117" s="1216"/>
      <c r="F117" s="295"/>
      <c r="G117" s="303" t="s">
        <v>36</v>
      </c>
      <c r="H117" s="38">
        <f>SUM(H115:H116)</f>
        <v>1578.5</v>
      </c>
      <c r="I117" s="1472">
        <f>SUM(I115:I116)</f>
        <v>1578.5</v>
      </c>
      <c r="J117" s="1182">
        <f>SUM(J115:J116)</f>
        <v>0</v>
      </c>
      <c r="K117" s="37">
        <f>SUM(K115:K116)</f>
        <v>2367.7999999999997</v>
      </c>
      <c r="L117" s="1472">
        <f>SUM(L115:L116)</f>
        <v>2367.7999999999997</v>
      </c>
      <c r="M117" s="1425"/>
      <c r="N117" s="37">
        <f>SUM(N115:N116)</f>
        <v>789.3</v>
      </c>
      <c r="O117" s="1472">
        <f>SUM(O115:O116)</f>
        <v>789.3</v>
      </c>
      <c r="P117" s="1425"/>
      <c r="Q117" s="1560"/>
      <c r="R117" s="304"/>
      <c r="S117" s="305"/>
      <c r="T117" s="306"/>
      <c r="U117" s="1179"/>
    </row>
    <row r="118" spans="1:28" s="1" customFormat="1" ht="27.75" customHeight="1" x14ac:dyDescent="0.25">
      <c r="A118" s="213" t="s">
        <v>22</v>
      </c>
      <c r="B118" s="1315" t="s">
        <v>56</v>
      </c>
      <c r="C118" s="307" t="s">
        <v>50</v>
      </c>
      <c r="D118" s="3260" t="s">
        <v>123</v>
      </c>
      <c r="E118" s="1218"/>
      <c r="F118" s="1319" t="s">
        <v>27</v>
      </c>
      <c r="G118" s="1323" t="s">
        <v>68</v>
      </c>
      <c r="H118" s="1456">
        <v>746.9</v>
      </c>
      <c r="I118" s="1511">
        <v>746.9</v>
      </c>
      <c r="J118" s="152"/>
      <c r="K118" s="151">
        <v>746.9</v>
      </c>
      <c r="L118" s="1544">
        <v>746.9</v>
      </c>
      <c r="M118" s="152"/>
      <c r="N118" s="151">
        <v>746.9</v>
      </c>
      <c r="O118" s="1544">
        <v>746.9</v>
      </c>
      <c r="P118" s="152"/>
      <c r="Q118" s="92"/>
      <c r="R118" s="1318"/>
      <c r="S118" s="1316"/>
      <c r="T118" s="1317"/>
      <c r="U118" s="1323"/>
      <c r="W118" s="251"/>
    </row>
    <row r="119" spans="1:28" s="1" customFormat="1" ht="24.75" customHeight="1" x14ac:dyDescent="0.25">
      <c r="A119" s="225"/>
      <c r="B119" s="1327"/>
      <c r="C119" s="1237"/>
      <c r="D119" s="3261"/>
      <c r="E119" s="1378"/>
      <c r="F119" s="940"/>
      <c r="G119" s="43" t="s">
        <v>52</v>
      </c>
      <c r="H119" s="1436">
        <v>6.6</v>
      </c>
      <c r="I119" s="1475">
        <v>6.6</v>
      </c>
      <c r="J119" s="1192"/>
      <c r="K119" s="338">
        <v>6.6</v>
      </c>
      <c r="L119" s="1476">
        <v>6.6</v>
      </c>
      <c r="M119" s="1528"/>
      <c r="N119" s="338">
        <v>6.6</v>
      </c>
      <c r="O119" s="1476">
        <v>6.6</v>
      </c>
      <c r="P119" s="1528"/>
      <c r="Q119" s="311"/>
      <c r="R119" s="416"/>
      <c r="S119" s="67"/>
      <c r="T119" s="491"/>
      <c r="U119" s="35"/>
    </row>
    <row r="120" spans="1:28" s="1" customFormat="1" ht="40.5" customHeight="1" x14ac:dyDescent="0.25">
      <c r="A120" s="225"/>
      <c r="B120" s="1200"/>
      <c r="C120" s="310"/>
      <c r="D120" s="1145" t="s">
        <v>124</v>
      </c>
      <c r="E120" s="1219" t="s">
        <v>316</v>
      </c>
      <c r="F120" s="1147"/>
      <c r="G120" s="1321" t="s">
        <v>178</v>
      </c>
      <c r="H120" s="1457">
        <v>488.6</v>
      </c>
      <c r="I120" s="1512">
        <v>488.6</v>
      </c>
      <c r="J120" s="1377"/>
      <c r="K120" s="1556"/>
      <c r="L120" s="1558"/>
      <c r="M120" s="1453"/>
      <c r="N120" s="1556"/>
      <c r="O120" s="1558"/>
      <c r="P120" s="1453"/>
      <c r="Q120" s="1291" t="s">
        <v>126</v>
      </c>
      <c r="R120" s="1269">
        <v>30</v>
      </c>
      <c r="S120" s="314">
        <v>30</v>
      </c>
      <c r="T120" s="1271">
        <v>29</v>
      </c>
      <c r="U120" s="633"/>
      <c r="V120" s="3"/>
    </row>
    <row r="121" spans="1:28" s="1" customFormat="1" ht="35.25" customHeight="1" x14ac:dyDescent="0.25">
      <c r="A121" s="225"/>
      <c r="B121" s="1766"/>
      <c r="C121" s="310"/>
      <c r="D121" s="2789" t="s">
        <v>127</v>
      </c>
      <c r="E121" s="1220"/>
      <c r="F121" s="1762"/>
      <c r="G121" s="28"/>
      <c r="H121" s="1445"/>
      <c r="I121" s="1488"/>
      <c r="J121" s="189"/>
      <c r="K121" s="188"/>
      <c r="L121" s="1488"/>
      <c r="M121" s="189"/>
      <c r="N121" s="188"/>
      <c r="O121" s="1488"/>
      <c r="P121" s="189"/>
      <c r="Q121" s="3171" t="s">
        <v>277</v>
      </c>
      <c r="R121" s="1270">
        <v>110</v>
      </c>
      <c r="S121" s="317">
        <v>120</v>
      </c>
      <c r="T121" s="1272">
        <v>130</v>
      </c>
      <c r="U121" s="1180"/>
    </row>
    <row r="122" spans="1:28" s="1" customFormat="1" ht="35.25" customHeight="1" x14ac:dyDescent="0.25">
      <c r="A122" s="924"/>
      <c r="B122" s="1781"/>
      <c r="C122" s="1810"/>
      <c r="D122" s="2933"/>
      <c r="E122" s="1811"/>
      <c r="F122" s="940"/>
      <c r="G122" s="35"/>
      <c r="H122" s="1812"/>
      <c r="I122" s="1736"/>
      <c r="J122" s="931"/>
      <c r="K122" s="70"/>
      <c r="L122" s="1503"/>
      <c r="M122" s="931"/>
      <c r="N122" s="70"/>
      <c r="O122" s="1503"/>
      <c r="P122" s="931"/>
      <c r="Q122" s="3172"/>
      <c r="R122" s="416"/>
      <c r="S122" s="67"/>
      <c r="T122" s="491"/>
      <c r="U122" s="35"/>
      <c r="Y122" s="251"/>
      <c r="Z122" s="251"/>
    </row>
    <row r="123" spans="1:28" s="1" customFormat="1" ht="27.75" customHeight="1" x14ac:dyDescent="0.25">
      <c r="A123" s="225"/>
      <c r="B123" s="1313"/>
      <c r="C123" s="1237"/>
      <c r="D123" s="2665" t="s">
        <v>128</v>
      </c>
      <c r="E123" s="1221"/>
      <c r="F123" s="1226"/>
      <c r="G123" s="28"/>
      <c r="H123" s="1458"/>
      <c r="I123" s="1514"/>
      <c r="J123" s="161"/>
      <c r="K123" s="160"/>
      <c r="L123" s="1545"/>
      <c r="M123" s="161"/>
      <c r="N123" s="160"/>
      <c r="O123" s="1545"/>
      <c r="P123" s="161"/>
      <c r="Q123" s="3173" t="s">
        <v>278</v>
      </c>
      <c r="R123" s="1269">
        <v>50</v>
      </c>
      <c r="S123" s="314">
        <v>50</v>
      </c>
      <c r="T123" s="1271">
        <v>40</v>
      </c>
      <c r="U123" s="633"/>
    </row>
    <row r="124" spans="1:28" s="1" customFormat="1" ht="27.75" customHeight="1" x14ac:dyDescent="0.25">
      <c r="A124" s="225"/>
      <c r="B124" s="1313"/>
      <c r="C124" s="1237"/>
      <c r="D124" s="2933"/>
      <c r="E124" s="1221"/>
      <c r="F124" s="1226"/>
      <c r="G124" s="28"/>
      <c r="H124" s="1458"/>
      <c r="I124" s="1514"/>
      <c r="J124" s="161"/>
      <c r="K124" s="160"/>
      <c r="L124" s="1545"/>
      <c r="M124" s="161"/>
      <c r="N124" s="160"/>
      <c r="O124" s="1545"/>
      <c r="P124" s="161"/>
      <c r="Q124" s="3173"/>
      <c r="R124" s="39"/>
      <c r="S124" s="40"/>
      <c r="T124" s="41"/>
      <c r="U124" s="28"/>
      <c r="X124" s="251"/>
    </row>
    <row r="125" spans="1:28" s="1" customFormat="1" ht="29.25" customHeight="1" x14ac:dyDescent="0.25">
      <c r="A125" s="225"/>
      <c r="B125" s="1313"/>
      <c r="C125" s="1326"/>
      <c r="D125" s="322" t="s">
        <v>129</v>
      </c>
      <c r="E125" s="1220"/>
      <c r="F125" s="1399"/>
      <c r="G125" s="28"/>
      <c r="H125" s="1458"/>
      <c r="I125" s="1514"/>
      <c r="J125" s="161"/>
      <c r="K125" s="160"/>
      <c r="L125" s="1545"/>
      <c r="M125" s="161"/>
      <c r="N125" s="160"/>
      <c r="O125" s="1545"/>
      <c r="P125" s="161"/>
      <c r="Q125" s="1590" t="s">
        <v>130</v>
      </c>
      <c r="R125" s="1270">
        <v>85</v>
      </c>
      <c r="S125" s="317">
        <v>86</v>
      </c>
      <c r="T125" s="1272">
        <v>87</v>
      </c>
      <c r="U125" s="1180"/>
      <c r="Y125" s="251"/>
    </row>
    <row r="126" spans="1:28" s="1" customFormat="1" ht="44.25" customHeight="1" x14ac:dyDescent="0.25">
      <c r="A126" s="225"/>
      <c r="B126" s="1200"/>
      <c r="C126" s="321"/>
      <c r="D126" s="1199" t="s">
        <v>131</v>
      </c>
      <c r="E126" s="1221"/>
      <c r="F126" s="1147"/>
      <c r="G126" s="312"/>
      <c r="H126" s="1459"/>
      <c r="I126" s="1515"/>
      <c r="J126" s="251"/>
      <c r="K126" s="1525"/>
      <c r="L126" s="1515"/>
      <c r="M126" s="1453"/>
      <c r="N126" s="1525"/>
      <c r="O126" s="1515"/>
      <c r="P126" s="1453"/>
      <c r="Q126" s="1561"/>
      <c r="R126" s="39"/>
      <c r="S126" s="40"/>
      <c r="T126" s="41"/>
      <c r="U126" s="28"/>
    </row>
    <row r="127" spans="1:28" s="1" customFormat="1" ht="41.25" customHeight="1" x14ac:dyDescent="0.25">
      <c r="A127" s="225"/>
      <c r="B127" s="1200"/>
      <c r="C127" s="321"/>
      <c r="D127" s="2789" t="s">
        <v>132</v>
      </c>
      <c r="E127" s="1221"/>
      <c r="F127" s="1147"/>
      <c r="G127" s="22" t="s">
        <v>68</v>
      </c>
      <c r="H127" s="1460">
        <v>120</v>
      </c>
      <c r="I127" s="1516">
        <v>120</v>
      </c>
      <c r="J127" s="323"/>
      <c r="K127" s="240">
        <v>120</v>
      </c>
      <c r="L127" s="1502">
        <v>120</v>
      </c>
      <c r="M127" s="323"/>
      <c r="N127" s="240">
        <v>120</v>
      </c>
      <c r="O127" s="1502">
        <v>120</v>
      </c>
      <c r="P127" s="323"/>
      <c r="Q127" s="3169" t="s">
        <v>133</v>
      </c>
      <c r="R127" s="1270">
        <v>100</v>
      </c>
      <c r="S127" s="317">
        <v>100</v>
      </c>
      <c r="T127" s="1272">
        <v>100</v>
      </c>
      <c r="U127" s="1180"/>
      <c r="W127" s="251"/>
      <c r="AB127" s="251"/>
    </row>
    <row r="128" spans="1:28" s="1" customFormat="1" ht="13.5" customHeight="1" thickBot="1" x14ac:dyDescent="0.3">
      <c r="A128" s="324"/>
      <c r="B128" s="1198"/>
      <c r="C128" s="325"/>
      <c r="D128" s="2666"/>
      <c r="E128" s="1222"/>
      <c r="F128" s="1148"/>
      <c r="G128" s="80" t="s">
        <v>36</v>
      </c>
      <c r="H128" s="81">
        <f>SUM(H118:H127)</f>
        <v>1362.1</v>
      </c>
      <c r="I128" s="1478">
        <f>SUM(I118:I127)</f>
        <v>1362.1</v>
      </c>
      <c r="J128" s="327">
        <f>SUM(J118:J127)</f>
        <v>0</v>
      </c>
      <c r="K128" s="75">
        <f t="shared" ref="K128:L128" si="20">SUM(K118:K127)</f>
        <v>873.5</v>
      </c>
      <c r="L128" s="1478">
        <f t="shared" si="20"/>
        <v>873.5</v>
      </c>
      <c r="M128" s="1534"/>
      <c r="N128" s="75">
        <f t="shared" ref="N128:O128" si="21">SUM(N118:N127)</f>
        <v>873.5</v>
      </c>
      <c r="O128" s="1478">
        <f t="shared" si="21"/>
        <v>873.5</v>
      </c>
      <c r="P128" s="1534"/>
      <c r="Q128" s="3170"/>
      <c r="R128" s="136"/>
      <c r="S128" s="329"/>
      <c r="T128" s="1273"/>
      <c r="U128" s="135"/>
      <c r="W128" s="251"/>
    </row>
    <row r="129" spans="1:22" s="1" customFormat="1" ht="54.75" customHeight="1" x14ac:dyDescent="0.25">
      <c r="A129" s="213" t="s">
        <v>22</v>
      </c>
      <c r="B129" s="1657" t="s">
        <v>56</v>
      </c>
      <c r="C129" s="1715" t="s">
        <v>54</v>
      </c>
      <c r="D129" s="1381" t="s">
        <v>134</v>
      </c>
      <c r="E129" s="1716"/>
      <c r="F129" s="1386"/>
      <c r="G129" s="332"/>
      <c r="H129" s="1461"/>
      <c r="I129" s="1517"/>
      <c r="J129" s="1183"/>
      <c r="K129" s="1542"/>
      <c r="L129" s="1509"/>
      <c r="M129" s="1587"/>
      <c r="N129" s="1542"/>
      <c r="O129" s="1509"/>
      <c r="P129" s="1792"/>
      <c r="Q129" s="539"/>
      <c r="R129" s="15"/>
      <c r="S129" s="16"/>
      <c r="T129" s="17"/>
      <c r="U129" s="1786"/>
    </row>
    <row r="130" spans="1:22" s="1" customFormat="1" ht="16.5" customHeight="1" x14ac:dyDescent="0.25">
      <c r="A130" s="336"/>
      <c r="B130" s="1200"/>
      <c r="C130" s="1384"/>
      <c r="D130" s="2965" t="s">
        <v>135</v>
      </c>
      <c r="E130" s="1216"/>
      <c r="F130" s="1356" t="s">
        <v>136</v>
      </c>
      <c r="G130" s="28" t="s">
        <v>52</v>
      </c>
      <c r="H130" s="1191">
        <v>400</v>
      </c>
      <c r="I130" s="1505">
        <v>400</v>
      </c>
      <c r="J130" s="168"/>
      <c r="K130" s="69">
        <v>400</v>
      </c>
      <c r="L130" s="1505">
        <v>400</v>
      </c>
      <c r="M130" s="1532"/>
      <c r="N130" s="69">
        <v>400</v>
      </c>
      <c r="O130" s="1505">
        <v>400</v>
      </c>
      <c r="P130" s="1793"/>
      <c r="Q130" s="128" t="s">
        <v>279</v>
      </c>
      <c r="R130" s="409">
        <v>8</v>
      </c>
      <c r="S130" s="340">
        <v>8</v>
      </c>
      <c r="T130" s="1274">
        <v>8</v>
      </c>
      <c r="U130" s="951"/>
    </row>
    <row r="131" spans="1:22" s="1" customFormat="1" ht="16.5" customHeight="1" thickBot="1" x14ac:dyDescent="0.3">
      <c r="A131" s="324"/>
      <c r="B131" s="1198"/>
      <c r="C131" s="1385"/>
      <c r="D131" s="2966"/>
      <c r="E131" s="1222"/>
      <c r="F131" s="342"/>
      <c r="G131" s="80" t="s">
        <v>36</v>
      </c>
      <c r="H131" s="81">
        <f>SUM(H130:H130)</f>
        <v>400</v>
      </c>
      <c r="I131" s="1478">
        <f>SUM(I130:I130)</f>
        <v>400</v>
      </c>
      <c r="J131" s="206">
        <f>SUM(J130)</f>
        <v>0</v>
      </c>
      <c r="K131" s="75">
        <f>SUM(K130)</f>
        <v>400</v>
      </c>
      <c r="L131" s="1478">
        <f>SUM(L130)</f>
        <v>400</v>
      </c>
      <c r="M131" s="1416"/>
      <c r="N131" s="75">
        <f>SUM(N130)</f>
        <v>400</v>
      </c>
      <c r="O131" s="1478">
        <f>SUM(O130)</f>
        <v>400</v>
      </c>
      <c r="P131" s="1418"/>
      <c r="Q131" s="82"/>
      <c r="R131" s="136"/>
      <c r="S131" s="329"/>
      <c r="T131" s="1273"/>
      <c r="U131" s="135"/>
    </row>
    <row r="132" spans="1:22" s="2" customFormat="1" ht="16.5" customHeight="1" thickBot="1" x14ac:dyDescent="0.35">
      <c r="A132" s="7" t="s">
        <v>22</v>
      </c>
      <c r="B132" s="8" t="s">
        <v>56</v>
      </c>
      <c r="C132" s="2671" t="s">
        <v>62</v>
      </c>
      <c r="D132" s="2671"/>
      <c r="E132" s="2671"/>
      <c r="F132" s="2671"/>
      <c r="G132" s="2671"/>
      <c r="H132" s="1462">
        <f>H131+H128+H117</f>
        <v>3340.6</v>
      </c>
      <c r="I132" s="1518">
        <f>I131+I128+I117</f>
        <v>3340.6</v>
      </c>
      <c r="J132" s="1184">
        <f>J131+J128+J117</f>
        <v>0</v>
      </c>
      <c r="K132" s="343">
        <f>K131+K128+K117</f>
        <v>3641.2999999999997</v>
      </c>
      <c r="L132" s="1518">
        <f>L131+L128+L117</f>
        <v>3641.2999999999997</v>
      </c>
      <c r="M132" s="1454"/>
      <c r="N132" s="343">
        <f>N131+N128+N117</f>
        <v>2062.8000000000002</v>
      </c>
      <c r="O132" s="1518">
        <f>O131+O128+O117</f>
        <v>2062.8000000000002</v>
      </c>
      <c r="P132" s="1184"/>
      <c r="Q132" s="2672"/>
      <c r="R132" s="2673"/>
      <c r="S132" s="2673"/>
      <c r="T132" s="2673"/>
      <c r="U132" s="2674"/>
    </row>
    <row r="133" spans="1:22" s="1" customFormat="1" ht="16.5" customHeight="1" thickBot="1" x14ac:dyDescent="0.3">
      <c r="A133" s="1151" t="s">
        <v>22</v>
      </c>
      <c r="B133" s="344"/>
      <c r="C133" s="2952" t="s">
        <v>137</v>
      </c>
      <c r="D133" s="2952"/>
      <c r="E133" s="2952"/>
      <c r="F133" s="2952"/>
      <c r="G133" s="2952"/>
      <c r="H133" s="1463">
        <f t="shared" ref="H133:P133" si="22">H132+H112+H86+H40</f>
        <v>32070.5</v>
      </c>
      <c r="I133" s="1519">
        <f t="shared" si="22"/>
        <v>32473</v>
      </c>
      <c r="J133" s="1185">
        <f t="shared" si="22"/>
        <v>402.49999999999937</v>
      </c>
      <c r="K133" s="345">
        <f t="shared" si="22"/>
        <v>32606.2</v>
      </c>
      <c r="L133" s="1519">
        <f t="shared" si="22"/>
        <v>32833.300000000003</v>
      </c>
      <c r="M133" s="1519">
        <f t="shared" si="22"/>
        <v>78.099999999999994</v>
      </c>
      <c r="N133" s="345">
        <f t="shared" si="22"/>
        <v>31395.5</v>
      </c>
      <c r="O133" s="1519">
        <f t="shared" si="22"/>
        <v>31580.199999999997</v>
      </c>
      <c r="P133" s="1794">
        <f t="shared" si="22"/>
        <v>184.7</v>
      </c>
      <c r="Q133" s="2953"/>
      <c r="R133" s="2954"/>
      <c r="S133" s="2954"/>
      <c r="T133" s="2954"/>
      <c r="U133" s="2955"/>
    </row>
    <row r="134" spans="1:22" s="2" customFormat="1" ht="16.5" customHeight="1" thickBot="1" x14ac:dyDescent="0.35">
      <c r="A134" s="346" t="s">
        <v>138</v>
      </c>
      <c r="B134" s="2956" t="s">
        <v>139</v>
      </c>
      <c r="C134" s="2957"/>
      <c r="D134" s="2957"/>
      <c r="E134" s="2957"/>
      <c r="F134" s="2957"/>
      <c r="G134" s="2957"/>
      <c r="H134" s="1464">
        <f t="shared" ref="H134" si="23">H133</f>
        <v>32070.5</v>
      </c>
      <c r="I134" s="1520">
        <f t="shared" ref="I134:K134" si="24">I133</f>
        <v>32473</v>
      </c>
      <c r="J134" s="1186">
        <f t="shared" si="24"/>
        <v>402.49999999999937</v>
      </c>
      <c r="K134" s="347">
        <f t="shared" si="24"/>
        <v>32606.2</v>
      </c>
      <c r="L134" s="1520">
        <f t="shared" ref="L134:M134" si="25">L133</f>
        <v>32833.300000000003</v>
      </c>
      <c r="M134" s="1520">
        <f t="shared" si="25"/>
        <v>78.099999999999994</v>
      </c>
      <c r="N134" s="347">
        <f t="shared" ref="N134:P134" si="26">N133</f>
        <v>31395.5</v>
      </c>
      <c r="O134" s="1520">
        <f t="shared" si="26"/>
        <v>31580.199999999997</v>
      </c>
      <c r="P134" s="1795">
        <f t="shared" si="26"/>
        <v>184.7</v>
      </c>
      <c r="Q134" s="2958"/>
      <c r="R134" s="2959"/>
      <c r="S134" s="2959"/>
      <c r="T134" s="2959"/>
      <c r="U134" s="2960"/>
      <c r="V134" s="3"/>
    </row>
    <row r="135" spans="1:22" s="251" customFormat="1" ht="24" customHeight="1" thickBot="1" x14ac:dyDescent="0.3">
      <c r="A135" s="3175" t="s">
        <v>141</v>
      </c>
      <c r="B135" s="3175"/>
      <c r="C135" s="3175"/>
      <c r="D135" s="3175"/>
      <c r="E135" s="3175"/>
      <c r="F135" s="3175"/>
      <c r="G135" s="3175"/>
      <c r="H135" s="3175"/>
      <c r="I135" s="3175"/>
      <c r="J135" s="3175"/>
      <c r="K135" s="3175"/>
      <c r="L135" s="3175"/>
      <c r="M135" s="3175"/>
      <c r="N135" s="3175"/>
      <c r="O135" s="3175"/>
      <c r="P135" s="3175"/>
      <c r="Q135" s="352"/>
      <c r="R135" s="352"/>
      <c r="S135" s="352"/>
      <c r="T135" s="352"/>
      <c r="U135" s="352"/>
    </row>
    <row r="136" spans="1:22" s="141" customFormat="1" ht="58.5" customHeight="1" thickBot="1" x14ac:dyDescent="0.35">
      <c r="A136" s="3161" t="s">
        <v>142</v>
      </c>
      <c r="B136" s="3162"/>
      <c r="C136" s="3162"/>
      <c r="D136" s="3162"/>
      <c r="E136" s="3162"/>
      <c r="F136" s="3162"/>
      <c r="G136" s="3163"/>
      <c r="H136" s="1717" t="s">
        <v>143</v>
      </c>
      <c r="I136" s="1618" t="s">
        <v>310</v>
      </c>
      <c r="J136" s="1189" t="s">
        <v>309</v>
      </c>
      <c r="K136" s="1614" t="s">
        <v>347</v>
      </c>
      <c r="L136" s="1618" t="s">
        <v>310</v>
      </c>
      <c r="M136" s="1189" t="s">
        <v>309</v>
      </c>
      <c r="N136" s="1614" t="s">
        <v>348</v>
      </c>
      <c r="O136" s="1618" t="s">
        <v>310</v>
      </c>
      <c r="P136" s="1189" t="s">
        <v>309</v>
      </c>
      <c r="Q136" s="1143"/>
      <c r="R136" s="1203"/>
      <c r="S136" s="1243"/>
      <c r="T136" s="1243"/>
      <c r="U136" s="1143"/>
    </row>
    <row r="137" spans="1:22" s="2" customFormat="1" ht="15" customHeight="1" thickBot="1" x14ac:dyDescent="0.35">
      <c r="A137" s="3182" t="s">
        <v>144</v>
      </c>
      <c r="B137" s="3183"/>
      <c r="C137" s="3183"/>
      <c r="D137" s="3183"/>
      <c r="E137" s="3183"/>
      <c r="F137" s="3183"/>
      <c r="G137" s="3184"/>
      <c r="H137" s="1718">
        <f t="shared" ref="H137:O137" si="27">SUM(H138:H142)</f>
        <v>15550.5</v>
      </c>
      <c r="I137" s="1619">
        <f t="shared" si="27"/>
        <v>15941.000000000002</v>
      </c>
      <c r="J137" s="1615">
        <f t="shared" si="27"/>
        <v>390.49999999999932</v>
      </c>
      <c r="K137" s="356">
        <f t="shared" si="27"/>
        <v>14919.699999999999</v>
      </c>
      <c r="L137" s="1619">
        <f t="shared" si="27"/>
        <v>15110.799999999997</v>
      </c>
      <c r="M137" s="1615">
        <f t="shared" si="27"/>
        <v>42.099999999999994</v>
      </c>
      <c r="N137" s="356">
        <f t="shared" si="27"/>
        <v>14374.199999999995</v>
      </c>
      <c r="O137" s="1619">
        <f t="shared" si="27"/>
        <v>14496.599999999995</v>
      </c>
      <c r="P137" s="1615">
        <f>SUM(P138:P141)</f>
        <v>122.4</v>
      </c>
      <c r="Q137" s="1142"/>
      <c r="R137" s="1202"/>
      <c r="S137" s="1242"/>
      <c r="T137" s="1242"/>
      <c r="U137" s="1142"/>
    </row>
    <row r="138" spans="1:22" s="2" customFormat="1" ht="15" customHeight="1" x14ac:dyDescent="0.3">
      <c r="A138" s="2621" t="s">
        <v>145</v>
      </c>
      <c r="B138" s="2622"/>
      <c r="C138" s="2622"/>
      <c r="D138" s="2622"/>
      <c r="E138" s="2622"/>
      <c r="F138" s="2622"/>
      <c r="G138" s="3177"/>
      <c r="H138" s="1296">
        <f>SUMIF(G13:G130,"sb",H13:H130)</f>
        <v>9709.6</v>
      </c>
      <c r="I138" s="1620">
        <f>SUMIF(G13:G130,"sb",I13:I130)</f>
        <v>9692.4000000000015</v>
      </c>
      <c r="J138" s="1616">
        <f>SUMIF(G13:G130,"sb",J13:J130)</f>
        <v>-17.200000000000937</v>
      </c>
      <c r="K138" s="1296">
        <f>SUMIF(G13:G130,"sb",K13:K130)</f>
        <v>9368.7999999999993</v>
      </c>
      <c r="L138" s="1620">
        <f>SUMIF(G13:G130,"sb",L13:L130)</f>
        <v>9410.8999999999978</v>
      </c>
      <c r="M138" s="1616">
        <f>SUMIF(G13:G130,"sb",M13:M130)</f>
        <v>42.099999999999994</v>
      </c>
      <c r="N138" s="1296">
        <f>SUMIF(G13:G130,"sb",N13:N130)</f>
        <v>8823.5999999999967</v>
      </c>
      <c r="O138" s="1620">
        <f>SUMIF(G13:G130,"sb",O13:O130)</f>
        <v>8796.9999999999964</v>
      </c>
      <c r="P138" s="1616">
        <f>SUMIF(G13:G130,"sb",P13:P130)</f>
        <v>-26.6</v>
      </c>
      <c r="Q138" s="1141"/>
      <c r="R138" s="1201"/>
      <c r="S138" s="1241"/>
      <c r="T138" s="1241"/>
      <c r="U138" s="1141"/>
    </row>
    <row r="139" spans="1:22" s="2" customFormat="1" ht="15" customHeight="1" x14ac:dyDescent="0.3">
      <c r="A139" s="2618" t="s">
        <v>146</v>
      </c>
      <c r="B139" s="2619"/>
      <c r="C139" s="2619"/>
      <c r="D139" s="2619"/>
      <c r="E139" s="2619"/>
      <c r="F139" s="2619"/>
      <c r="G139" s="3176"/>
      <c r="H139" s="1297">
        <f>SUMIF(G13:G128,"sb(sp)",H13:H128)</f>
        <v>1447.6</v>
      </c>
      <c r="I139" s="1621">
        <f>SUMIF(G13:G130,"sb(sp)",I13:I130)</f>
        <v>1486.9</v>
      </c>
      <c r="J139" s="360">
        <f>SUMIF(G13:G130,"sb(sp)",J13:J130)</f>
        <v>39.299999999999955</v>
      </c>
      <c r="K139" s="1297">
        <f>SUMIF(G13:G128,"sb(sp)",K13:K128)</f>
        <v>1441.6</v>
      </c>
      <c r="L139" s="1621">
        <f>SUMIF(G13:G130,"sb(sp)",L13:L130)</f>
        <v>1441.6</v>
      </c>
      <c r="M139" s="360">
        <f>SUMIF(J13:J130,"sb(sp)",M13:M130)</f>
        <v>0</v>
      </c>
      <c r="N139" s="1297">
        <f>SUMIF(G13:G128,"sb(sp)",N13:N128)</f>
        <v>1441.3</v>
      </c>
      <c r="O139" s="1621">
        <f>SUMIF(G13:G130,"sb(sp)",O13:O130)</f>
        <v>1441.3</v>
      </c>
      <c r="P139" s="360">
        <f>SUMIF(G13:G130,"sb(sp)",P13:P130)</f>
        <v>0</v>
      </c>
      <c r="Q139" s="1141"/>
      <c r="R139" s="1201"/>
      <c r="S139" s="1241"/>
      <c r="T139" s="1241"/>
      <c r="U139" s="1141"/>
    </row>
    <row r="140" spans="1:22" s="2" customFormat="1" ht="15" customHeight="1" x14ac:dyDescent="0.3">
      <c r="A140" s="2618" t="s">
        <v>260</v>
      </c>
      <c r="B140" s="2619"/>
      <c r="C140" s="2619"/>
      <c r="D140" s="2619"/>
      <c r="E140" s="2619"/>
      <c r="F140" s="2619"/>
      <c r="G140" s="3176"/>
      <c r="H140" s="1297">
        <f>SUMIF(G13:G130,"sb(spl)",H13:H130)</f>
        <v>554.5</v>
      </c>
      <c r="I140" s="1621">
        <f>SUMIF(G13:G130,"sb(spl)",I13:I130)</f>
        <v>554.5</v>
      </c>
      <c r="J140" s="360">
        <f>SUMIF(G13:G130,"sb(spl)",J13:J130)</f>
        <v>0</v>
      </c>
      <c r="K140" s="1297">
        <f>SUMIF(G13:G130,"sb(spl)",K13:K130)</f>
        <v>0</v>
      </c>
      <c r="L140" s="1621">
        <f>SUMIF(G13:G130,"sb(spl)",L13:L130)</f>
        <v>0</v>
      </c>
      <c r="M140" s="360">
        <f>SUMIF(J13:J130,"sb(spl)",M13:M130)</f>
        <v>0</v>
      </c>
      <c r="N140" s="1297">
        <f>SUMIF(G13:G130,"sb(spl)",N13:N130)</f>
        <v>0</v>
      </c>
      <c r="O140" s="1621">
        <f>SUMIF(G13:G130,"sb(spl)",O13:O130)</f>
        <v>0</v>
      </c>
      <c r="P140" s="360">
        <f>SUMIF(G13:G130,"sb(spl)",P13:P130)</f>
        <v>0</v>
      </c>
      <c r="Q140" s="1173"/>
      <c r="R140" s="1201"/>
      <c r="S140" s="1241"/>
      <c r="T140" s="1241"/>
      <c r="U140" s="1173"/>
    </row>
    <row r="141" spans="1:22" s="2" customFormat="1" ht="15" customHeight="1" x14ac:dyDescent="0.3">
      <c r="A141" s="2618" t="s">
        <v>147</v>
      </c>
      <c r="B141" s="2619"/>
      <c r="C141" s="2619"/>
      <c r="D141" s="2619"/>
      <c r="E141" s="2619"/>
      <c r="F141" s="2619"/>
      <c r="G141" s="3176"/>
      <c r="H141" s="1297">
        <f>SUMIF(G13:G130,"sb(vb)",H13:H130)</f>
        <v>3740.9999999999995</v>
      </c>
      <c r="I141" s="1621">
        <f>SUMIF(G13:G130,"sb(vb)",I13:I130)</f>
        <v>4108.5</v>
      </c>
      <c r="J141" s="360">
        <f>SUMIF(G13:G130,"sb(vb)",J13:J130)</f>
        <v>367.50000000000028</v>
      </c>
      <c r="K141" s="1297">
        <f>SUMIF(G13:G130,"sb(vb)",K13:K130)</f>
        <v>4109.2999999999993</v>
      </c>
      <c r="L141" s="1621">
        <f>SUMIF(G13:G130,"sb(vb)",L13:L130)</f>
        <v>4258.2999999999993</v>
      </c>
      <c r="M141" s="360">
        <f>SUMIF(J13:J130,"sb(vb)",M13:M130)</f>
        <v>0</v>
      </c>
      <c r="N141" s="1297">
        <f>SUMIF(G13:G130,"sb(vb)",N13:N130)</f>
        <v>4109.2999999999993</v>
      </c>
      <c r="O141" s="1621">
        <f>SUMIF(G13:G130,"sb(vb)",O13:O130)</f>
        <v>4258.2999999999993</v>
      </c>
      <c r="P141" s="360">
        <f>SUMIF(G13:G130,"sb(vb)",P13:P130)</f>
        <v>149</v>
      </c>
      <c r="Q141" s="1141"/>
      <c r="R141" s="1201"/>
      <c r="S141" s="1241"/>
      <c r="T141" s="1241"/>
      <c r="U141" s="1141"/>
    </row>
    <row r="142" spans="1:22" s="2" customFormat="1" ht="15" customHeight="1" thickBot="1" x14ac:dyDescent="0.35">
      <c r="A142" s="2652" t="s">
        <v>335</v>
      </c>
      <c r="B142" s="2653"/>
      <c r="C142" s="2653"/>
      <c r="D142" s="2653"/>
      <c r="E142" s="2653"/>
      <c r="F142" s="2653"/>
      <c r="G142" s="3178"/>
      <c r="H142" s="1298">
        <f>SUMIF(G13:G130,"sb(es)",H13:H130)</f>
        <v>97.8</v>
      </c>
      <c r="I142" s="1622">
        <f>SUMIF(G13:G130,"sb(es)",I13:I130)</f>
        <v>98.7</v>
      </c>
      <c r="J142" s="1299">
        <f>SUMIF(G13:G130,"sb(es)",J13:J130)</f>
        <v>0.90000000000000568</v>
      </c>
      <c r="K142" s="1298">
        <f>SUMIF(G13:G130,"sb(es)",K13:K130)</f>
        <v>0</v>
      </c>
      <c r="L142" s="1622">
        <f>SUMIF(J13:J130,"sb(es)",L13:L130)</f>
        <v>0</v>
      </c>
      <c r="M142" s="1299">
        <f>SUMIF(J13:J130,"sb(es)",M13:M130)</f>
        <v>0</v>
      </c>
      <c r="N142" s="1298">
        <f>SUMIF(G13:G130,"sb(es)",N13:N130)</f>
        <v>0</v>
      </c>
      <c r="O142" s="1622">
        <f>SUMIF(G13:G130,"sb(es)",O13:O130)</f>
        <v>0</v>
      </c>
      <c r="P142" s="1299">
        <f>SUMIF(G13:G130,"sb(es)",P13:P130)</f>
        <v>0</v>
      </c>
      <c r="Q142" s="1294"/>
      <c r="R142" s="1294"/>
      <c r="S142" s="1294"/>
      <c r="T142" s="1294"/>
      <c r="U142" s="1294"/>
    </row>
    <row r="143" spans="1:22" s="2" customFormat="1" ht="15" customHeight="1" thickBot="1" x14ac:dyDescent="0.35">
      <c r="A143" s="3182" t="s">
        <v>148</v>
      </c>
      <c r="B143" s="3183"/>
      <c r="C143" s="3183"/>
      <c r="D143" s="3183"/>
      <c r="E143" s="3183"/>
      <c r="F143" s="3183"/>
      <c r="G143" s="3184"/>
      <c r="H143" s="1718">
        <f>SUM(H144:H146)</f>
        <v>16520</v>
      </c>
      <c r="I143" s="1619">
        <f>SUM(I144:I146)</f>
        <v>16532</v>
      </c>
      <c r="J143" s="1615">
        <f>J144+J145+J146</f>
        <v>12</v>
      </c>
      <c r="K143" s="356">
        <f>SUM(K144:K146)</f>
        <v>17686.5</v>
      </c>
      <c r="L143" s="1619">
        <f>SUM(L144:L146)</f>
        <v>17722.5</v>
      </c>
      <c r="M143" s="1615">
        <f>M144+M145+M146</f>
        <v>36</v>
      </c>
      <c r="N143" s="356">
        <f>SUM(N144:N146)</f>
        <v>17021.3</v>
      </c>
      <c r="O143" s="1619">
        <f>SUM(O144:O146)</f>
        <v>17083.599999999999</v>
      </c>
      <c r="P143" s="1615">
        <f>P144+P145+P146</f>
        <v>62.299999999999983</v>
      </c>
      <c r="Q143" s="1142"/>
      <c r="R143" s="1202"/>
      <c r="S143" s="1242"/>
      <c r="T143" s="1242"/>
      <c r="U143" s="1142"/>
    </row>
    <row r="144" spans="1:22" s="2" customFormat="1" ht="15" customHeight="1" x14ac:dyDescent="0.3">
      <c r="A144" s="3179" t="s">
        <v>149</v>
      </c>
      <c r="B144" s="3180"/>
      <c r="C144" s="3180"/>
      <c r="D144" s="3180"/>
      <c r="E144" s="3180"/>
      <c r="F144" s="3180"/>
      <c r="G144" s="3181"/>
      <c r="H144" s="1296">
        <f>SUMIF(G13:G130,"es",H13:H130)</f>
        <v>1341.7</v>
      </c>
      <c r="I144" s="1622">
        <f>SUMIF(G13:G128,"es",I13:I128)</f>
        <v>1341.7</v>
      </c>
      <c r="J144" s="1299">
        <f>SUMIF(G13:G128,"es",J13:J128)</f>
        <v>0</v>
      </c>
      <c r="K144" s="358">
        <f>SUMIF(G13:G130,"es",K13:K130)</f>
        <v>2518.5</v>
      </c>
      <c r="L144" s="1622">
        <f>SUMIF(G13:G128,"es",L13:L128)</f>
        <v>2518.5</v>
      </c>
      <c r="M144" s="1299">
        <f>SUMIF(J13:J128,"es",M13:M128)</f>
        <v>0</v>
      </c>
      <c r="N144" s="358">
        <f>SUMIF(G13:G130,"es",N13:N130)</f>
        <v>1863.8000000000002</v>
      </c>
      <c r="O144" s="1622">
        <f>SUMIF(G13:G128,"es",O13:O128)</f>
        <v>1891.1</v>
      </c>
      <c r="P144" s="1299">
        <f>SUMIF(G13:G128,"es",P13:P128)</f>
        <v>27.299999999999983</v>
      </c>
      <c r="Q144" s="1141"/>
      <c r="R144" s="1201"/>
      <c r="S144" s="1241"/>
      <c r="T144" s="1241"/>
      <c r="U144" s="1141"/>
    </row>
    <row r="145" spans="1:21" s="2" customFormat="1" ht="15" customHeight="1" x14ac:dyDescent="0.3">
      <c r="A145" s="2618" t="s">
        <v>150</v>
      </c>
      <c r="B145" s="2619"/>
      <c r="C145" s="2619"/>
      <c r="D145" s="2619"/>
      <c r="E145" s="2619"/>
      <c r="F145" s="2619"/>
      <c r="G145" s="3176"/>
      <c r="H145" s="1297">
        <f>SUMIF(G13:G130,"lrvb",H13:H130)</f>
        <v>15176.800000000001</v>
      </c>
      <c r="I145" s="1621">
        <f>SUMIF(G13:G130,"lrvb",I13:I130)</f>
        <v>15188.800000000001</v>
      </c>
      <c r="J145" s="360">
        <f>SUMIF(G13:G130,"lrvb",J13:J130)</f>
        <v>12</v>
      </c>
      <c r="K145" s="359">
        <f>SUMIF(G13:G130,"lrvb",K13:K130)</f>
        <v>15166.400000000001</v>
      </c>
      <c r="L145" s="1621">
        <f>SUMIF(G13:G130,"lrvb",L13:L130)</f>
        <v>15202.400000000001</v>
      </c>
      <c r="M145" s="360">
        <f>SUMIF(G13:G130,"lrvb",M13:M130)</f>
        <v>36</v>
      </c>
      <c r="N145" s="359">
        <f>SUMIF(G13:G130,"lrvb",N13:N130)</f>
        <v>15155.900000000001</v>
      </c>
      <c r="O145" s="1621">
        <f>SUMIF(G13:G130,"lrvb",O13:O130)</f>
        <v>15190.900000000001</v>
      </c>
      <c r="P145" s="360">
        <f>SUMIF(G13:G130,"lrvb",P13:P130)</f>
        <v>35</v>
      </c>
      <c r="Q145" s="361"/>
      <c r="R145" s="1201"/>
      <c r="S145" s="1241"/>
      <c r="T145" s="1241"/>
      <c r="U145" s="1141"/>
    </row>
    <row r="146" spans="1:21" s="2" customFormat="1" ht="15" customHeight="1" thickBot="1" x14ac:dyDescent="0.35">
      <c r="A146" s="2652" t="s">
        <v>151</v>
      </c>
      <c r="B146" s="2653"/>
      <c r="C146" s="2653"/>
      <c r="D146" s="2653"/>
      <c r="E146" s="2653"/>
      <c r="F146" s="2653"/>
      <c r="G146" s="3178"/>
      <c r="H146" s="1719">
        <f>SUMIF(G13:G130,"kt",H13:H130)</f>
        <v>1.5</v>
      </c>
      <c r="I146" s="1622">
        <f>SUMIF(G13:G128,"kt",I13:I128)</f>
        <v>1.5</v>
      </c>
      <c r="J146" s="1299">
        <f>SUMIF(G13:G128,"kt",J13:J128)</f>
        <v>0</v>
      </c>
      <c r="K146" s="362">
        <f>SUMIF(G13:G130,"kt",K13:K130)</f>
        <v>1.6</v>
      </c>
      <c r="L146" s="1622">
        <f>SUMIF(G13:G128,"kt",L13:L128)</f>
        <v>1.6</v>
      </c>
      <c r="M146" s="1299">
        <f>SUMIF(J13:J128,"kt",M13:M128)</f>
        <v>0</v>
      </c>
      <c r="N146" s="362">
        <f>SUMIF(G13:G130,"kt",N13:N130)</f>
        <v>1.6</v>
      </c>
      <c r="O146" s="1622">
        <f>SUMIF(G13:G128,"kt",O13:O128)</f>
        <v>1.6</v>
      </c>
      <c r="P146" s="1299">
        <f>SUMIF(G13:G128,"kt",P13:P128)</f>
        <v>0</v>
      </c>
      <c r="Q146" s="361"/>
      <c r="R146" s="1201"/>
      <c r="S146" s="1241"/>
      <c r="T146" s="1241"/>
      <c r="U146" s="1141"/>
    </row>
    <row r="147" spans="1:21" s="2" customFormat="1" ht="15" customHeight="1" thickBot="1" x14ac:dyDescent="0.35">
      <c r="A147" s="2655" t="s">
        <v>152</v>
      </c>
      <c r="B147" s="2656"/>
      <c r="C147" s="2656"/>
      <c r="D147" s="2656"/>
      <c r="E147" s="2656"/>
      <c r="F147" s="2656"/>
      <c r="G147" s="3174"/>
      <c r="H147" s="1720">
        <f>H143+H137</f>
        <v>32070.5</v>
      </c>
      <c r="I147" s="1623">
        <f>I137+I143</f>
        <v>32473</v>
      </c>
      <c r="J147" s="1617">
        <f>J137+J143</f>
        <v>402.49999999999932</v>
      </c>
      <c r="K147" s="363">
        <f>K143+K137</f>
        <v>32606.199999999997</v>
      </c>
      <c r="L147" s="1623">
        <f>L137+L143</f>
        <v>32833.299999999996</v>
      </c>
      <c r="M147" s="1617">
        <f>M137+M143</f>
        <v>78.099999999999994</v>
      </c>
      <c r="N147" s="363">
        <f>N143+N137</f>
        <v>31395.499999999993</v>
      </c>
      <c r="O147" s="1623">
        <f>O137+O143</f>
        <v>31580.199999999993</v>
      </c>
      <c r="P147" s="1617">
        <f>P137+P143</f>
        <v>184.7</v>
      </c>
      <c r="Q147" s="364"/>
      <c r="R147" s="1202"/>
      <c r="S147" s="1242"/>
      <c r="T147" s="1242"/>
      <c r="U147" s="1142"/>
    </row>
    <row r="148" spans="1:21" s="1" customFormat="1" ht="16.5" customHeight="1" x14ac:dyDescent="0.25">
      <c r="B148" s="365"/>
      <c r="C148" s="366"/>
      <c r="D148" s="367"/>
      <c r="E148" s="367"/>
      <c r="F148" s="369"/>
      <c r="G148" s="370"/>
      <c r="H148" s="1041"/>
      <c r="I148" s="1042"/>
      <c r="J148" s="1042"/>
      <c r="K148" s="1042"/>
      <c r="L148" s="1042"/>
      <c r="M148" s="1042"/>
      <c r="N148" s="1042"/>
      <c r="O148" s="1042"/>
      <c r="P148" s="1042"/>
      <c r="Q148" s="371"/>
      <c r="R148" s="370"/>
      <c r="S148" s="370"/>
      <c r="T148" s="370"/>
      <c r="U148" s="370"/>
    </row>
    <row r="149" spans="1:21" x14ac:dyDescent="0.3">
      <c r="H149" s="1754"/>
      <c r="I149" s="1300"/>
      <c r="J149" s="1300"/>
      <c r="M149" s="1196"/>
      <c r="N149" s="1196"/>
      <c r="O149" s="1196"/>
      <c r="P149" s="1196"/>
    </row>
    <row r="150" spans="1:21" x14ac:dyDescent="0.3">
      <c r="H150" s="1754"/>
      <c r="I150" s="1300"/>
      <c r="J150" s="1300"/>
      <c r="K150" s="1300"/>
      <c r="L150" s="1300"/>
      <c r="M150" s="1195"/>
      <c r="N150" s="1195"/>
      <c r="O150" s="1195"/>
      <c r="P150" s="1195"/>
    </row>
    <row r="151" spans="1:21" x14ac:dyDescent="0.3">
      <c r="H151" s="1754"/>
      <c r="I151" s="1300"/>
    </row>
  </sheetData>
  <mergeCells count="199">
    <mergeCell ref="Q20:Q21"/>
    <mergeCell ref="D22:D23"/>
    <mergeCell ref="Q22:Q23"/>
    <mergeCell ref="E20:E21"/>
    <mergeCell ref="E24:E25"/>
    <mergeCell ref="E26:E27"/>
    <mergeCell ref="C83:C84"/>
    <mergeCell ref="C12:U12"/>
    <mergeCell ref="D14:D16"/>
    <mergeCell ref="Q18:Q19"/>
    <mergeCell ref="D20:D21"/>
    <mergeCell ref="D24:D25"/>
    <mergeCell ref="Q24:Q25"/>
    <mergeCell ref="U20:U21"/>
    <mergeCell ref="U24:U25"/>
    <mergeCell ref="U14:U16"/>
    <mergeCell ref="S22:S23"/>
    <mergeCell ref="T22:T23"/>
    <mergeCell ref="R22:R23"/>
    <mergeCell ref="Q38:Q39"/>
    <mergeCell ref="Q28:Q29"/>
    <mergeCell ref="D33:G33"/>
    <mergeCell ref="R36:R37"/>
    <mergeCell ref="T36:T37"/>
    <mergeCell ref="D6:D8"/>
    <mergeCell ref="E6:E8"/>
    <mergeCell ref="F6:F8"/>
    <mergeCell ref="R7:T7"/>
    <mergeCell ref="Q6:T6"/>
    <mergeCell ref="U6:U8"/>
    <mergeCell ref="G6:G8"/>
    <mergeCell ref="H6:H8"/>
    <mergeCell ref="I6:I8"/>
    <mergeCell ref="J6:J8"/>
    <mergeCell ref="L6:L8"/>
    <mergeCell ref="Q7:Q8"/>
    <mergeCell ref="M6:M8"/>
    <mergeCell ref="N6:N8"/>
    <mergeCell ref="O6:O8"/>
    <mergeCell ref="K6:K8"/>
    <mergeCell ref="Q1:U1"/>
    <mergeCell ref="D69:D70"/>
    <mergeCell ref="D81:D82"/>
    <mergeCell ref="F81:F82"/>
    <mergeCell ref="D127:D128"/>
    <mergeCell ref="Q127:Q128"/>
    <mergeCell ref="C112:G112"/>
    <mergeCell ref="Q112:U112"/>
    <mergeCell ref="C113:U113"/>
    <mergeCell ref="Q71:Q72"/>
    <mergeCell ref="E71:E73"/>
    <mergeCell ref="R47:R48"/>
    <mergeCell ref="U76:U77"/>
    <mergeCell ref="A2:U2"/>
    <mergeCell ref="A3:U3"/>
    <mergeCell ref="A4:U4"/>
    <mergeCell ref="A5:U5"/>
    <mergeCell ref="A6:A8"/>
    <mergeCell ref="B6:B8"/>
    <mergeCell ref="C6:C8"/>
    <mergeCell ref="P6:P8"/>
    <mergeCell ref="D115:D117"/>
    <mergeCell ref="E115:E116"/>
    <mergeCell ref="D118:D119"/>
    <mergeCell ref="D76:D77"/>
    <mergeCell ref="E76:E77"/>
    <mergeCell ref="C87:U87"/>
    <mergeCell ref="U105:U107"/>
    <mergeCell ref="F108:F109"/>
    <mergeCell ref="U108:U110"/>
    <mergeCell ref="K99:K100"/>
    <mergeCell ref="D97:D98"/>
    <mergeCell ref="D78:D80"/>
    <mergeCell ref="E108:E110"/>
    <mergeCell ref="U88:U92"/>
    <mergeCell ref="U93:U99"/>
    <mergeCell ref="Q109:Q110"/>
    <mergeCell ref="R109:R110"/>
    <mergeCell ref="A9:U9"/>
    <mergeCell ref="A10:U10"/>
    <mergeCell ref="B11:U11"/>
    <mergeCell ref="B34:B35"/>
    <mergeCell ref="C34:C35"/>
    <mergeCell ref="U28:U33"/>
    <mergeCell ref="D56:D57"/>
    <mergeCell ref="U22:U23"/>
    <mergeCell ref="T47:T48"/>
    <mergeCell ref="A28:A29"/>
    <mergeCell ref="B28:B29"/>
    <mergeCell ref="D28:D32"/>
    <mergeCell ref="E28:E32"/>
    <mergeCell ref="F28:F32"/>
    <mergeCell ref="D36:D37"/>
    <mergeCell ref="Q36:Q37"/>
    <mergeCell ref="U36:U37"/>
    <mergeCell ref="A38:A39"/>
    <mergeCell ref="B38:B39"/>
    <mergeCell ref="C38:C39"/>
    <mergeCell ref="A26:A27"/>
    <mergeCell ref="B26:B27"/>
    <mergeCell ref="D26:D27"/>
    <mergeCell ref="U52:U57"/>
    <mergeCell ref="S36:S37"/>
    <mergeCell ref="C40:G40"/>
    <mergeCell ref="Q40:U40"/>
    <mergeCell ref="C41:U41"/>
    <mergeCell ref="Q84:Q85"/>
    <mergeCell ref="R84:R85"/>
    <mergeCell ref="S84:S85"/>
    <mergeCell ref="T84:T85"/>
    <mergeCell ref="L99:L100"/>
    <mergeCell ref="F97:F98"/>
    <mergeCell ref="D83:D85"/>
    <mergeCell ref="E83:E85"/>
    <mergeCell ref="F83:F85"/>
    <mergeCell ref="D91:D92"/>
    <mergeCell ref="D93:D94"/>
    <mergeCell ref="F93:F94"/>
    <mergeCell ref="C86:G86"/>
    <mergeCell ref="Q86:U86"/>
    <mergeCell ref="D99:D100"/>
    <mergeCell ref="F99:F100"/>
    <mergeCell ref="D89:D90"/>
    <mergeCell ref="U83:U85"/>
    <mergeCell ref="C58:C59"/>
    <mergeCell ref="U58:U59"/>
    <mergeCell ref="A34:A35"/>
    <mergeCell ref="Q47:Q48"/>
    <mergeCell ref="D49:D50"/>
    <mergeCell ref="Q49:Q50"/>
    <mergeCell ref="F58:F59"/>
    <mergeCell ref="Q58:Q59"/>
    <mergeCell ref="D52:D53"/>
    <mergeCell ref="Q52:Q54"/>
    <mergeCell ref="R38:R39"/>
    <mergeCell ref="D34:D35"/>
    <mergeCell ref="E34:E35"/>
    <mergeCell ref="F34:F35"/>
    <mergeCell ref="A58:A59"/>
    <mergeCell ref="B58:B59"/>
    <mergeCell ref="D58:D59"/>
    <mergeCell ref="E58:E59"/>
    <mergeCell ref="U38:U39"/>
    <mergeCell ref="S38:S39"/>
    <mergeCell ref="D44:D45"/>
    <mergeCell ref="Q44:Q45"/>
    <mergeCell ref="U42:U50"/>
    <mergeCell ref="D47:D48"/>
    <mergeCell ref="D38:D39"/>
    <mergeCell ref="A74:A75"/>
    <mergeCell ref="B74:B75"/>
    <mergeCell ref="D74:D75"/>
    <mergeCell ref="T38:T39"/>
    <mergeCell ref="E69:E70"/>
    <mergeCell ref="D60:D61"/>
    <mergeCell ref="U71:U75"/>
    <mergeCell ref="U60:U61"/>
    <mergeCell ref="Q69:Q70"/>
    <mergeCell ref="E42:E51"/>
    <mergeCell ref="R44:R45"/>
    <mergeCell ref="S44:S45"/>
    <mergeCell ref="T44:T45"/>
    <mergeCell ref="S47:S48"/>
    <mergeCell ref="A147:G147"/>
    <mergeCell ref="A135:P135"/>
    <mergeCell ref="A141:G141"/>
    <mergeCell ref="A140:G140"/>
    <mergeCell ref="A139:G139"/>
    <mergeCell ref="A138:G138"/>
    <mergeCell ref="A142:G142"/>
    <mergeCell ref="A144:G144"/>
    <mergeCell ref="A145:G145"/>
    <mergeCell ref="A146:G146"/>
    <mergeCell ref="A137:G137"/>
    <mergeCell ref="A143:G143"/>
    <mergeCell ref="A78:A79"/>
    <mergeCell ref="B78:B79"/>
    <mergeCell ref="D105:D107"/>
    <mergeCell ref="D101:D104"/>
    <mergeCell ref="S109:S110"/>
    <mergeCell ref="T109:T110"/>
    <mergeCell ref="A136:G136"/>
    <mergeCell ref="D111:G111"/>
    <mergeCell ref="A110:A111"/>
    <mergeCell ref="B110:B111"/>
    <mergeCell ref="C109:C111"/>
    <mergeCell ref="D108:D110"/>
    <mergeCell ref="D130:D131"/>
    <mergeCell ref="C132:G132"/>
    <mergeCell ref="C133:G133"/>
    <mergeCell ref="Q133:U133"/>
    <mergeCell ref="B134:G134"/>
    <mergeCell ref="Q134:U134"/>
    <mergeCell ref="Q79:Q80"/>
    <mergeCell ref="Q132:U132"/>
    <mergeCell ref="D121:D122"/>
    <mergeCell ref="Q121:Q122"/>
    <mergeCell ref="D123:D124"/>
    <mergeCell ref="Q123:Q124"/>
  </mergeCells>
  <printOptions horizontalCentered="1"/>
  <pageMargins left="0" right="0" top="0.78740157480314965" bottom="0" header="0.31496062992125984" footer="0.31496062992125984"/>
  <pageSetup paperSize="9" scale="65" orientation="landscape" r:id="rId1"/>
  <rowBreaks count="4" manualBreakCount="4">
    <brk id="51" max="20" man="1"/>
    <brk id="68" max="20" man="1"/>
    <brk id="92" max="20" man="1"/>
    <brk id="12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7</vt:i4>
      </vt:variant>
    </vt:vector>
  </HeadingPairs>
  <TitlesOfParts>
    <vt:vector size="12" baseType="lpstr">
      <vt:lpstr>Ataskaita</vt:lpstr>
      <vt:lpstr>12 programa</vt:lpstr>
      <vt:lpstr>SPIS</vt:lpstr>
      <vt:lpstr>Aiškinamoji lentelė</vt:lpstr>
      <vt:lpstr>Lyginamasis variantas</vt:lpstr>
      <vt:lpstr>'12 programa'!Print_Area</vt:lpstr>
      <vt:lpstr>'Aiškinamoji lentelė'!Print_Area</vt:lpstr>
      <vt:lpstr>Ataskaita!Print_Area</vt:lpstr>
      <vt:lpstr>'Lyginamasis variantas'!Print_Area</vt:lpstr>
      <vt:lpstr>'12 programa'!Print_Titles</vt:lpstr>
      <vt:lpstr>'Aiškinamoji lentelė'!Print_Titles</vt:lpstr>
      <vt:lpstr>'Lyginamasis variantas'!Print_Titles</vt:lpstr>
    </vt:vector>
  </TitlesOfParts>
  <Company>valdyba.lan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Snieguole Kacerauskaite</cp:lastModifiedBy>
  <cp:lastPrinted>2020-02-28T14:11:14Z</cp:lastPrinted>
  <dcterms:created xsi:type="dcterms:W3CDTF">2015-11-25T08:56:30Z</dcterms:created>
  <dcterms:modified xsi:type="dcterms:W3CDTF">2020-02-28T14:13:18Z</dcterms:modified>
</cp:coreProperties>
</file>