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0" yWindow="0" windowWidth="23040" windowHeight="9195"/>
  </bookViews>
  <sheets>
    <sheet name="Ataskaita" sheetId="15" r:id="rId1"/>
    <sheet name="Priemonių suvestinė" sheetId="16" r:id="rId2"/>
    <sheet name="SPIS" sheetId="19" state="hidden" r:id="rId3"/>
    <sheet name="aiškinamoji lentelė " sheetId="5" state="hidden" r:id="rId4"/>
  </sheets>
  <definedNames>
    <definedName name="_xlnm.Print_Area" localSheetId="3">'aiškinamoji lentelė '!$A$1:$R$175</definedName>
    <definedName name="_xlnm.Print_Area" localSheetId="0">Ataskaita!$A$1:$I$39</definedName>
    <definedName name="_xlnm.Print_Area" localSheetId="1">'Priemonių suvestinė'!$A$1:$O$170</definedName>
    <definedName name="_xlnm.Print_Titles" localSheetId="3">'aiškinamoji lentelė '!$6:$8</definedName>
    <definedName name="_xlnm.Print_Titles" localSheetId="1">'Priemonių suvestinė'!$4:$6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0" i="16" l="1"/>
  <c r="J161" i="16"/>
  <c r="J159" i="16"/>
  <c r="J158" i="16"/>
  <c r="J114" i="16"/>
  <c r="J125" i="16"/>
  <c r="J17" i="16" l="1"/>
  <c r="J153" i="16" s="1"/>
  <c r="I9" i="19"/>
  <c r="G9" i="19"/>
  <c r="F200" i="19" l="1"/>
  <c r="E200" i="19"/>
  <c r="D200" i="19"/>
  <c r="C200" i="19"/>
  <c r="H178" i="19"/>
  <c r="G178" i="19"/>
  <c r="F178" i="19"/>
  <c r="E178" i="19"/>
  <c r="H174" i="19"/>
  <c r="G174" i="19"/>
  <c r="F174" i="19"/>
  <c r="E174" i="19"/>
  <c r="H170" i="19"/>
  <c r="G170" i="19"/>
  <c r="F170" i="19"/>
  <c r="F169" i="19" s="1"/>
  <c r="F168" i="19" s="1"/>
  <c r="E170" i="19"/>
  <c r="H169" i="19"/>
  <c r="G169" i="19"/>
  <c r="G168" i="19" s="1"/>
  <c r="E169" i="19"/>
  <c r="H168" i="19"/>
  <c r="E168" i="19"/>
  <c r="H165" i="19"/>
  <c r="G165" i="19"/>
  <c r="F165" i="19"/>
  <c r="F162" i="19" s="1"/>
  <c r="F161" i="19" s="1"/>
  <c r="E165" i="19"/>
  <c r="H163" i="19"/>
  <c r="G163" i="19"/>
  <c r="F163" i="19"/>
  <c r="E163" i="19"/>
  <c r="H162" i="19"/>
  <c r="G162" i="19"/>
  <c r="G161" i="19" s="1"/>
  <c r="E162" i="19"/>
  <c r="H161" i="19"/>
  <c r="E161" i="19"/>
  <c r="H152" i="19"/>
  <c r="G152" i="19"/>
  <c r="F152" i="19"/>
  <c r="F151" i="19" s="1"/>
  <c r="F150" i="19" s="1"/>
  <c r="E152" i="19"/>
  <c r="E151" i="19" s="1"/>
  <c r="E150" i="19" s="1"/>
  <c r="H151" i="19"/>
  <c r="H150" i="19" s="1"/>
  <c r="G151" i="19"/>
  <c r="G150" i="19" s="1"/>
  <c r="H146" i="19"/>
  <c r="G146" i="19"/>
  <c r="F146" i="19"/>
  <c r="E146" i="19"/>
  <c r="E144" i="19" s="1"/>
  <c r="H144" i="19"/>
  <c r="G144" i="19"/>
  <c r="F144" i="19"/>
  <c r="H142" i="19"/>
  <c r="G142" i="19"/>
  <c r="F142" i="19"/>
  <c r="E142" i="19"/>
  <c r="E141" i="19" s="1"/>
  <c r="H141" i="19"/>
  <c r="G141" i="19"/>
  <c r="F141" i="19"/>
  <c r="H137" i="19"/>
  <c r="G137" i="19"/>
  <c r="F137" i="19"/>
  <c r="E137" i="19"/>
  <c r="H131" i="19"/>
  <c r="G131" i="19"/>
  <c r="F131" i="19"/>
  <c r="E131" i="19"/>
  <c r="H123" i="19"/>
  <c r="G123" i="19"/>
  <c r="F123" i="19"/>
  <c r="E123" i="19"/>
  <c r="H121" i="19"/>
  <c r="G121" i="19"/>
  <c r="F121" i="19"/>
  <c r="E121" i="19"/>
  <c r="H118" i="19"/>
  <c r="G118" i="19"/>
  <c r="G117" i="19" s="1"/>
  <c r="F118" i="19"/>
  <c r="E118" i="19"/>
  <c r="H117" i="19"/>
  <c r="F117" i="19"/>
  <c r="E117" i="19"/>
  <c r="H115" i="19"/>
  <c r="G115" i="19"/>
  <c r="F115" i="19"/>
  <c r="E115" i="19"/>
  <c r="H112" i="19"/>
  <c r="H111" i="19" s="1"/>
  <c r="H6" i="19" s="1"/>
  <c r="G112" i="19"/>
  <c r="F112" i="19"/>
  <c r="E112" i="19"/>
  <c r="G111" i="19"/>
  <c r="F111" i="19"/>
  <c r="E111" i="19"/>
  <c r="H109" i="19"/>
  <c r="G109" i="19"/>
  <c r="F109" i="19"/>
  <c r="E109" i="19"/>
  <c r="H105" i="19"/>
  <c r="G105" i="19"/>
  <c r="F105" i="19"/>
  <c r="E105" i="19"/>
  <c r="H99" i="19"/>
  <c r="G99" i="19"/>
  <c r="G94" i="19" s="1"/>
  <c r="F99" i="19"/>
  <c r="E99" i="19"/>
  <c r="H95" i="19"/>
  <c r="G95" i="19"/>
  <c r="F95" i="19"/>
  <c r="E95" i="19"/>
  <c r="E94" i="19" s="1"/>
  <c r="H94" i="19"/>
  <c r="F94" i="19"/>
  <c r="H92" i="19"/>
  <c r="G92" i="19"/>
  <c r="F92" i="19"/>
  <c r="E92" i="19"/>
  <c r="H88" i="19"/>
  <c r="G88" i="19"/>
  <c r="F88" i="19"/>
  <c r="E88" i="19"/>
  <c r="E87" i="19" s="1"/>
  <c r="H87" i="19"/>
  <c r="G87" i="19"/>
  <c r="F87" i="19"/>
  <c r="H85" i="19"/>
  <c r="G85" i="19"/>
  <c r="F85" i="19"/>
  <c r="E85" i="19"/>
  <c r="H82" i="19"/>
  <c r="G82" i="19"/>
  <c r="F82" i="19"/>
  <c r="E82" i="19"/>
  <c r="H78" i="19"/>
  <c r="G78" i="19"/>
  <c r="F78" i="19"/>
  <c r="E78" i="19"/>
  <c r="H72" i="19"/>
  <c r="G72" i="19"/>
  <c r="F72" i="19"/>
  <c r="E72" i="19"/>
  <c r="H70" i="19"/>
  <c r="G70" i="19"/>
  <c r="F70" i="19"/>
  <c r="E70" i="19"/>
  <c r="H67" i="19"/>
  <c r="G67" i="19"/>
  <c r="F67" i="19"/>
  <c r="E67" i="19"/>
  <c r="H63" i="19"/>
  <c r="G63" i="19"/>
  <c r="F63" i="19"/>
  <c r="E63" i="19"/>
  <c r="H58" i="19"/>
  <c r="G58" i="19"/>
  <c r="F58" i="19"/>
  <c r="E58" i="19"/>
  <c r="H54" i="19"/>
  <c r="G54" i="19"/>
  <c r="F54" i="19"/>
  <c r="E54" i="19"/>
  <c r="H20" i="19"/>
  <c r="G20" i="19"/>
  <c r="F20" i="19"/>
  <c r="E20" i="19"/>
  <c r="H17" i="19"/>
  <c r="G17" i="19"/>
  <c r="G7" i="19" s="1"/>
  <c r="G6" i="19" s="1"/>
  <c r="G5" i="19" s="1"/>
  <c r="G4" i="19" s="1"/>
  <c r="F17" i="19"/>
  <c r="E17" i="19"/>
  <c r="E7" i="19" s="1"/>
  <c r="H9" i="19"/>
  <c r="F9" i="19"/>
  <c r="F7" i="19" s="1"/>
  <c r="F6" i="19" s="1"/>
  <c r="F5" i="19" s="1"/>
  <c r="F4" i="19" s="1"/>
  <c r="E9" i="19"/>
  <c r="H7" i="19"/>
  <c r="H5" i="19" l="1"/>
  <c r="H4" i="19" s="1"/>
  <c r="E6" i="19"/>
  <c r="E5" i="19" s="1"/>
  <c r="E4" i="19" s="1"/>
  <c r="H23" i="16"/>
  <c r="H22" i="16"/>
  <c r="H17" i="16"/>
  <c r="I43" i="16" l="1"/>
  <c r="I39" i="16"/>
  <c r="H39" i="16"/>
  <c r="I33" i="16"/>
  <c r="I32" i="16"/>
  <c r="I29" i="16"/>
  <c r="H29" i="16"/>
  <c r="H45" i="16" s="1"/>
  <c r="I22" i="16"/>
  <c r="I17" i="16"/>
  <c r="H46" i="16"/>
  <c r="H48" i="16" s="1"/>
  <c r="I46" i="16"/>
  <c r="I48" i="16" s="1"/>
  <c r="J48" i="16"/>
  <c r="H49" i="16"/>
  <c r="H51" i="16" s="1"/>
  <c r="I49" i="16"/>
  <c r="I51" i="16" s="1"/>
  <c r="J51" i="16"/>
  <c r="H52" i="16"/>
  <c r="H54" i="16" s="1"/>
  <c r="I52" i="16"/>
  <c r="I54" i="16" s="1"/>
  <c r="J54" i="16"/>
  <c r="H56" i="16"/>
  <c r="I56" i="16"/>
  <c r="J56" i="16"/>
  <c r="I59" i="16"/>
  <c r="I62" i="16"/>
  <c r="H63" i="16"/>
  <c r="I63" i="16"/>
  <c r="I45" i="16" l="1"/>
  <c r="J45" i="16"/>
  <c r="I74" i="16" l="1"/>
  <c r="I135" i="16" l="1"/>
  <c r="I130" i="16"/>
  <c r="J98" i="16"/>
  <c r="I92" i="16"/>
  <c r="I98" i="16" s="1"/>
  <c r="I68" i="16"/>
  <c r="I66" i="16"/>
  <c r="I141" i="16" l="1"/>
  <c r="I142" i="16" s="1"/>
  <c r="H125" i="16"/>
  <c r="H135" i="16"/>
  <c r="H130" i="16"/>
  <c r="H92" i="16"/>
  <c r="H98" i="16" s="1"/>
  <c r="H68" i="16"/>
  <c r="H66" i="16"/>
  <c r="H166" i="16" l="1"/>
  <c r="H165" i="16"/>
  <c r="H163" i="16"/>
  <c r="H162" i="16"/>
  <c r="H161" i="16"/>
  <c r="H159" i="16"/>
  <c r="H158" i="16"/>
  <c r="H157" i="16"/>
  <c r="H156" i="16"/>
  <c r="H154" i="16"/>
  <c r="H155" i="16"/>
  <c r="H141" i="16" l="1"/>
  <c r="H142" i="16" s="1"/>
  <c r="H126" i="16"/>
  <c r="H107" i="16"/>
  <c r="H114" i="16" s="1"/>
  <c r="H115" i="16" s="1"/>
  <c r="H104" i="16"/>
  <c r="H99" i="16"/>
  <c r="H101" i="16" s="1"/>
  <c r="H74" i="16"/>
  <c r="H72" i="16"/>
  <c r="H69" i="16"/>
  <c r="J166" i="16"/>
  <c r="I166" i="16"/>
  <c r="J165" i="16"/>
  <c r="I165" i="16"/>
  <c r="J163" i="16"/>
  <c r="I163" i="16"/>
  <c r="J162" i="16"/>
  <c r="I162" i="16"/>
  <c r="I161" i="16"/>
  <c r="I159" i="16"/>
  <c r="I158" i="16"/>
  <c r="J157" i="16"/>
  <c r="I157" i="16"/>
  <c r="J156" i="16"/>
  <c r="I156" i="16"/>
  <c r="J155" i="16"/>
  <c r="J154" i="16"/>
  <c r="I154" i="16"/>
  <c r="J141" i="16"/>
  <c r="J142" i="16" s="1"/>
  <c r="J126" i="16"/>
  <c r="I125" i="16"/>
  <c r="I126" i="16" s="1"/>
  <c r="J115" i="16"/>
  <c r="I107" i="16"/>
  <c r="I114" i="16" s="1"/>
  <c r="I115" i="16" s="1"/>
  <c r="J104" i="16"/>
  <c r="I104" i="16"/>
  <c r="J101" i="16"/>
  <c r="I99" i="16"/>
  <c r="I101" i="16" s="1"/>
  <c r="J74" i="16"/>
  <c r="J72" i="16"/>
  <c r="I72" i="16"/>
  <c r="J69" i="16"/>
  <c r="I155" i="16"/>
  <c r="J105" i="16" l="1"/>
  <c r="J143" i="16" s="1"/>
  <c r="J144" i="16" s="1"/>
  <c r="I160" i="16"/>
  <c r="H153" i="16"/>
  <c r="H152" i="16" s="1"/>
  <c r="I69" i="16"/>
  <c r="I105" i="16" s="1"/>
  <c r="H160" i="16"/>
  <c r="H164" i="16"/>
  <c r="H105" i="16"/>
  <c r="H143" i="16" s="1"/>
  <c r="H144" i="16" s="1"/>
  <c r="I164" i="16"/>
  <c r="I153" i="16"/>
  <c r="I152" i="16" s="1"/>
  <c r="J152" i="16"/>
  <c r="J151" i="16" s="1"/>
  <c r="J164" i="16"/>
  <c r="H151" i="16" l="1"/>
  <c r="H167" i="16" s="1"/>
  <c r="I143" i="16"/>
  <c r="I144" i="16" s="1"/>
  <c r="I151" i="16"/>
  <c r="I167" i="16" s="1"/>
  <c r="J167" i="16"/>
  <c r="J147" i="5" l="1"/>
  <c r="J138" i="5"/>
  <c r="L129" i="5" l="1"/>
  <c r="K129" i="5"/>
  <c r="J129" i="5"/>
  <c r="M174" i="5" l="1"/>
  <c r="M173" i="5"/>
  <c r="M171" i="5"/>
  <c r="M170" i="5"/>
  <c r="M169" i="5"/>
  <c r="M168" i="5"/>
  <c r="M167" i="5"/>
  <c r="L167" i="5"/>
  <c r="M166" i="5"/>
  <c r="M165" i="5"/>
  <c r="M164" i="5"/>
  <c r="M163" i="5"/>
  <c r="M172" i="5" l="1"/>
  <c r="J148" i="5"/>
  <c r="J115" i="5"/>
  <c r="J122" i="5" s="1"/>
  <c r="J123" i="5" s="1"/>
  <c r="K122" i="5"/>
  <c r="K123" i="5" s="1"/>
  <c r="L122" i="5"/>
  <c r="L123" i="5" s="1"/>
  <c r="M122" i="5"/>
  <c r="M123" i="5" s="1"/>
  <c r="J95" i="5" l="1"/>
  <c r="J96" i="5"/>
  <c r="J84" i="5"/>
  <c r="J75" i="5" l="1"/>
  <c r="L18" i="5" l="1"/>
  <c r="K18" i="5"/>
  <c r="L14" i="5"/>
  <c r="K14" i="5"/>
  <c r="K47" i="5" l="1"/>
  <c r="M151" i="5"/>
  <c r="M148" i="5"/>
  <c r="M134" i="5"/>
  <c r="M135" i="5" s="1"/>
  <c r="M112" i="5"/>
  <c r="M109" i="5"/>
  <c r="M107" i="5"/>
  <c r="M79" i="5"/>
  <c r="M77" i="5"/>
  <c r="M71" i="5"/>
  <c r="M60" i="5"/>
  <c r="M58" i="5"/>
  <c r="M54" i="5"/>
  <c r="M50" i="5"/>
  <c r="M47" i="5"/>
  <c r="J17" i="5"/>
  <c r="J47" i="5" s="1"/>
  <c r="M74" i="5" l="1"/>
  <c r="M113" i="5" s="1"/>
  <c r="M162" i="5"/>
  <c r="M161" i="5" s="1"/>
  <c r="M160" i="5" s="1"/>
  <c r="M175" i="5" s="1"/>
  <c r="M152" i="5"/>
  <c r="M153" i="5" l="1"/>
  <c r="M154" i="5" s="1"/>
  <c r="J58" i="5" l="1"/>
  <c r="K58" i="5"/>
  <c r="L54" i="5" l="1"/>
  <c r="K54" i="5"/>
  <c r="J54" i="5"/>
  <c r="L50" i="5"/>
  <c r="K50" i="5"/>
  <c r="J50" i="5"/>
  <c r="J74" i="5" l="1"/>
  <c r="J168" i="5"/>
  <c r="L107" i="5" l="1"/>
  <c r="K107" i="5" l="1"/>
  <c r="L71" i="5" l="1"/>
  <c r="K71" i="5"/>
  <c r="J107" i="5" l="1"/>
  <c r="L134" i="5" l="1"/>
  <c r="J112" i="5" l="1"/>
  <c r="J134" i="5"/>
  <c r="J173" i="5" l="1"/>
  <c r="L173" i="5"/>
  <c r="K173" i="5"/>
  <c r="K134" i="5" l="1"/>
  <c r="J77" i="5"/>
  <c r="J79" i="5" l="1"/>
  <c r="K112" i="5"/>
  <c r="L112" i="5"/>
  <c r="K148" i="5" l="1"/>
  <c r="L148" i="5"/>
  <c r="J60" i="5"/>
  <c r="L162" i="5"/>
  <c r="K162" i="5"/>
  <c r="J109" i="5"/>
  <c r="L47" i="5"/>
  <c r="J113" i="5" l="1"/>
  <c r="K74" i="5"/>
  <c r="L74" i="5"/>
  <c r="L60" i="5"/>
  <c r="K60" i="5"/>
  <c r="L58" i="5"/>
  <c r="L79" i="5" l="1"/>
  <c r="K79" i="5"/>
  <c r="L77" i="5"/>
  <c r="K77" i="5"/>
  <c r="J135" i="5" l="1"/>
  <c r="K135" i="5"/>
  <c r="L135" i="5"/>
  <c r="K167" i="5" l="1"/>
  <c r="J167" i="5"/>
  <c r="L168" i="5" l="1"/>
  <c r="K168" i="5"/>
  <c r="J164" i="5" l="1"/>
  <c r="J166" i="5" l="1"/>
  <c r="J165" i="5"/>
  <c r="J163" i="5"/>
  <c r="L174" i="5" l="1"/>
  <c r="L172" i="5" s="1"/>
  <c r="L171" i="5"/>
  <c r="L170" i="5"/>
  <c r="L169" i="5"/>
  <c r="L166" i="5"/>
  <c r="L165" i="5"/>
  <c r="L164" i="5"/>
  <c r="L163" i="5"/>
  <c r="K174" i="5"/>
  <c r="K172" i="5" s="1"/>
  <c r="K171" i="5"/>
  <c r="K170" i="5"/>
  <c r="K169" i="5"/>
  <c r="K166" i="5"/>
  <c r="K165" i="5"/>
  <c r="K164" i="5"/>
  <c r="K163" i="5"/>
  <c r="J174" i="5"/>
  <c r="J172" i="5" s="1"/>
  <c r="J171" i="5"/>
  <c r="J170" i="5"/>
  <c r="J169" i="5"/>
  <c r="L161" i="5" l="1"/>
  <c r="L160" i="5" s="1"/>
  <c r="K161" i="5"/>
  <c r="K160" i="5" s="1"/>
  <c r="K175" i="5" l="1"/>
  <c r="L151" i="5" l="1"/>
  <c r="K151" i="5"/>
  <c r="J151" i="5"/>
  <c r="J152" i="5" s="1"/>
  <c r="K152" i="5" l="1"/>
  <c r="L152" i="5"/>
  <c r="K109" i="5"/>
  <c r="L109" i="5"/>
  <c r="K113" i="5" l="1"/>
  <c r="K153" i="5" s="1"/>
  <c r="L113" i="5"/>
  <c r="L153" i="5" s="1"/>
  <c r="K154" i="5" l="1"/>
  <c r="L154" i="5"/>
  <c r="L175" i="5" l="1"/>
  <c r="J162" i="5" l="1"/>
  <c r="J161" i="5" s="1"/>
  <c r="J160" i="5" s="1"/>
  <c r="J175" i="5" s="1"/>
  <c r="J153" i="5" l="1"/>
  <c r="J154" i="5" s="1"/>
</calcChain>
</file>

<file path=xl/comments1.xml><?xml version="1.0" encoding="utf-8"?>
<comments xmlns="http://schemas.openxmlformats.org/spreadsheetml/2006/main">
  <authors>
    <author>Audra Cepiene</author>
  </authors>
  <commentList>
    <comment ref="M14" authorId="0" shapeId="0">
      <text>
        <r>
          <rPr>
            <sz val="9"/>
            <color indexed="81"/>
            <rFont val="Tahoma"/>
            <family val="2"/>
            <charset val="186"/>
          </rPr>
          <t xml:space="preserve">Teikiamų elektroninių paslaugų kiekis: 213
1 brandos lygio paslaugos 27
2 brandos lygio paslaugos 79
3 brandos lygio paslaugos 66
4 brandos lygio paslaugos 27
5 brandos lygio paslaugos 14
</t>
        </r>
      </text>
    </comment>
    <comment ref="L17" authorId="0" shapeId="0">
      <text>
        <r>
          <rPr>
            <sz val="9"/>
            <color indexed="81"/>
            <rFont val="Tahoma"/>
            <family val="2"/>
            <charset val="186"/>
          </rPr>
          <t xml:space="preserve">2018-06-28 T2-125 nustatytas didžiausias leistinas valstybės tarnautojų ir darbuotojų skaičius – 438,5   </t>
        </r>
      </text>
    </comment>
    <comment ref="H21" authorId="0" shapeId="0">
      <text>
        <r>
          <rPr>
            <sz val="9"/>
            <color indexed="81"/>
            <rFont val="Tahoma"/>
            <family val="2"/>
            <charset val="186"/>
          </rPr>
          <t xml:space="preserve">VšĮ „Klaipėdos šventės“ vietinės rinkliavos administravimo apmokėjimas </t>
        </r>
      </text>
    </comment>
    <comment ref="K44" authorId="0" shapeId="0">
      <text>
        <r>
          <rPr>
            <sz val="9"/>
            <color indexed="81"/>
            <rFont val="Tahoma"/>
            <family val="2"/>
            <charset val="186"/>
          </rPr>
          <t>Atsižvelgdami į vis didėjančią didelę riziką dėl Savivaldybės administracijos civilinės atsakomybės kylimo, ANK nuostatų pokyčius bei ilgus ir sudėtingus ginčus sprendžiant administracinės ir civilinės atsakomybės klausimus, siūlome kasmet planuoti lėšas Savivaldybės administracijos civilinės atsakomybės draudimui. Preliminari draudimo įmoka metams yra apie 12 tūkst. eurų</t>
        </r>
      </text>
    </comment>
    <comment ref="K59" authorId="0" shapeId="0">
      <text>
        <r>
          <rPr>
            <sz val="9"/>
            <color indexed="81"/>
            <rFont val="Tahoma"/>
            <family val="2"/>
            <charset val="186"/>
          </rPr>
          <t>Savivaldybių asociacija (0,03 proc. nuo biudžeto apimties), VVG, ŽVVG po 50 eur per metus</t>
        </r>
      </text>
    </comment>
    <comment ref="K96" authorId="0" shapeId="0">
      <text>
        <r>
          <rPr>
            <sz val="9"/>
            <color indexed="81"/>
            <rFont val="Tahoma"/>
            <family val="2"/>
            <charset val="186"/>
          </rPr>
          <t>Darbai nebus atlikti 2018 m. - stogas-42,0; fasadas-65,0. Užtruko techninio projekto parengimas.</t>
        </r>
      </text>
    </comment>
    <comment ref="E120" authorId="0" shapeId="0">
      <text>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t>
        </r>
        <r>
          <rPr>
            <b/>
            <sz val="9"/>
            <color indexed="81"/>
            <rFont val="Tahoma"/>
            <family val="2"/>
            <charset val="186"/>
          </rPr>
          <t xml:space="preserve">1.1.1. priemonė
</t>
        </r>
      </text>
    </comment>
    <comment ref="E122" authorId="0" shapeId="0">
      <text>
        <r>
          <rPr>
            <b/>
            <sz val="9"/>
            <color indexed="81"/>
            <rFont val="Tahoma"/>
            <family val="2"/>
            <charset val="186"/>
          </rPr>
          <t>P3.4.3.5</t>
        </r>
        <r>
          <rPr>
            <sz val="9"/>
            <color indexed="81"/>
            <rFont val="Tahoma"/>
            <family val="2"/>
            <charset val="186"/>
          </rPr>
          <t xml:space="preserve"> Diegti visuotinės kokybės vadybos principus Savivaldybės administracijoje,
</t>
        </r>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t>
        </r>
        <r>
          <rPr>
            <b/>
            <sz val="9"/>
            <color indexed="81"/>
            <rFont val="Tahoma"/>
            <family val="2"/>
            <charset val="186"/>
          </rPr>
          <t xml:space="preserve">1.1.1. priemonė
</t>
        </r>
        <r>
          <rPr>
            <sz val="9"/>
            <color indexed="81"/>
            <rFont val="Tahoma"/>
            <family val="2"/>
            <charset val="186"/>
          </rPr>
          <t xml:space="preserve">
</t>
        </r>
      </text>
    </comment>
    <comment ref="H137" authorId="0" shapeId="0">
      <text>
        <r>
          <rPr>
            <sz val="9"/>
            <color indexed="81"/>
            <rFont val="Tahoma"/>
            <family val="2"/>
            <charset val="186"/>
          </rPr>
          <t xml:space="preserve">Techninis projektas bus parengtas 2019 m. vasario mėn. Kaina 11,9 tūkst. eur
</t>
        </r>
      </text>
    </comment>
    <comment ref="H152" authorId="0" shapeId="0">
      <text>
        <r>
          <rPr>
            <b/>
            <sz val="9"/>
            <color indexed="81"/>
            <rFont val="Tahoma"/>
            <family val="2"/>
            <charset val="186"/>
          </rPr>
          <t xml:space="preserve">14328,4  pirminis MVP
</t>
        </r>
        <r>
          <rPr>
            <sz val="9"/>
            <color indexed="81"/>
            <rFont val="Tahoma"/>
            <family val="2"/>
            <charset val="186"/>
          </rPr>
          <t xml:space="preserve">
</t>
        </r>
      </text>
    </comment>
    <comment ref="I152" authorId="0" shapeId="0">
      <text>
        <r>
          <rPr>
            <b/>
            <sz val="9"/>
            <color indexed="81"/>
            <rFont val="Tahoma"/>
            <family val="2"/>
            <charset val="186"/>
          </rPr>
          <t>14381,5 III SVP</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Indre Buteniene</author>
  </authors>
  <commentList>
    <comment ref="P14" authorId="0" shapeId="0">
      <text>
        <r>
          <rPr>
            <b/>
            <sz val="9"/>
            <color indexed="81"/>
            <rFont val="Tahoma"/>
            <family val="2"/>
            <charset val="186"/>
          </rPr>
          <t xml:space="preserve">456,5 etatai </t>
        </r>
        <r>
          <rPr>
            <sz val="9"/>
            <color indexed="81"/>
            <rFont val="Tahoma"/>
            <family val="2"/>
            <charset val="186"/>
          </rPr>
          <t xml:space="preserve">(patvirtinti papildomi 7 etatai išlaikomi iš VB - 1 tarpinstitucinio bendradarbiavimo ir 6 Vaiko teisių). </t>
        </r>
        <r>
          <rPr>
            <sz val="9"/>
            <color indexed="81"/>
            <rFont val="Tahoma"/>
            <family val="2"/>
            <charset val="186"/>
          </rPr>
          <t xml:space="preserve">
</t>
        </r>
      </text>
    </comment>
    <comment ref="O34" authorId="0" shapeId="0">
      <text>
        <r>
          <rPr>
            <sz val="9"/>
            <color indexed="81"/>
            <rFont val="Tahoma"/>
            <family val="2"/>
            <charset val="186"/>
          </rPr>
          <t xml:space="preserve">Renginiai - savivaldos diena, Kalėdos vaikams, Kalėdos suaugusiems. Pagrindimas 2015 m. faktas - Kalėdinis renginys - 3,6 tūkst.Eur, Savivaldos diena - 2,0 tūkst. </t>
        </r>
      </text>
    </comment>
    <comment ref="N36" authorId="0" shapeId="0">
      <text>
        <r>
          <rPr>
            <sz val="9"/>
            <color indexed="81"/>
            <rFont val="Tahoma"/>
            <family val="2"/>
            <charset val="186"/>
          </rPr>
          <t>Neteisminiam ir teisminiam žalos atlyginimui (pvz. dėl duobių). Konkrečių bylų išskirti šiuo metu nepavyktų, tačiau tokia suma tikėtina</t>
        </r>
      </text>
    </comment>
    <comment ref="N44" authorId="0" shapeId="0">
      <text>
        <r>
          <rPr>
            <sz val="9"/>
            <color indexed="81"/>
            <rFont val="Tahoma"/>
            <family val="2"/>
            <charset val="186"/>
          </rPr>
          <t>Atsižvelgdami į vis didėjančią didelę riziką dėl Savivaldybės administracijos civilinės atsakomybės kylimo, ANK nuostatų pokyčius bei ilgus ir sudėtingus ginčus sprendžiant administracinės ir civilinės atsakomybės klausimus, siūlome kasmet planuoti lėšas Savivaldybės administracijos civilinės atsakomybės draudimui. Preliminari draudimo įmoka metams yra apie 12 tūkst. eurų</t>
        </r>
      </text>
    </comment>
    <comment ref="N62" authorId="0" shapeId="0">
      <text>
        <r>
          <rPr>
            <sz val="9"/>
            <color indexed="81"/>
            <rFont val="Tahoma"/>
            <family val="2"/>
            <charset val="186"/>
          </rPr>
          <t>LSA, VVG, ŽVVG</t>
        </r>
      </text>
    </comment>
    <comment ref="N94" authorId="0" shapeId="0">
      <text>
        <r>
          <rPr>
            <sz val="9"/>
            <color indexed="81"/>
            <rFont val="Tahoma"/>
            <family val="2"/>
            <charset val="186"/>
          </rPr>
          <t>ESCO (anlg. Energy Service Company), tai verslo modelis, kai privati kompanija investuoja ir įdiegia moderniausias energetinio efektyvumo priemones be kliento pradinių investicijų, o klientas atsiskaito iš sutaupytų lėšų per sutarties galiojimo laikotarpį</t>
        </r>
      </text>
    </comment>
    <comment ref="E128" authorId="0" shapeId="0">
      <text>
        <r>
          <rPr>
            <sz val="9"/>
            <color indexed="81"/>
            <rFont val="Tahoma"/>
            <family val="2"/>
            <charset val="186"/>
          </rPr>
          <t xml:space="preserve">Kokybės vadybos metodų diegimas vidaus procesams optimizuoti, siekiant didinti gyventojų pasitenkinimą Savivaldybės teikiamomis paslaugomis.  LEAN metodo „lieknoji vadyba“ (angl. lean – lieknas) sistemos tikslas – naudojant mažesnius išteklius sukurti didesnę vertę klientui. </t>
        </r>
        <r>
          <rPr>
            <b/>
            <sz val="9"/>
            <color indexed="81"/>
            <rFont val="Tahoma"/>
            <family val="2"/>
            <charset val="186"/>
          </rPr>
          <t>Projekte dalyvauja Klaipėdos ir Kretingos rajonų savivaldybės. Paraiškos pateikimo data 2017 m. spalis, trukmė 36 mėnesiai.</t>
        </r>
        <r>
          <rPr>
            <sz val="9"/>
            <color indexed="81"/>
            <rFont val="Tahoma"/>
            <family val="2"/>
            <charset val="186"/>
          </rPr>
          <t xml:space="preserve"> Projekto metu numatoma apmokyti 401 administracijos darbuotoją, iš jų  keturi taps sertifikuotais projekto lyderiais, planuojama įdiegti  7 metodus, parengti piliečių chartiją.</t>
        </r>
      </text>
    </comment>
    <comment ref="F128" authorId="0" shapeId="0">
      <text>
        <r>
          <rPr>
            <b/>
            <sz val="9"/>
            <color indexed="81"/>
            <rFont val="Tahoma"/>
            <family val="2"/>
            <charset val="186"/>
          </rPr>
          <t>P3.4.3.5</t>
        </r>
        <r>
          <rPr>
            <sz val="9"/>
            <color indexed="81"/>
            <rFont val="Tahoma"/>
            <family val="2"/>
            <charset val="186"/>
          </rPr>
          <t xml:space="preserve"> Diegti visuotinės kokybės vadybos principus Savivaldybės administracijoje</t>
        </r>
        <r>
          <rPr>
            <b/>
            <sz val="9"/>
            <color indexed="81"/>
            <rFont val="Tahoma"/>
            <family val="2"/>
            <charset val="186"/>
          </rPr>
          <t xml:space="preserve">
</t>
        </r>
        <r>
          <rPr>
            <sz val="9"/>
            <color indexed="81"/>
            <rFont val="Tahoma"/>
            <family val="2"/>
            <charset val="186"/>
          </rPr>
          <t xml:space="preserve">
</t>
        </r>
      </text>
    </comment>
    <comment ref="N128" authorId="0" shapeId="0">
      <text>
        <r>
          <rPr>
            <sz val="9"/>
            <color indexed="81"/>
            <rFont val="Tahoma"/>
            <family val="2"/>
            <charset val="186"/>
          </rPr>
          <t xml:space="preserve">Įdiegti ir taikomi ne mažiau kaip 7 LEAN „lieknoji vadyba“ (angl. lean – lieknas) </t>
        </r>
        <r>
          <rPr>
            <sz val="7"/>
            <color indexed="81"/>
            <rFont val="Tahoma"/>
            <family val="2"/>
            <charset val="186"/>
          </rPr>
          <t>(Asaichi, Kaizen, PDCA, SD, VACA, VSM, 5S)</t>
        </r>
        <r>
          <rPr>
            <sz val="9"/>
            <color indexed="81"/>
            <rFont val="Tahoma"/>
            <family val="2"/>
            <charset val="186"/>
          </rPr>
          <t xml:space="preserve"> vadybos metodai, vnt. </t>
        </r>
      </text>
    </comment>
    <comment ref="N140" authorId="0" shapeId="0">
      <text>
        <r>
          <rPr>
            <sz val="9"/>
            <color indexed="81"/>
            <rFont val="Tahoma"/>
            <family val="2"/>
            <charset val="186"/>
          </rPr>
          <t>Atlikta pastato (Šimkaus g. 11) stogo (1350 m²), fasado (125 m²) ir  patalpų  (200 m²) remonto darbų. Užbaigtumas, proc.</t>
        </r>
      </text>
    </comment>
    <comment ref="E149" authorId="1" shapeId="0">
      <text>
        <r>
          <rPr>
            <b/>
            <sz val="9"/>
            <color indexed="81"/>
            <rFont val="Tahoma"/>
            <family val="2"/>
            <charset val="186"/>
          </rPr>
          <t>Indre Buteniene:</t>
        </r>
        <r>
          <rPr>
            <sz val="9"/>
            <color indexed="81"/>
            <rFont val="Tahoma"/>
            <family val="2"/>
            <charset val="186"/>
          </rPr>
          <t xml:space="preserve">
Bus planuojama, jei bus apsipręsta kraustytis </t>
        </r>
      </text>
    </comment>
  </commentList>
</comments>
</file>

<file path=xl/sharedStrings.xml><?xml version="1.0" encoding="utf-8"?>
<sst xmlns="http://schemas.openxmlformats.org/spreadsheetml/2006/main" count="1711" uniqueCount="800">
  <si>
    <t>Veiklos plano tikslo kodas</t>
  </si>
  <si>
    <t>Uždavinio kodas</t>
  </si>
  <si>
    <t>Priemonės kodas</t>
  </si>
  <si>
    <t>Papriemonės kodas</t>
  </si>
  <si>
    <t>Pavadinimas</t>
  </si>
  <si>
    <t>Priemonės požymis</t>
  </si>
  <si>
    <t>Asignavimų valdytojo kodas</t>
  </si>
  <si>
    <t>Vykdytojas (skyrius / asmuo)</t>
  </si>
  <si>
    <t>Finansavimo šaltinis</t>
  </si>
  <si>
    <t>Produkto kriterijaus</t>
  </si>
  <si>
    <t>Planas</t>
  </si>
  <si>
    <t>Strateginis tikslas 01. Didinti miesto konkurencingumą, kryptingai vystant infrastruktūrą ir sudarant palankias sąlygas verslui</t>
  </si>
  <si>
    <t>03 Savivaldybės valdymo programa</t>
  </si>
  <si>
    <t>01</t>
  </si>
  <si>
    <t>Kurti savivaldybės valdymo sistemą, patogią verslui ir gyventojams</t>
  </si>
  <si>
    <t>Organizuoti savivaldybės veiklos bendrųjų funkcijų vykdymą</t>
  </si>
  <si>
    <t>Savivaldybės administracijos veiklos užtikrinimas:</t>
  </si>
  <si>
    <t>Savivaldybės administracijos veiklos užtikrinimas (darbo užmokestis)</t>
  </si>
  <si>
    <t>1</t>
  </si>
  <si>
    <t>FTD Apskaitos skyrius</t>
  </si>
  <si>
    <t>SB</t>
  </si>
  <si>
    <t>SB(VB)</t>
  </si>
  <si>
    <t>02</t>
  </si>
  <si>
    <t>Ūkio skyrius</t>
  </si>
  <si>
    <t>SB(SP)</t>
  </si>
  <si>
    <t>SB(SPL)</t>
  </si>
  <si>
    <t>03</t>
  </si>
  <si>
    <t>Dalyvavimas organizuojant rinkimus</t>
  </si>
  <si>
    <t>04</t>
  </si>
  <si>
    <t>Personalo skyrius</t>
  </si>
  <si>
    <t>05</t>
  </si>
  <si>
    <t>Informavimo ir e.paslaugų skyrius</t>
  </si>
  <si>
    <t>Atlikta apklausų, tyrimų, vnt.</t>
  </si>
  <si>
    <t>06</t>
  </si>
  <si>
    <t>Teisės skyrius</t>
  </si>
  <si>
    <t>Per ataskaitinį laikotarpį užbaigtų bylų skaičius</t>
  </si>
  <si>
    <t>07</t>
  </si>
  <si>
    <t>08</t>
  </si>
  <si>
    <t>Daugiabučių gyvenamųjų namų žemės nuomos mokesčio paskirstymo ir administravimo paslaugos pirkimas</t>
  </si>
  <si>
    <t>FTD Mokesčių skyrius</t>
  </si>
  <si>
    <t>Namų administratorių, teikiančių paslaugas, skaičius</t>
  </si>
  <si>
    <t>09</t>
  </si>
  <si>
    <t>IED Licencijų, leidimų ir vartotojų teisių apsaugos sk.</t>
  </si>
  <si>
    <t>SB(VR)</t>
  </si>
  <si>
    <t>SB(VRL)</t>
  </si>
  <si>
    <t>10</t>
  </si>
  <si>
    <t>Viešosios tvarkos skyrius</t>
  </si>
  <si>
    <t>11</t>
  </si>
  <si>
    <t>Kontrolės ir audito tarnybos finansinio, ūkinio bei materialinio aptarnavimo užtikrinimas</t>
  </si>
  <si>
    <t>Kontrolės ir audito tarnybos darbuotojų skaičius</t>
  </si>
  <si>
    <t>Iš viso:</t>
  </si>
  <si>
    <t>Savivaldybės tarybos finansinio, ūkinio bei materialinio aptarnavimo užtikrinimas</t>
  </si>
  <si>
    <t>Savivaldybės tarybos narių skaičius</t>
  </si>
  <si>
    <t>Mero reprezentacinių priemonių vykdymas (Mero fondo naudojimas)</t>
  </si>
  <si>
    <t>Dalyvavimas vietinių ir tarptautinių organizacijų veikloje:</t>
  </si>
  <si>
    <t>5</t>
  </si>
  <si>
    <t>IED Tarptautinių ryšių, verslo plėtros ir turizmo skyrius</t>
  </si>
  <si>
    <t>Tarptautinių organizacijų, kurių narė yra Klaipėdos miesto savivaldybė, skaičius</t>
  </si>
  <si>
    <t>Paskolų grąžinimas ir palūkanų mokėjimas</t>
  </si>
  <si>
    <t>Savivaldybės administracijos direktoriaus rezervas</t>
  </si>
  <si>
    <t>Savivaldybei nuosavybės teise priklausančio ir patikėjimo teise valdomo turto valdymas, naudojimas ir disponavimas:</t>
  </si>
  <si>
    <t>FTD Turto skyrius</t>
  </si>
  <si>
    <t>Nekilnojamojo turto matavimai ir teisinė registracija</t>
  </si>
  <si>
    <t>Savivaldybei priklausančių patalpų eksploatacinių ir kitų išlaidų padengimas</t>
  </si>
  <si>
    <t>Pastatų, kuriuose yra savivaldybei priklausančios negyvenamosios patalpos, bendro naudojimo objektų remonto išlaidų padengimas</t>
  </si>
  <si>
    <t xml:space="preserve">MŪD </t>
  </si>
  <si>
    <t>Savivaldybės kontroliuojamų įmonių įstatinio kapitalo didinimas, perduodant inžinerinius tinklus funkcijoms vykdyti</t>
  </si>
  <si>
    <t>Objektų rengimas privatizavimui, privatizavimo programų rengimas, objektų privatizavimo organizavimas</t>
  </si>
  <si>
    <t>Privatizuota objektų, vnt.</t>
  </si>
  <si>
    <t>Gyvenamųjų patalpų ir jų priklausinių, taip pat pagalbinės paskirties pastatų, jų dalių privatizavimo dokumentų rengimas</t>
  </si>
  <si>
    <t>Privatizuota gyvenamųjų patalpų ir jų priklausinių, vnt.</t>
  </si>
  <si>
    <t>Turto valdymo dokumentų rengimas (galimybių studijos, ekspertizės ir kt.)</t>
  </si>
  <si>
    <t xml:space="preserve">Savivaldybės nekilnojamojo turto  (negyvenamoji paskirtis) remontas </t>
  </si>
  <si>
    <t xml:space="preserve">Savivaldybei priklausančių statinių esamos techninės būklės įvertinimo paslaugų įsigijimas </t>
  </si>
  <si>
    <t>Įvertinta pastatų, skaičius</t>
  </si>
  <si>
    <t>Iš viso uždaviniui:</t>
  </si>
  <si>
    <t>Diegti Savivaldybės administracijoje modernias informacines sistemas ir plėsti elektroninių paslaugų spektrą</t>
  </si>
  <si>
    <t>Informavimo ir e. paslaugų skyrius</t>
  </si>
  <si>
    <t>Gerinti gyventojų aptarnavimo ir darbuotojų darbo sąlygas Savivaldybės administracijoje</t>
  </si>
  <si>
    <t>Savivaldybės administracijos reikmėms naudojamų pastatų ir patalpų einamasis remontas:</t>
  </si>
  <si>
    <t>Ūkio tarnyba</t>
  </si>
  <si>
    <t>Iš viso tikslui:</t>
  </si>
  <si>
    <t>Iš viso programai:</t>
  </si>
  <si>
    <t>Finansavimo šaltinių suvestinė</t>
  </si>
  <si>
    <t>Finansavimo šaltiniai</t>
  </si>
  <si>
    <t>SAVIVALDYBĖS  LĖŠOS, IŠ VISO:</t>
  </si>
  <si>
    <t xml:space="preserve">Savivaldybės biudžetas, iš jo: </t>
  </si>
  <si>
    <r>
      <t xml:space="preserve">Savivaldybės biudžeto lėšos </t>
    </r>
    <r>
      <rPr>
        <b/>
        <sz val="10"/>
        <rFont val="Times New Roman"/>
        <family val="1"/>
        <charset val="186"/>
      </rPr>
      <t>SB</t>
    </r>
  </si>
  <si>
    <r>
      <t xml:space="preserve">Savivaldybės biudžeto rinkliavos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</si>
  <si>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</si>
  <si>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Paskolos lėšos </t>
    </r>
    <r>
      <rPr>
        <b/>
        <sz val="10"/>
        <rFont val="Times New Roman"/>
        <family val="1"/>
        <charset val="186"/>
      </rPr>
      <t>SB(P)</t>
    </r>
  </si>
  <si>
    <r>
      <t xml:space="preserve">Pajamų įmokos už patalpų nuomą </t>
    </r>
    <r>
      <rPr>
        <b/>
        <sz val="10"/>
        <rFont val="Times New Roman"/>
        <family val="1"/>
        <charset val="186"/>
      </rPr>
      <t>SB(SP)</t>
    </r>
  </si>
  <si>
    <r>
      <t xml:space="preserve">Programų lėšų likučių laikinai laisvos lėšos </t>
    </r>
    <r>
      <rPr>
        <b/>
        <sz val="10"/>
        <rFont val="Times New Roman"/>
        <family val="1"/>
        <charset val="186"/>
      </rPr>
      <t>SB(L)</t>
    </r>
  </si>
  <si>
    <r>
      <t>Pajamų įmokų už patalpų nuomą likutis</t>
    </r>
    <r>
      <rPr>
        <b/>
        <sz val="10"/>
        <rFont val="Times New Roman"/>
        <family val="1"/>
        <charset val="186"/>
      </rPr>
      <t xml:space="preserve"> SB(SPL)</t>
    </r>
  </si>
  <si>
    <r>
      <t>Vietinių rinkliavų lėšų likutis</t>
    </r>
    <r>
      <rPr>
        <b/>
        <sz val="10"/>
        <rFont val="Times New Roman"/>
        <family val="1"/>
        <charset val="186"/>
      </rPr>
      <t xml:space="preserve"> SB(VRL)</t>
    </r>
  </si>
  <si>
    <t>KITI ŠALTINIAI, IŠ VISO:</t>
  </si>
  <si>
    <r>
      <t xml:space="preserve">Valstybės biudžeto lėšos </t>
    </r>
    <r>
      <rPr>
        <b/>
        <sz val="10"/>
        <rFont val="Times New Roman"/>
        <family val="1"/>
        <charset val="186"/>
      </rPr>
      <t>LRVB</t>
    </r>
  </si>
  <si>
    <t>IŠ VISO:</t>
  </si>
  <si>
    <t xml:space="preserve">Parengta pastatų rekonstrukcijos projektų, vnt. </t>
  </si>
  <si>
    <t xml:space="preserve">Nugriauta statinių, vnt. </t>
  </si>
  <si>
    <t xml:space="preserve">Dalyvavimas miestų partnerių organizuojamuose tarptautiniuose renginiuose </t>
  </si>
  <si>
    <t>P.3.4.3.1</t>
  </si>
  <si>
    <t>15/5</t>
  </si>
  <si>
    <r>
      <t xml:space="preserve">Žemės pardavimų likučio lėšos </t>
    </r>
    <r>
      <rPr>
        <b/>
        <sz val="10"/>
        <rFont val="Times New Roman"/>
        <family val="1"/>
        <charset val="186"/>
      </rPr>
      <t>SB(ŽPL)</t>
    </r>
  </si>
  <si>
    <t>Dalyvauta Baltijos miestų sąjungos komisijų sesijose, kartai</t>
  </si>
  <si>
    <t>Lietuvoje veikiančių asociacijų, kurių narė yra savivaldybė, skaičius</t>
  </si>
  <si>
    <t>Dalyvauta PSO Sveikų miestų tinklo konferencijose, kartai</t>
  </si>
  <si>
    <t>Vykdoma sutarčių su Klaipėdos rajono savivaldybe, vnt.</t>
  </si>
  <si>
    <t>Įsigyta organizacinės technikos, vnt.</t>
  </si>
  <si>
    <t xml:space="preserve">Eksploatuojama kompiuterių, vnt. </t>
  </si>
  <si>
    <t>Įsigyta kompiuterinės technikos, vnt.</t>
  </si>
  <si>
    <t>UPD  Statybos leidimų ir statinių priežiūros sk.</t>
  </si>
  <si>
    <t>Išsiųsta laiškų, tūkst. vnt.</t>
  </si>
  <si>
    <t>FTD Apskaitos sk.</t>
  </si>
  <si>
    <t>Savivaldybės tarybos ir mero sekretoriato finansinio, ūkinio bei materialinio aptarnavimo užtikrinimas</t>
  </si>
  <si>
    <t>Savivaldybės tarybos ir mero sekretoriato darbuotojų skaičius</t>
  </si>
  <si>
    <t>Inžinerinių tinklų, kurių atlikti matavimai, ilgis, km</t>
  </si>
  <si>
    <t>Kompiuterinės, programinės įrangos, organizacinės technikos bei licencijų įsigijimas, eksploatavimas</t>
  </si>
  <si>
    <t>Išmokų seniūnaičiams mokėjimas</t>
  </si>
  <si>
    <t>Seniūnaičių, gaunančių išmokas, skaičius</t>
  </si>
  <si>
    <t xml:space="preserve">Dalyvio mokestis už narystę Lietuvoje veikiančiose asociacijose </t>
  </si>
  <si>
    <t xml:space="preserve"> TIKSLŲ, UŽDAVINIŲ, PRIEMONIŲ, PRIEMONIŲ IŠLAIDŲ IR PRODUKTO KRITERIJŲ SUVESTINĖ</t>
  </si>
  <si>
    <t>tūkst. Eur</t>
  </si>
  <si>
    <t>VALDYMO PROGRAMOS (NR. 03)</t>
  </si>
  <si>
    <t>P3.4.1.1, P3.4.2.1, P3.4.1.4</t>
  </si>
  <si>
    <t>Savivaldybės administracijos darbuotojų etatų skaičius</t>
  </si>
  <si>
    <t>Organizuotų mokymų, dalyvių skaičius, vnt.</t>
  </si>
  <si>
    <t>SB(L)</t>
  </si>
  <si>
    <t>2018-ieji metai</t>
  </si>
  <si>
    <t>2019-ieji metai</t>
  </si>
  <si>
    <t>Aiškinamojo rašto priedas Nr.3</t>
  </si>
  <si>
    <t>IED</t>
  </si>
  <si>
    <t xml:space="preserve">Suorganizuota renginių, skaičius </t>
  </si>
  <si>
    <t>1/31</t>
  </si>
  <si>
    <t>1/34</t>
  </si>
  <si>
    <t xml:space="preserve">Pastato Šimkaus g. 11 stogo, fasado ir vidaus patalpų remontas </t>
  </si>
  <si>
    <t>Dalyvauta EUROCITIES metinėje konferencijoje ir Kultūros forume, kartai</t>
  </si>
  <si>
    <t xml:space="preserve">Organizuota bendrų projektų su miestais partneriais, vnt. </t>
  </si>
  <si>
    <t xml:space="preserve"> Klaipėdos miesto savivaldybės administracijos perkėlimas į naujas patalpas</t>
  </si>
  <si>
    <t>Mokamas narystės asociacijoje „Klaipėdos regionas“ mokestis, skaičius</t>
  </si>
  <si>
    <t>Organizuota Baltijos miestų sąjungos sesijų Klaipėdoje, kartai</t>
  </si>
  <si>
    <t>Socialinės paramos skyriaus patalpų remontas (Laukininkų g. 19A)</t>
  </si>
  <si>
    <t xml:space="preserve">Išsiųsta registruotų laiškų su įteikimu, paprastų laiškų Viešosios tvarkos skyriaus vykdomai veikla, tūkst. vnt. </t>
  </si>
  <si>
    <t xml:space="preserve">Savivaldybės nenaudojamų (neeksploatuojamų) statinių nugriovimas ir jų inžinerinių tinklų techninės būklės palaikymas </t>
  </si>
  <si>
    <t xml:space="preserve">Prižiūrėta objektų, vnt. </t>
  </si>
  <si>
    <t xml:space="preserve">Remontuota objektų, vnt. </t>
  </si>
  <si>
    <t>Perduota inžinerinių tinklų, km</t>
  </si>
  <si>
    <t>Įsigyta programinės įrangos, vnt.</t>
  </si>
  <si>
    <t>Prižiūrėta programinės įrangos, vnt.</t>
  </si>
  <si>
    <t>Eksploatuojama šviestuvų, vnt.</t>
  </si>
  <si>
    <t>Viešųjų ryšių plėtojimas (gyventojų apklausos, nuomonių tyrimai,  informacijos sklaida žiniasklaidos priemonėse, savivaldybės skelbimų publikavimas, rinkodaros ir reprezentacinių  priemonių vykdymas ir kt.)</t>
  </si>
  <si>
    <t>Automobilių statymo aikštelės prie „Švyturio“ arenos apšvietimo išlaidų dengimas ir energinių išteklių išlaidų kompensavimas UAB „Klaipėdos arena“</t>
  </si>
  <si>
    <t>Įsigyta suvenyrų  rūšių, vnt.</t>
  </si>
  <si>
    <t>Suremontuota fasado ploto (3170 m²),  m²</t>
  </si>
  <si>
    <t>Suremontuota kabinetų ploto, m²</t>
  </si>
  <si>
    <t>Kapinių priežiūros skyriaus pastato remontas (Toleikių k., Klaipėdos r. sav.)</t>
  </si>
  <si>
    <r>
      <t xml:space="preserve">Europos Sąjungos paramos lėšos, kurios įtrauktos į Savivaldybės biudžetą </t>
    </r>
    <r>
      <rPr>
        <b/>
        <sz val="10"/>
        <rFont val="Times New Roman"/>
        <family val="1"/>
        <charset val="186"/>
      </rPr>
      <t>SB(ES)</t>
    </r>
  </si>
  <si>
    <t>Įsigytas turtas, vnt.</t>
  </si>
  <si>
    <t>2020-ųjų metų lėšų projektas</t>
  </si>
  <si>
    <t>2020-ieji metai</t>
  </si>
  <si>
    <t xml:space="preserve">VšĮ „Klaipėdos šventės“ vietinės rinkliavos administravimo apmokėjimas </t>
  </si>
  <si>
    <t>FTD Finansų skyrius</t>
  </si>
  <si>
    <t>12</t>
  </si>
  <si>
    <t>Nupirkta spaudos ploto dienraščiuose, tūkst. kv. cm</t>
  </si>
  <si>
    <t xml:space="preserve">Gerinti gyventojų aptarnavimo kokybę, diegiant pažangius vadybos principus </t>
  </si>
  <si>
    <t xml:space="preserve">Projekto „Paslaugų teikimo kokybės gerinimas Klaipėdos regiono gyventojams“ įgyvendinimas </t>
  </si>
  <si>
    <t>Savivaldybės administracijos veiklos užtikrinimas (pastatų eksploatacija, prekių ir paslaugų įsigijimas, korespondencijos siuntimas paštu, spaudinių prenumerata, naudojimasis Registrų centro duomenų bazėmis ir kt.)</t>
  </si>
  <si>
    <t>ES</t>
  </si>
  <si>
    <t>Įsteigta piliečių chartija, vnt.</t>
  </si>
  <si>
    <t>40/ 200</t>
  </si>
  <si>
    <t>40/ 80</t>
  </si>
  <si>
    <t xml:space="preserve">Įdiegtas ir taikomas vadybos metodas, vnt. </t>
  </si>
  <si>
    <t>Apmokyta darbuotojų, skaičius</t>
  </si>
  <si>
    <t>Sertifikuota atskirų metodų vidinių lyderių, skaičius</t>
  </si>
  <si>
    <t>Mokymų (valstybės tarnautojų įvadiniai mokymai, specifiniai mokymai atestatams ir licencijoms įgyti, naujų darbuotojų adaptavimas) organizavimas</t>
  </si>
  <si>
    <t xml:space="preserve">Pateikta VĮ Registrų centras suvestinių duomenų apie žemės sklypų mokestines vertes, kartai </t>
  </si>
  <si>
    <t xml:space="preserve">Eksploatuojama administracinių teisės pažeidimų protokolų valdymo programa, vartotojų skaičius </t>
  </si>
  <si>
    <t>Viešosios tvarkos skyriaus veiklos užtikrinimas (pastatų eksploatacija, prekių ir paslaugų įsigijimas, korespondencijos siuntimas paštu, naudojimasis Registrų centro informacinėmis duomenų bazėmisir kt.)</t>
  </si>
  <si>
    <t xml:space="preserve">Išsinuomota ir užpildyta stelažų dokumentų saugojimui (Archyvo veiklai), tiesiniai metrai </t>
  </si>
  <si>
    <t>Naudojamos programinės įrangos licencijos, vnt.</t>
  </si>
  <si>
    <t>P3.4.3.5</t>
  </si>
  <si>
    <t>Strateginio planavimo skyrius</t>
  </si>
  <si>
    <t>Atlikta pastato Debreceno g. 41 vidaus patalpų remonto darbų. Užbaigtumas, proc.</t>
  </si>
  <si>
    <t xml:space="preserve">Pastato Liepų g. 13 fasado remontas ir šildymo sistemos pertvarkymas </t>
  </si>
  <si>
    <t>Parengtas planas, vnt.</t>
  </si>
  <si>
    <t>Įsigyta inventoriaus (2018 m. - 30 vnt. kabinų, 30 vnt. balsadėžių, 10 vnt. nedegių spintų, vnt.), vnt.</t>
  </si>
  <si>
    <t>Valstybės deleguotų funkcijų vykdymas: Žemės ūkio priemonių vykdymas</t>
  </si>
  <si>
    <r>
      <t xml:space="preserve">Europos Sąjungos paramos lėšos </t>
    </r>
    <r>
      <rPr>
        <b/>
        <sz val="10"/>
        <rFont val="Times New Roman"/>
        <family val="1"/>
        <charset val="186"/>
      </rPr>
      <t>ES</t>
    </r>
  </si>
  <si>
    <t>Pašto patalpų Aukštoji g. 13, Klaipėdoje išpirkimas</t>
  </si>
  <si>
    <t>Įsigytas civilinės atsakomybės draudimas (Administracinių nusižengimų kodekso ginčų nagrinėjimui), vnt.</t>
  </si>
  <si>
    <t>Patvirtinta nauja Savivaldybės administracijos organizacinė struktūra, vnt.</t>
  </si>
  <si>
    <t>Savivaldybės administracijos organizacinės struktūros tobulinimas</t>
  </si>
  <si>
    <t>Organizuotas tradicinis Baltijos ir Juodosios jūrų ekonominis forumas Klaipėdoje, vnt.</t>
  </si>
  <si>
    <t>Mokamas tikslinis narystės asociacijoje „Klaipėdos regionas“ mokestis, susijęs su regoninės specializacijos parengimu, skaičius</t>
  </si>
  <si>
    <t>Atstovavimo teismuose ir teismų sprendimų vykdymo organizavimas bei teismo išlaidų apmokėjimas</t>
  </si>
  <si>
    <t>Civilinės atsakomybės draudimo įsigijimas</t>
  </si>
  <si>
    <t xml:space="preserve">Parengta studija dėl miesto parkų valdymo modelio, vnt.                                                            </t>
  </si>
  <si>
    <t>Suplanuota susitikimų, vnt.</t>
  </si>
  <si>
    <t>Klaipėdos m. savivaldybės administracijos įvaizdžio gerinimas, sukuriant  gyventojus aptarnaujančių darbuotojų aprangos dizainą ir įsigyjant aprangą</t>
  </si>
  <si>
    <t>Socialinės paramos skyriaus patalpų remontas (Vytauto g. 13)</t>
  </si>
  <si>
    <t>2018-ųjų metų asignavimų planas</t>
  </si>
  <si>
    <t>Parengta galimybių studija, vnt.</t>
  </si>
  <si>
    <t>Parengta studija dėl savivaldybės viešųjų objektų valdymo pagal Energijos sprendimų centro (ESCO) modelį, vnt.</t>
  </si>
  <si>
    <t xml:space="preserve">Dalyvio mokestis už narystę ir dalyvavimas  tarptautinių organizacijų veikloje (Cruise Baltic – CB, EUROCITIES, Union of the Baltic Cities – UBC, Baltic Sail,  European Cities Against Drugs – ECAD, Healthy Cities network – WHO, Kommunnes Internasjonale Miljoorganisasjon – KIMO, Istoriniųi miestų lyga - IMLA, Žydų kultūros paveldo Europoje asociacija, Hansos miestų sąjunga)  </t>
  </si>
  <si>
    <t>Išnuomota elektromobilių ir autobusiukas, vnt.</t>
  </si>
  <si>
    <t>Įsigyta palauga "IP -telefonija", vnt.</t>
  </si>
  <si>
    <t>Atlikta pastato Debreceno g. 41 dalies fasado sienų, langų, durų ir stogo tvarkymo darbų. Užbaigtumas, proc.</t>
  </si>
  <si>
    <t>Pasirašytų paskolų sutarčių, vnt.</t>
  </si>
  <si>
    <t xml:space="preserve">Atlikta pastato (Kalvos g. 4) stogo ir fasado remonto darbų. Užbaigtumas, proc. </t>
  </si>
  <si>
    <t>Atlikta pastato (Tiltų g. 8) fasado darbų. Užbaigtumas, proc.</t>
  </si>
  <si>
    <t>Atlikta pastato (Pievų Tako g. 38) patalpų remonto darbų. Užbaigtumas, proc.</t>
  </si>
  <si>
    <t>Tobulinti savivaldybės administracijos veiklos valdymą:</t>
  </si>
  <si>
    <t>Atlikta Klaipėdos m. savivaldybės teikiamų viešųjų paslaugų tyrimų, vnt.</t>
  </si>
  <si>
    <t>Atlikta pastato stogo, fasado ir  patalpų  remonto darbų. Užbaigtumas, proc.</t>
  </si>
  <si>
    <t>Atlikta pastato stogo, fasado, vidaus vamzdynų ir patalpų  remonto darbų. Užbaigtumas, proc.</t>
  </si>
  <si>
    <t>Atlikta pastato fasado remonto darbų. Užbaigtumas, proc.</t>
  </si>
  <si>
    <t>Sumontuota šildymo radiatorių, vnt.</t>
  </si>
  <si>
    <t>Atlikta pastato patalpų remonto darbų. Užbaigtumas, proc.</t>
  </si>
  <si>
    <t>Atlikta pastato patalpų (228 m²) remonto darbų. Užbaigtumas, proc.</t>
  </si>
  <si>
    <t xml:space="preserve"> </t>
  </si>
  <si>
    <t xml:space="preserve">Atlikta pastato (Kalvos g. 2B) stogo remonto darbų. Užbaigtumas, proc. </t>
  </si>
  <si>
    <t>Įsigyta vaizdo konferencinė įranga, vnt.</t>
  </si>
  <si>
    <t>Pastato Liepų g. 11 fasado ir patalpų remontas</t>
  </si>
  <si>
    <t>1170</t>
  </si>
  <si>
    <t>Klaipėdos savivaldybės strateginio plėtros plano (KSP) 2021–2028 m. parengimas</t>
  </si>
  <si>
    <t>Prisijungimų  prie Registro centro skaičius, tūkst. kartų</t>
  </si>
  <si>
    <t>Parengtas pastato (Tiltų g. 8) fasado darbų techninis projektas, vnt.</t>
  </si>
  <si>
    <t>2021-ųjų metų lėšų projektas</t>
  </si>
  <si>
    <t>2021-ieji metai</t>
  </si>
  <si>
    <r>
      <t xml:space="preserve">2018–2021 M. KLAIPĖDOS MIESTO SAVIVALDYBĖS </t>
    </r>
    <r>
      <rPr>
        <b/>
        <sz val="11"/>
        <rFont val="Times New Roman"/>
        <family val="1"/>
        <charset val="186"/>
      </rPr>
      <t xml:space="preserve">            </t>
    </r>
  </si>
  <si>
    <t>1000</t>
  </si>
  <si>
    <t xml:space="preserve">*pagal Klaipėdos miesto savivaldybės tarybos 2017-07-26 sprendimą Nr. T2-162
</t>
  </si>
  <si>
    <t>2019-ųjų metų asignavimų planas</t>
  </si>
  <si>
    <t xml:space="preserve">STRATEGINIO VEIKLOS PLANO VYKDYMO ATASKAITA </t>
  </si>
  <si>
    <t>Vertinimo kriterijaus</t>
  </si>
  <si>
    <t>Informacija apie pasiektus rezultatus, duomenys apie programai skirtų asignavimų panaudojimo tikslingumą</t>
  </si>
  <si>
    <t>Priežastys, dėl kurių planuotos rodiklių reikšmės nepasiektos</t>
  </si>
  <si>
    <t>pavadinimas</t>
  </si>
  <si>
    <t xml:space="preserve"> VALDYMO  PROGRAMOS (NR. 03)</t>
  </si>
  <si>
    <t>ĮVYKDYMO ATASKAITA</t>
  </si>
  <si>
    <r>
      <t xml:space="preserve">Asignavimų valdytoja </t>
    </r>
    <r>
      <rPr>
        <sz val="12"/>
        <rFont val="Times New Roman"/>
        <family val="1"/>
        <charset val="186"/>
      </rPr>
      <t>– Klaipėdos miesto savivaldybės administracija.</t>
    </r>
  </si>
  <si>
    <t>faktiškai įvykdyta</t>
  </si>
  <si>
    <t>–</t>
  </si>
  <si>
    <t>(pagal planą arba geriau);</t>
  </si>
  <si>
    <t>iš dalies įvykdyta</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</si>
  <si>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ir papriemonių įgyvendinimo lygį:</t>
    </r>
  </si>
  <si>
    <t>1) papriemonė ir priemonė laikoma visiškai įvykdyta, jei pasiektos visos planuotų ataskaitiniais metais vertinimo  kriterijų reikšmės;</t>
  </si>
  <si>
    <t>2) papriemonė ir priemonė laikoma iš dalies įvykdyta, jei pasiekta mažiau vertinimo kriterijų reikšmių, nei planuota ataskaitiniais metais;</t>
  </si>
  <si>
    <t>3) papriemonė ir priemonė laikoma neįvykdyta, jei nepasiekta nė viena planuoto ataskaitinių metų produkto kriterijaus reikšmė.</t>
  </si>
  <si>
    <t>Teisiškai neįregistruoto turto skaičius nuo viso turto skaičiaus, proc.</t>
  </si>
  <si>
    <t>Teisiškai įregistruotų gatvių skaičius nuo faktiškai esančio gatvių skaičiaus, proc.</t>
  </si>
  <si>
    <t>Nenaudojamo veikloje nekilnojamojo turto dalis, palyginti su visu savivaldybės nekilnojamuoju turtu, proc. (skaičiuojama pagal nekilnojamojo turto objektus)</t>
  </si>
  <si>
    <t>Savivaldybės kontroliuojamų įmonių rentabilumas (proc.)</t>
  </si>
  <si>
    <t>Savivaldybės administracijos darbuotojų kaita, proc.</t>
  </si>
  <si>
    <t>Perkeltų į elektroninę erdvę paslaugų kiekis</t>
  </si>
  <si>
    <t>Turto skyrius</t>
  </si>
  <si>
    <r>
      <rPr>
        <b/>
        <sz val="12"/>
        <rFont val="Times New Roman"/>
        <family val="1"/>
        <charset val="186"/>
      </rPr>
      <t>Programą vykdė:</t>
    </r>
    <r>
      <rPr>
        <sz val="12"/>
        <rFont val="Times New Roman"/>
        <family val="1"/>
        <charset val="186"/>
      </rPr>
      <t xml:space="preserve"> Finansų ir turto departamentas (Finansų skyrius, Apskaitos skyrius, Turto skyrius, Mokesčių skyrius), Savivaldybės administracijos direktoriaus pavaldumo Strateginio planavimo skyrius, Teisės skyrius, Personalo skyrius, Informavimo ir e. paslaugų skyrius, Savivaldybės administracijos direktoriaus pavaduotojo pavaldumo Ūkio skyrius, Viešosios tvarkos skyrius, Investicijų ir ekonomikos departamentas (Tarptautinių ryšių, verslo plėtros ir turizmo skyrius, Projektų skyrius)</t>
    </r>
  </si>
  <si>
    <t>neįvykdyta</t>
  </si>
  <si>
    <t>(blogiau, nei planuota);</t>
  </si>
  <si>
    <t xml:space="preserve">2019 M. KLAIPĖDOS MIESTO SAVIVALDYBĖS </t>
  </si>
  <si>
    <t>2019 m. asignavimų patvirtintas planas*</t>
  </si>
  <si>
    <t>2019 m. asignavimų patikslintas planas**</t>
  </si>
  <si>
    <t>2019 m. panaudotos lėšos (kasinės išlaidos)</t>
  </si>
  <si>
    <t>Išnuomota autotransporto priemonių, vnt.</t>
  </si>
  <si>
    <t>Išsinuomota ir užpildyta stelažų dokumentų saugojimui (Archyvo veiklai), m</t>
  </si>
  <si>
    <t>26/3</t>
  </si>
  <si>
    <t>Apmokyta darbuotojų ir mokymo programų skaičius</t>
  </si>
  <si>
    <t>180 /30</t>
  </si>
  <si>
    <t>Įrengta diskusijų sistema posėdžių salėje Danės g. 17, vnt.</t>
  </si>
  <si>
    <r>
      <t xml:space="preserve">Tarptautinio bendradarbiavimo vystymas, atstovaujant Klaipėdos miestui  (tarptautinės organizacijos – </t>
    </r>
    <r>
      <rPr>
        <i/>
        <sz val="10"/>
        <rFont val="Times New Roman"/>
        <family val="1"/>
        <charset val="186"/>
      </rPr>
      <t>Cruise Baltic</t>
    </r>
    <r>
      <rPr>
        <sz val="10"/>
        <rFont val="Times New Roman"/>
        <family val="1"/>
        <charset val="186"/>
      </rPr>
      <t xml:space="preserve"> – CB, EUROCITIES, </t>
    </r>
    <r>
      <rPr>
        <i/>
        <sz val="10"/>
        <rFont val="Times New Roman"/>
        <family val="1"/>
        <charset val="186"/>
      </rPr>
      <t>Union of the Baltic Cities</t>
    </r>
    <r>
      <rPr>
        <sz val="10"/>
        <rFont val="Times New Roman"/>
        <family val="1"/>
        <charset val="186"/>
      </rPr>
      <t xml:space="preserve"> – UBC, </t>
    </r>
    <r>
      <rPr>
        <i/>
        <sz val="10"/>
        <rFont val="Times New Roman"/>
        <family val="1"/>
        <charset val="186"/>
      </rPr>
      <t xml:space="preserve">Baltic Sail,  European Cities Against Drugs </t>
    </r>
    <r>
      <rPr>
        <sz val="10"/>
        <rFont val="Times New Roman"/>
        <family val="1"/>
        <charset val="186"/>
      </rPr>
      <t>– ECAD,</t>
    </r>
    <r>
      <rPr>
        <i/>
        <sz val="10"/>
        <rFont val="Times New Roman"/>
        <family val="1"/>
        <charset val="186"/>
      </rPr>
      <t xml:space="preserve"> Healthy Cities network – </t>
    </r>
    <r>
      <rPr>
        <sz val="10"/>
        <rFont val="Times New Roman"/>
        <family val="1"/>
        <charset val="186"/>
      </rPr>
      <t>WHO,</t>
    </r>
    <r>
      <rPr>
        <i/>
        <sz val="10"/>
        <rFont val="Times New Roman"/>
        <family val="1"/>
        <charset val="186"/>
      </rPr>
      <t xml:space="preserve"> Kommunnes Internasjonale Miljoorganisasjon – </t>
    </r>
    <r>
      <rPr>
        <sz val="10"/>
        <rFont val="Times New Roman"/>
        <family val="1"/>
        <charset val="186"/>
      </rPr>
      <t xml:space="preserve">KIMO, Istorinių miestų lyga – IMLA, Žydų kultūros paveldo Europoje asociacija, Hansos miestų sąjunga, </t>
    </r>
    <r>
      <rPr>
        <i/>
        <sz val="10"/>
        <rFont val="Times New Roman"/>
        <family val="1"/>
        <charset val="186"/>
      </rPr>
      <t>Tall Ships Races Europe Ltd.</t>
    </r>
    <r>
      <rPr>
        <sz val="10"/>
        <rFont val="Times New Roman"/>
        <family val="1"/>
        <charset val="186"/>
      </rPr>
      <t xml:space="preserve"> (</t>
    </r>
    <r>
      <rPr>
        <i/>
        <sz val="10"/>
        <rFont val="Times New Roman"/>
        <family val="1"/>
        <charset val="186"/>
      </rPr>
      <t>Sail Training International – STI</t>
    </r>
    <r>
      <rPr>
        <sz val="10"/>
        <rFont val="Times New Roman"/>
        <family val="1"/>
        <charset val="186"/>
      </rPr>
      <t>)</t>
    </r>
  </si>
  <si>
    <t>Dalyvauta tarptautinių organizacijų veikloje, tarptautiniuose ir miestų partnerių organizuojamuose renginiuose, kartai per metus</t>
  </si>
  <si>
    <t>Išversta į užsienio kalbas tarptautinio bendradarbiavimo dokumentų, puslapių skaičius</t>
  </si>
  <si>
    <t>Užsienio delegacijų priėmimų organizavimas</t>
  </si>
  <si>
    <t>Organizuota užsienio delegacijų priėmimų ir  pristatymų apie Klaipėdos miestą, vnt.</t>
  </si>
  <si>
    <t xml:space="preserve">Priemonių, susijusių su diasporos veikomis, įgyvendinimas </t>
  </si>
  <si>
    <t>SB(KPP)</t>
  </si>
  <si>
    <t>Savivaldybės kontroliuojamų įmonių įstatinio kapitalo didinimas, perduodant inžinerinius tinklus funkcijoms vykdyti, neveikiančių įmonių likvidavimas</t>
  </si>
  <si>
    <t>Pastatų pripažinimo tinkamais naudoti dokumentų rengimas</t>
  </si>
  <si>
    <t xml:space="preserve">Atlikta scenos (prie Šaulių g. 36) remonto darbų. Užbaigtumas, proc. </t>
  </si>
  <si>
    <t xml:space="preserve">Atlikta pastato (Šilutės pl. 38) stogo ir fasado remonto darbų. Užbaigtumas, proc. </t>
  </si>
  <si>
    <t>Atlikta istorinių laivų krantinės Klaipėdos piliavietėje sutvarkymo ekspertizė bei techninio svorio įvertinimas, vnt.</t>
  </si>
  <si>
    <t>Valstybės deleguotų funkcijų vykdymas: žemės ūkio priemonių vykdymas</t>
  </si>
  <si>
    <t>Įsigyta finansų valdymo ir apskaitos informacinės sistemos „Biudžetas VS“ priežiūros paslauga, vnt.</t>
  </si>
  <si>
    <t>P6</t>
  </si>
  <si>
    <t xml:space="preserve">Projekto „Paslaugų teikimo gyventojams kokybės gerinimas Klaipėdos regiono savivaldybėse“ įgyvendinimas </t>
  </si>
  <si>
    <t>P3.4.3.5, P6</t>
  </si>
  <si>
    <t>Klaipėdos savivaldybės strateginio plėtros plano 2021–2030 m. parengimas</t>
  </si>
  <si>
    <t>Suremontuota apšvietimo prožektorių, vnt.</t>
  </si>
  <si>
    <t>Suremontuotas neįgaliųjų liftas (Liepų g. 11), vnt.</t>
  </si>
  <si>
    <t xml:space="preserve">Archyvo patalpų elektros naudojimo įrenginių remontas </t>
  </si>
  <si>
    <t>Atlikta remonto darbų H. Manto g. 51 ir Liepų g. 13. Užbaigtumas, proc.</t>
  </si>
  <si>
    <t xml:space="preserve">Pastato Liepų g. 13 fasado remontas </t>
  </si>
  <si>
    <t>Parengtas techninis projektas, vnt.</t>
  </si>
  <si>
    <t>Atlikta stogo remonto darbų. Užbaigtumas, proc.</t>
  </si>
  <si>
    <r>
      <t xml:space="preserve">Europos Sąjungos paramos lėšos, kurios įtrauktos į savivaldybės biudžetą </t>
    </r>
    <r>
      <rPr>
        <b/>
        <sz val="10"/>
        <rFont val="Times New Roman"/>
        <family val="1"/>
        <charset val="186"/>
      </rPr>
      <t>SB(ES)</t>
    </r>
  </si>
  <si>
    <r>
      <t xml:space="preserve">Kelių priežiūros ir plėtros programos lėšos įtrauktos į savivaldybės biudžetą </t>
    </r>
    <r>
      <rPr>
        <b/>
        <sz val="10"/>
        <rFont val="Times New Roman"/>
        <family val="1"/>
        <charset val="186"/>
      </rPr>
      <t>SB(KPP)</t>
    </r>
  </si>
  <si>
    <t>______________________________________</t>
  </si>
  <si>
    <t>2019 m. SVP programos Nr. 03 įvykdymas</t>
  </si>
  <si>
    <t>Kodas</t>
  </si>
  <si>
    <t>METINIO VEIKLOS PLANO VYKDYMO ATASKAITA</t>
  </si>
  <si>
    <t>Atsakingas (-i) asmuo (-ys)</t>
  </si>
  <si>
    <t>SP lėšos</t>
  </si>
  <si>
    <t>Patvirtintas asignavimų planas</t>
  </si>
  <si>
    <t>Patikslintas asignavimų planas</t>
  </si>
  <si>
    <t>Iš viso gauta asignavimų</t>
  </si>
  <si>
    <t>Likutis</t>
  </si>
  <si>
    <t>Efekto /Rezultato /Produkto</t>
  </si>
  <si>
    <t>Rodiklis</t>
  </si>
  <si>
    <t>Mato vnt.</t>
  </si>
  <si>
    <t>2019</t>
  </si>
  <si>
    <t>Aprašymas</t>
  </si>
  <si>
    <t>Pastaba</t>
  </si>
  <si>
    <t>Faktas</t>
  </si>
  <si>
    <t>Savivaldybės valdymo programa</t>
  </si>
  <si>
    <t>03.01.</t>
  </si>
  <si>
    <t>03.01.01.</t>
  </si>
  <si>
    <t xml:space="preserve">Organizuoti savivaldybės veiklos bendrųjų funkcijų vykdymą                </t>
  </si>
  <si>
    <t>03.01.01.01.</t>
  </si>
  <si>
    <t>Savivaldybės administracijos veiklos užtikrinimas</t>
  </si>
  <si>
    <t>Daiva Gaudiešiutė, Donatas Jeruševičius, Lina Čeponienė, Lukas Jonušas, Vilija Venckutė-Palaitienė</t>
  </si>
  <si>
    <t>Savivaldybės administracijos darbuotojų</t>
  </si>
  <si>
    <t>skaičius</t>
  </si>
  <si>
    <t>438,50</t>
  </si>
  <si>
    <t>2018-06-28 T2-125 nustatytas didžiausias leistinas valstybės tarnautojų ir darbuotojų skaičius – 438,5</t>
  </si>
  <si>
    <t>03.01.01.01.0100.</t>
  </si>
  <si>
    <t>Neproporcingai sumažinto darbo užmokesčio grąžinimas</t>
  </si>
  <si>
    <t>Daiva Gaudiešiutė</t>
  </si>
  <si>
    <t>Sumažinto darbo užmokesčio grąžinimas darbuotojams</t>
  </si>
  <si>
    <t>254,00</t>
  </si>
  <si>
    <t>245,00</t>
  </si>
  <si>
    <t>03.01.01.01.0101.</t>
  </si>
  <si>
    <t>Savivaldybės administracijos veiklos užtikrinimas (Departamentų direktoriai, vyr. specialistai, Dokumentų valdymo skyrius, Informavimo ir e. paslaugų skyrius, Teisės skyrius, Personalo skyrius, Vieno langelio ir e. paslaugų poskyris, Transporto skyrius)</t>
  </si>
  <si>
    <t>03.01.01.01.0102.</t>
  </si>
  <si>
    <t>Savivaldybės administracijos veiklos užtikrinimas (Finansų skyrius, Mokesčių skyrius, Apskaitos skyrius, Centralizuoto vidaus audito skyrius, Strateginio planavimo skyrius, Projektų skyrius, Planavimo ir analizės skyrius)</t>
  </si>
  <si>
    <t>03.01.01.01.0103.</t>
  </si>
  <si>
    <t>Savivaldybės administracijos veiklos užtikrinimas (Turto skyrius, Informacinių technologijų poskyris, Viešųjų pirkimų skyrius, Ūkio skyrius)</t>
  </si>
  <si>
    <t>03.01.01.01.0104.</t>
  </si>
  <si>
    <t>Savivaldybės administracijos veiklos užtikrinimas (Savivaldybei priskirtų archyvinių dokumentų tvarkymas)</t>
  </si>
  <si>
    <t>Išsinuomota ir užpildyta stelažų dokumentų saugojimui (Archyvo veiklai), tiesiniai metrai</t>
  </si>
  <si>
    <t>m</t>
  </si>
  <si>
    <t>1 000,00</t>
  </si>
  <si>
    <t>1 061,76</t>
  </si>
  <si>
    <t>03.01.01.01.0105.</t>
  </si>
  <si>
    <t>Savivaldybės administracijos veiklos užtikrinimas (Civilinės būklės aktų registravimas)</t>
  </si>
  <si>
    <t>03.01.01.01.0106.</t>
  </si>
  <si>
    <t>Savivaldybės administracijos veiklos užtikrinimas (Žemėtvarkos skyrius)</t>
  </si>
  <si>
    <t>03.01.01.01.0107.</t>
  </si>
  <si>
    <t>Savivaldybės administracijos veiklos užtikrinimas (Licencijų, leidimų ir vartotojų teisių apsaugos skyrius)</t>
  </si>
  <si>
    <t>03.01.01.01.0108.</t>
  </si>
  <si>
    <t>Savivaldybės administracijos veiklos užtikrinimas (Architektūros ir miesto planavimo skyrius, Geodezijos ir GIS skyrius, Paveldosaugos skyrius, Statybos leidimų ir statinių priežiūros skyrius, Urbanistikos skyrius)</t>
  </si>
  <si>
    <t>03.01.01.01.0109.</t>
  </si>
  <si>
    <t>Savivaldybės administracijos veiklos užtikrinimas (Tarptautinių ryšių ir ekonominės plėtros skyrius)</t>
  </si>
  <si>
    <t>03.01.01.01.0110.</t>
  </si>
  <si>
    <t>Savivaldybės administracijos veiklos užtikrinimas (Aplinkos kokybės skyrius)</t>
  </si>
  <si>
    <t>03.01.01.01.0111.</t>
  </si>
  <si>
    <t>Savivaldybės administracijos veiklos užtikrinimas (Miesto tvarkymo skyrius, Statybos ir infrastruktūros plėtros skyrius, Socialinės infrastruktūros priežiūros skyrius, Kapinių priežiūros skyrius)</t>
  </si>
  <si>
    <t>03.01.01.01.0112.</t>
  </si>
  <si>
    <t>Savivaldybės administracijos veiklos užtikrinimas (Sveikatos apsaugos skyrius)</t>
  </si>
  <si>
    <t>03.01.01.01.0113.</t>
  </si>
  <si>
    <t>Savivaldybės administracijos veiklos užtikrinimas (Kultūros skyrius)</t>
  </si>
  <si>
    <t>03.01.01.01.0114.</t>
  </si>
  <si>
    <t>Savivaldybės administracijos veiklos užtikrinimas (Sporto ir kūno kultūros skyrius)</t>
  </si>
  <si>
    <t>03.01.01.01.0115.</t>
  </si>
  <si>
    <t>Savivaldybės administracijos veiklos užtikrinimas (Švietimo skyrius)</t>
  </si>
  <si>
    <t>03.01.01.01.0116.</t>
  </si>
  <si>
    <t>Savivaldybės administracijos veiklos užtikrinimas (Socialinės paramos skyrius, Socialinio būsto skyrius)</t>
  </si>
  <si>
    <t>03.01.01.01.0117.</t>
  </si>
  <si>
    <t>Savivaldybės administracijos veiklos užtikrinimas (Administracijos direktorius, direktoriaus pavaduotojas)</t>
  </si>
  <si>
    <t>03.01.01.01.0118.</t>
  </si>
  <si>
    <t>Savivaldybės administracijos veiklos užtikrinimas (Gyvenamosios vietos deklaravimas)</t>
  </si>
  <si>
    <t>03.01.01.01.0119.</t>
  </si>
  <si>
    <t>Savivaldybės administracijos veiklos užtikrinimas (Pašalpų administravimas)</t>
  </si>
  <si>
    <t>03.01.01.01.0120.</t>
  </si>
  <si>
    <t>Savivaldybės administracijos veiklos užtikrinimas (Biudžetinių įstaigų centralizuotos apskaitos skyrius)</t>
  </si>
  <si>
    <t>03.01.01.01.0121.</t>
  </si>
  <si>
    <t>Savivaldybės administracijos veiklos užtikrinimas (Kompensacijų administravimas)</t>
  </si>
  <si>
    <t>03.01.01.01.0130.</t>
  </si>
  <si>
    <t>Deleguotų funkcijų vykdymas (Gyventojų registro tvarkymas ir duomenų valstybės registrui teikimas)</t>
  </si>
  <si>
    <t>03.01.01.01.0131.</t>
  </si>
  <si>
    <t>Deleguotų funkcijų vykdymas (Valstybinės kalbos vartojimo ir taisyklingumo kontrolė)</t>
  </si>
  <si>
    <t>03.01.01.01.0132.</t>
  </si>
  <si>
    <t>Deleguotų funkcijų vykdymas (Savivaldybei priskirtų archyvinių dokumentų tvarkymas)</t>
  </si>
  <si>
    <t>03.01.01.01.0133.</t>
  </si>
  <si>
    <t>Deleguotų funkcijų vykdymas  (Dalyvavimas rengiant ir vykdant mobilizaciją)</t>
  </si>
  <si>
    <t>03.01.01.01.0134.</t>
  </si>
  <si>
    <t>Deleguotų funkcijų vykdymas  (Duomenų į Suteiktos valstybės pagalbos ir nereikšmingos pagalbos registrą teikimas)</t>
  </si>
  <si>
    <t>03.01.01.01.0135.</t>
  </si>
  <si>
    <t>Deleguotų funkcijų vykdymas (Valstybės garantuojamos pirminės teisinės pagalbos teikimas)</t>
  </si>
  <si>
    <t>03.01.01.01.0137.</t>
  </si>
  <si>
    <t>Deleguotų funkcijų vykdymas (Gyvenamosios vietos deklaravimo duomenų ir gyvenamosios vietos neturinčių asmenų apskaitos duomenų tvarkymas)</t>
  </si>
  <si>
    <t>03.01.01.01.0139.</t>
  </si>
  <si>
    <t>Deleguotų funkcijų vykdymo administravimas (Asmenims su sunkia negalia teikiamų socialinės globos paslaugų administravimas)</t>
  </si>
  <si>
    <t>03.01.01.01.0140.</t>
  </si>
  <si>
    <t>Deleguotų funkcijų vykdymo administravimas (Socialinės paramos mokiniams administravimas)</t>
  </si>
  <si>
    <t>03.01.01.01.0141.</t>
  </si>
  <si>
    <t>Deleguotų funkcijų vykdymo administravimas (Savivaldybių patvirtintoms užimtumo programoms įgyvendinti)</t>
  </si>
  <si>
    <t>03.01.01.01.0142.</t>
  </si>
  <si>
    <t>Deleguotų funkcijų vykdymas (Būsto nuomos mokesčio daliai kompensuoti)</t>
  </si>
  <si>
    <t>03.01.01.01.0143.</t>
  </si>
  <si>
    <t>Deleguotų funkcijų vykdymo administravimas (Laidojimo pašalpų administravimas)</t>
  </si>
  <si>
    <t>03.01.01.01.0145.</t>
  </si>
  <si>
    <t>Deleguotų funkcijų vykdymas  (Jaunimo teisių apsaugos užtikrinimas)</t>
  </si>
  <si>
    <t>03.01.01.01.0146.</t>
  </si>
  <si>
    <t>Tikslinė dotacija perduotoms savivaldybei įstaigoms išlaikyti</t>
  </si>
  <si>
    <t>03.01.01.01.0147.</t>
  </si>
  <si>
    <t>Deleguotų funkcijų vykdymas (Stiprinti sveikos gyvensenos įgūdžius bendruomenėse bei vykdyti visuomenės sveikatos stebėseną savivaldybėse)</t>
  </si>
  <si>
    <t>03.01.01.01.0148.</t>
  </si>
  <si>
    <t>Deleguotų funkcijų vykdymas (Civilinės būklės aktų registravimas)</t>
  </si>
  <si>
    <t>03.01.01.01.0149.</t>
  </si>
  <si>
    <t>Deleguotų funkcijų vykdymas (Civilinės saugos organizavimas)</t>
  </si>
  <si>
    <t>03.01.01.01.0150.</t>
  </si>
  <si>
    <t>Dotacija Tarpinstitucinio bendradarbiavimo koordinatoriaus funkcijoms vykdyti</t>
  </si>
  <si>
    <t>03.01.01.01.0151.</t>
  </si>
  <si>
    <t>Deleguotų funkcijų vykdymas (Savivaldybės erdvinių duomenų rinkinio tvarkymas)</t>
  </si>
  <si>
    <t>03.01.01.01.0201.</t>
  </si>
  <si>
    <t>Savivaldybės administracijos veiklos užtikrinimas (Asignavimų valdytojo pajamų įmokos už patalpų nuomą)</t>
  </si>
  <si>
    <t>Išnuomota autotransporto priemonių</t>
  </si>
  <si>
    <t>vnt.</t>
  </si>
  <si>
    <t>4,00</t>
  </si>
  <si>
    <t>0,00</t>
  </si>
  <si>
    <t>Nuomojami 5 automobiliai.</t>
  </si>
  <si>
    <t>Išsiųsta laiškų, tūkst.</t>
  </si>
  <si>
    <t>21,00</t>
  </si>
  <si>
    <t>Patalpų nuoma Socialinės paramos skyriaus darbuotojams dėl Vytauto g. 13 patalpų remonto, mėn. per metus</t>
  </si>
  <si>
    <t>kartai</t>
  </si>
  <si>
    <t>Patalpų nuomoti šiais metais nereikės, remonto projektas dar neparuoštas. Galima kelti į kitus metus.</t>
  </si>
  <si>
    <t>03.01.01.01.03.</t>
  </si>
  <si>
    <t>Savivaldybės administracijos veiklos užtikrinimas (Viešosios tvarkos skyrius)</t>
  </si>
  <si>
    <t>Marius Poimanskis, Rita Mikluševičiūtė</t>
  </si>
  <si>
    <t>Išsiųsta registruotų laiškų su įteikimu ir paprastų laiškų Viešosios tvarkos skyriaus vykdomai veiklai, tūkst.</t>
  </si>
  <si>
    <t>29,00</t>
  </si>
  <si>
    <t>16,50</t>
  </si>
  <si>
    <t>Registruotų - 16,3 tūkst., paprastų - 0,2 tūkst.</t>
  </si>
  <si>
    <t>Eksploatuojama administracinių teisės pažeidimų protokolų valdymo programos vartotojų</t>
  </si>
  <si>
    <t>34,00</t>
  </si>
  <si>
    <t>Administracinių teisės pažeidimų protokolų valdymo sistemos įdiegimas ir eksploatavimas</t>
  </si>
  <si>
    <t>03.01.01.01.04.</t>
  </si>
  <si>
    <t>Lukas Jonušas</t>
  </si>
  <si>
    <t>Įsigyta inventoriaus</t>
  </si>
  <si>
    <t>75,00</t>
  </si>
  <si>
    <t>121,00</t>
  </si>
  <si>
    <t>už  tas pačias lėšas įsigyta papildomai inventoriaus nei planuota (2019 m. - 30 vnt. kabinų, 20 vnt. balsadėžių, 14 vnt. nedegių spintų, 11 nuovažų neįgaliesiems, 5 darbo stalai kairiniai; 2 darbo stalai dešininiai; 8 mobilūs stalčių blokai; 6 spintelės prie stalo; 1 spintelė printeriui; 1 spintelė su durelėmis; 2 atviros spintelės prie stalo; 1 darbo stalas kairinis; 7 darbo kėdės; 13 dokumentų naikiklių), vnt.</t>
  </si>
  <si>
    <t>03.01.01.01.05.</t>
  </si>
  <si>
    <t>Inga Gelžinytė-Litinskienė, Lauryna Jonaitė</t>
  </si>
  <si>
    <t>Mokymo programų skaičius</t>
  </si>
  <si>
    <t>30,00</t>
  </si>
  <si>
    <t>42,00</t>
  </si>
  <si>
    <t>Apmokyta darbuotojų</t>
  </si>
  <si>
    <t>180,00</t>
  </si>
  <si>
    <t>172,00</t>
  </si>
  <si>
    <t>03.01.01.01.06.</t>
  </si>
  <si>
    <t>Donatas Jeruševičius, Lina Kryževičienė, Milda Milbutaitė, Vilija Venckutė-Palaitienė</t>
  </si>
  <si>
    <t>Įsigyta suvenyrų rūšių</t>
  </si>
  <si>
    <t>10,00</t>
  </si>
  <si>
    <t>9,00</t>
  </si>
  <si>
    <t>2019-05-06 Pirkimo sutartis Nr. J9-1526</t>
  </si>
  <si>
    <t>Nupirkta spaudos ploto dienraščiuose, tūkst. kvadratiniai centimetrai</t>
  </si>
  <si>
    <t>cm</t>
  </si>
  <si>
    <t>95,40</t>
  </si>
  <si>
    <t>108,00</t>
  </si>
  <si>
    <t>Už I ketv.: „Vakarų ekspresas“ – 13559,22 kv. cm; „Klaipėda“ – 7254,76 kv. cm
Už II ketv.: „Vakarų ekspresas“ –14278,42 kv. cm; „Klaipėda“  – 14099,92
Už III ketv.: „Vakarų ekspresas“ – 13827,15 kv. cm; „Klaipėda“  – 13978,63 kv. cm
Už IV ketv.: „Vakarų ekspresas“ – 13055,9 kv. cm; „Klaipėda“  –  17948,52 kv. cm</t>
  </si>
  <si>
    <t>Atlikta apklausų, tyrimų</t>
  </si>
  <si>
    <t>1,00</t>
  </si>
  <si>
    <t>Nuo 2019-03-15 iki 2019-05-15 atlikta apklausa dėl asmenų prašymų nagrinėjimo ir aptarnavimo kokybės vertinimo. Apklausos rezultatų apibendrinimas 2019-07-19 raštu Nr. VS-3737 pateiktas KMSA direktoriui. Apklausos rezultatų suvestinė paskelbta svetainėje. skiltyje "Apklausų rezultatai".</t>
  </si>
  <si>
    <t>Suorganizuota renginių</t>
  </si>
  <si>
    <t>3,00</t>
  </si>
  <si>
    <t>6,00</t>
  </si>
  <si>
    <t>Suorganizuoti šie renginiai: Nacionalinis diktantas, Valentino diena, Konstitucijos egzaminas, Savivaldos diena, kalėdinis renginys darbuotojų vaikams ir kalėdinis renginys darbuotojams</t>
  </si>
  <si>
    <t>03.01.01.01.07.</t>
  </si>
  <si>
    <t>Eglė Mockienė</t>
  </si>
  <si>
    <t>Per ataskaitinį laikotarpį užbaigtų bylų</t>
  </si>
  <si>
    <t>130,00</t>
  </si>
  <si>
    <t>148,00</t>
  </si>
  <si>
    <t>03.01.01.01.08.</t>
  </si>
  <si>
    <t>Kristina Petraitienė</t>
  </si>
  <si>
    <t>Pateikta VĮ Registrų centras suvestinių duomenų apie žemės sklypų mokestines vertes</t>
  </si>
  <si>
    <t>Sutartis pasirašyta ir gaunami duomenys nuo 2019-05-06 Nr. J9-1531 (PS-3733).</t>
  </si>
  <si>
    <t>Namų administratorių, teikiančių paslaugas</t>
  </si>
  <si>
    <t>38,00</t>
  </si>
  <si>
    <t>20,00</t>
  </si>
  <si>
    <t>Pasirašytos ir vykdomos sutartys su 9 namų valdomis. Sutartys galioja iki 2021-09-11. 3 ketv. organizuotas naujas pirkimas dėl ŽNM paskirstymo paslaugos teikimo (29 DNSB pareiškė norą dalyvauti apklausoje mažos vertės pirkimui ir joms išsiųsti kvietimai) VPĮ nustatyta tvarka. Pirkimo metu pateikė dokumentus tik 11 paslaugos teikėjų (DNSB). Su jais ir sudarytos sutartys. Sutartys galioja nuo 2019-09 mėn. iki 2022-08 mėn. Kiti atsisakė teikti dokumentus ir dalyvauti apklausoje VPĮ nustatyta tvarka.</t>
  </si>
  <si>
    <t>03.01.01.01.10.</t>
  </si>
  <si>
    <t>Seniūnaičių mokymai ir išmokų seniūnaičiams mokėjimas</t>
  </si>
  <si>
    <t>Raminta Virvičienė</t>
  </si>
  <si>
    <t>Seniūnaičių, gaunančių išmokas</t>
  </si>
  <si>
    <t>55,00</t>
  </si>
  <si>
    <t>32,00</t>
  </si>
  <si>
    <t>03.01.01.01.12.</t>
  </si>
  <si>
    <t>Andrius Kačalinas, Eglė Mockienė</t>
  </si>
  <si>
    <t>Įsigytas civilinės atsakomybės draudimas (Administracinių nusižengimų kodekso ginčų nagrinėjimui)</t>
  </si>
  <si>
    <t>Atlikus viešųjų pirkimų procedūras 2019 m. gruodžio 4 d. sudaryta paslaugų sutartis Nr. J9-3004 dėl valstybės tarnybos bei valstybės tarnautojų ir darbuotojų, dirbančių pagal darbo sutartis, atsakomybės draudimo paslaugų įsigyjimo.</t>
  </si>
  <si>
    <t>03.01.01.02.</t>
  </si>
  <si>
    <t>03.01.01.02.01.</t>
  </si>
  <si>
    <t>Kontrolės ir audito tarnybos darbuotojų</t>
  </si>
  <si>
    <t>03.01.01.02.02.</t>
  </si>
  <si>
    <t>Kontrolės ir audito tarnyba - Neproporcingai sumažinto darbo užmokesčio grąžinimas</t>
  </si>
  <si>
    <t>03.01.01.03.</t>
  </si>
  <si>
    <t>Lina Čeponienė</t>
  </si>
  <si>
    <t>03.01.01.03.01.</t>
  </si>
  <si>
    <t>Donatas Jeruševičius</t>
  </si>
  <si>
    <t>Savivaldybės tarybos narių</t>
  </si>
  <si>
    <t>31,00</t>
  </si>
  <si>
    <t>03.01.01.04.</t>
  </si>
  <si>
    <t>Savivaldybės tarybos ir mero sekretoriato darbuotojų</t>
  </si>
  <si>
    <t>03.01.01.04.01.</t>
  </si>
  <si>
    <t>Darius Kadys, Donatas Jeruševičius</t>
  </si>
  <si>
    <t>13,00</t>
  </si>
  <si>
    <t>Įrengta diskusijų sistema posėdžių salėje Danės g. 17</t>
  </si>
  <si>
    <t>Neįvykus viešiesiems pirkimams, priemonės vykdymas perkeltas 2020 m.</t>
  </si>
  <si>
    <t>03.01.01.05.</t>
  </si>
  <si>
    <t>Mero reprezentacinių priemonių vykdymas (Mero  fondo naudojimas)</t>
  </si>
  <si>
    <t>03.01.01.05.01.</t>
  </si>
  <si>
    <t>03.01.01.06.</t>
  </si>
  <si>
    <t>Dalyvavimas vietinių ir tarptautinių organizacijų veikloje</t>
  </si>
  <si>
    <t>Ričardas Zulcas</t>
  </si>
  <si>
    <t>03.01.01.06.01.</t>
  </si>
  <si>
    <t>Dalyvio mokestis už narystę Lietuvoje veikiančiose asociacijose</t>
  </si>
  <si>
    <t>Daiva Gaudiešiutė, Lina Čeponienė, Reda Švelniūtė</t>
  </si>
  <si>
    <t>Lietuvoje veikiančių asociacijų, kurių narė yra savivaldybė</t>
  </si>
  <si>
    <t>Savivaldybių asociacija (0,03 proc. nuo biudžeto apimties), VVG, ŽVVG po 50 eur per metus</t>
  </si>
  <si>
    <t>Mokamas tikslinis narystės asociacijoje „Klaipėdos regionas“ mokestis</t>
  </si>
  <si>
    <t>Sumokėtas 19 739,88 Eur. mokestis</t>
  </si>
  <si>
    <t>03.01.01.06.02.</t>
  </si>
  <si>
    <t>Tarptautinio bendradarbiavimo vystymas, atstovaujant Klaipėdos miestą (Dalyvio mokestis už narystę ir dalyvavimas tarptautinių organizacijų veikloje)</t>
  </si>
  <si>
    <t>Reda Švelniūtė</t>
  </si>
  <si>
    <t>Savivaldybė yra 10-ties tarptautinių organizacijų narė (KMSA moka 9 narystės mokesčius)). 2019 m. sumokėti narystės mokesčiai šiose organizacijose: 
ECAD, EUROCITIES, Istorinių miestų lyga, Baltijos miestų sąjunga, Baltijos kruizai, Baltic Sail, KIMO, Žydų kultūros paveldas Europoje, WHO.</t>
  </si>
  <si>
    <t>315,00</t>
  </si>
  <si>
    <t>2019 m. išversta daugiau nei 315 puslapių gautų laiškų, raštų, kvietimų ir kt. dokumentų iš užsienio (anglų, rusų, vokiečių ir t.t.) į lietuvių kalbą. Viešųjų pirkimų būdu nupirktos vertimo paslaugos apimtyje išversta 283 psl. informacijos, likusi informacija versta skyriaus specialistų.</t>
  </si>
  <si>
    <t>17,00</t>
  </si>
  <si>
    <t>Klaipėdos miesto savivaldybės atstovai 2019 m. aktyviai dalyvavo tarptautinių organizacijų veikloje (viso 13 kartų), tarptautiniuose (viso 32 kartai) ir miestų partnerių organizuojamuose renginiuose (viso 10 kartų).</t>
  </si>
  <si>
    <t>KVJUD</t>
  </si>
  <si>
    <t>03.01.01.06.03.</t>
  </si>
  <si>
    <t>Užsienio delegacijų priėmimų organizavimas (Dalyvavimas miestų partnerių organizuojamuose tarptautiniuose renginiuose)</t>
  </si>
  <si>
    <t>Organizuota užsienio delegacijų priėmimų ir  pristatymų apie Klaipėdos miestą</t>
  </si>
  <si>
    <t>35,00</t>
  </si>
  <si>
    <t>2019 m. organizuoti 5 užsienio delegacijų priėmimai Klaipėdos mieste:
- Gegužės 17 d. organizuotas Liepojos savivaldybės delegacijos vizitas Klaipėdoje;
- Gegužės 28 d. – birželio 1 d. organizuotas Kudžio miesto (Japonija) delegacijos (35 asm.) vizitas Klaipėdoje;
- Rugsėjo 24 d. organizuotas Kudžio miesto (Japonija) kūrybinės grupės vizitas į Klaipėdos pradinio ugdymo mokyklas; 
- Lapkričio 4-5 d. organizuotas Tatarstano Respublikos delegacijos vizitas Klaipėdoje;
- Gruodžio 12-14 d. organizuotas Odesos miesto delegacijos vizitas Klaipėdoje.
2019 m. organizuoti 5 Klaipėdos miesto savivaldybės delegacijų vizitai (miesto pristatymai) į užsienio šalis bei keli Klaipėdos miesto pristatymai Lietuvoje: 
- Gegužės 11 d. kartu su Lighthouse, KUFA, KMPT organizuotas Klaipėdos miesto pristatymas Europos dienos renginių metu Vilniuje;
- Organizuotas 10 žurnalistų delegacijos priėmimas Klaipėdoje.
2019 m. organizuotas maitinimas 650 asmenų.</t>
  </si>
  <si>
    <t>Organizuotas tarptautinis renginys Klaipėdoje</t>
  </si>
  <si>
    <t>03.01.01.06.04.</t>
  </si>
  <si>
    <t>Priemonių, susijusių su diasporos veikomis, įgyvendinimas</t>
  </si>
  <si>
    <t>Sukurta virtuali laisvai samdomų darbuotojų platforma</t>
  </si>
  <si>
    <t>Sukurta platforma</t>
  </si>
  <si>
    <t>Organizuotas tarptautinis renginys – „Globali Klaipėda" piliečių dialogas</t>
  </si>
  <si>
    <t>Planuotas renginys neįvyko dėl personalo kaitos Savivaldybės administracijoje ir Klaipėda ID, t. y. planuota, kad renginį organizuos Julija (KlaipėdaID), bet ji išėjo iš darbo.</t>
  </si>
  <si>
    <t>03.01.01.07.</t>
  </si>
  <si>
    <t>Jolanta Mileikienė, Rūta Kambaraitė</t>
  </si>
  <si>
    <t>03.01.01.07.01.</t>
  </si>
  <si>
    <t>Paskolų grąžinimas</t>
  </si>
  <si>
    <t>Jolanta Mileikienė</t>
  </si>
  <si>
    <t>Pasirašytų paskolų sutarčių</t>
  </si>
  <si>
    <t>2,00</t>
  </si>
  <si>
    <t>03.01.01.07.02.</t>
  </si>
  <si>
    <t>Palūkanų mokėjimas</t>
  </si>
  <si>
    <t>03.01.01.08.</t>
  </si>
  <si>
    <t>03.01.01.08.01.</t>
  </si>
  <si>
    <t>03.01.01.09.</t>
  </si>
  <si>
    <t>Savivaldybei nuosavybės teise priklausančio ir patikėjimo teise valdomo turto valdymas, naudojimas ir disponavimas</t>
  </si>
  <si>
    <t>Edvardas Simokaitis</t>
  </si>
  <si>
    <t>03.01.01.09.01.</t>
  </si>
  <si>
    <t>Inga Gabrielaitienė</t>
  </si>
  <si>
    <t>Inžinerinių tinklų, kurių atlikti matavimai, ilgis</t>
  </si>
  <si>
    <t>km</t>
  </si>
  <si>
    <t>67,00</t>
  </si>
  <si>
    <t>Atlikta 20 km. inžinerinių tinklų kadastriniai matavimai. Taip pat 2019 metais buvo vykdomas vietinės reikšmės kelių ir gatvių kadastrinių matavimų atlikimas, tačiau 2019 metais dėl didelių darbų apimčių nespėta atlikti visų suplanuotų vietinės reikšmės kelių kadastrinių matavimų, kurie buvo finansuojami iš KPP lėšų.</t>
  </si>
  <si>
    <t>03.01.01.09.02.</t>
  </si>
  <si>
    <t>Evelina Rudaitienė</t>
  </si>
  <si>
    <t>Prižiūrėta objektų</t>
  </si>
  <si>
    <t>18,00</t>
  </si>
  <si>
    <t>2019 metais vykdyta 18 objektų priežiūra.</t>
  </si>
  <si>
    <t>03.01.01.09.03.</t>
  </si>
  <si>
    <t>Remontuota objektų</t>
  </si>
  <si>
    <t>11,00</t>
  </si>
  <si>
    <t>Apmokėta savivaldybei tenkanti dalis pagal daugiabučių namų administratorių pateiktas sąskaitas. Likusiai lėšų daliai apmokėjimo dokumentų namų administratoriai nepateikė.</t>
  </si>
  <si>
    <t>03.01.01.09.04.</t>
  </si>
  <si>
    <t>Savivaldybės nenaudojamų (neeksploatuojamų) statinių  nugriovimas ir jų inžinerinių tinklų techninės būklės palaikymas</t>
  </si>
  <si>
    <t>Nugriauta statinių</t>
  </si>
  <si>
    <t>2019 metais panaudotos lėšos savivaldybei priklausančio pastato Puodžių g. 13 techninės būklės palaikymui.</t>
  </si>
  <si>
    <t>03.01.01.09.05.</t>
  </si>
  <si>
    <t>Alina Mikalauskė</t>
  </si>
  <si>
    <t>Perduota inžinerinių tinklų</t>
  </si>
  <si>
    <t>Inžinerinių tinklų perdavimas įmonėms 2019 metais nebuvo vykdomas, nes buvo vykdoma inžinerinių tinklų kadastriniai matavimai ir teisinė registracija bei sudarinėjami galimų perduoti tinklų sąrašai bei derinami su įmonėmis. Tinklų perdavimą planuojama vykdyti 2020 metais.</t>
  </si>
  <si>
    <t>03.01.01.09.06.</t>
  </si>
  <si>
    <t>Eksploatuojama šviestuvų</t>
  </si>
  <si>
    <t>116,00</t>
  </si>
  <si>
    <t>Vykdomas apmokėjimas už automobilių stovėjimo aikštelių apšvietimą prie "Švyturio" arenos pagal koncesijos sutartį.</t>
  </si>
  <si>
    <t>03.01.01.09.07.</t>
  </si>
  <si>
    <t>Privatizuota objektų</t>
  </si>
  <si>
    <t>19,00</t>
  </si>
  <si>
    <t>Apmokėta už planuojamų privatizuoti objektų vertinimo ataskaitas.</t>
  </si>
  <si>
    <t>03.01.01.09.08.</t>
  </si>
  <si>
    <t>Olga Valantiejienė</t>
  </si>
  <si>
    <t>Privatizuota gyvenamųjų patalpų ir jų priklausinių</t>
  </si>
  <si>
    <t>80,00</t>
  </si>
  <si>
    <t>16,00</t>
  </si>
  <si>
    <t>Planuojama apmokėti už planuojamų privatizuoti objektų vertinimo ataskaitas.</t>
  </si>
  <si>
    <t>03.01.01.09.09.</t>
  </si>
  <si>
    <t>Buvo rengta pastatų techninės būklės vertinimo ekspertizė.</t>
  </si>
  <si>
    <t>03.01.01.09.1001.</t>
  </si>
  <si>
    <t>Savivaldybės nekilnojamojo turto  (negyvenamoji paskirtis) remontas (vykdo Turto skyrius)</t>
  </si>
  <si>
    <t>Atlikta scenos (prie Šaulių g. 36) remonto darbų. Užbaigtumas</t>
  </si>
  <si>
    <t>proc.</t>
  </si>
  <si>
    <t>100,00</t>
  </si>
  <si>
    <t>Scenos (prie Šaulių g. 36) remonto darbai baigti.</t>
  </si>
  <si>
    <t>Atlikta pastato (Kalvos g. 4) stogo ir fasado remonto darbų. Užbaigtumas</t>
  </si>
  <si>
    <t>90,00</t>
  </si>
  <si>
    <t>Remonto darbus planuojama baigti IV ketv.</t>
  </si>
  <si>
    <t>Atlikta pastato (Tiltų g. 8) fasado darbų. Užbaigtumas</t>
  </si>
  <si>
    <t>Parengtas kapitalinio remonto projektas. Rengiami rangos darbų pirkimo dokumentai</t>
  </si>
  <si>
    <t>Atlikta pastato (Šilutės pl. 38) stogo ir fasado remonto darbų. Užbaigtumas</t>
  </si>
  <si>
    <t>Nuspręsta patalpas Šilutės pl. 38 privatizuoti. Remonto darbai nebebus atliekami.</t>
  </si>
  <si>
    <t>03.01.01.09.1002.</t>
  </si>
  <si>
    <t>Savivaldybės nekilnojamojo turto  (negyvenamoji paskirtis) remontas (vykdo Ūkio skyrius)</t>
  </si>
  <si>
    <t>Liudmila Grebeniuk, Lukas Jonušas</t>
  </si>
  <si>
    <t>Atlikta pastato Debreceno g. 41 vidaus patalpų remonto darbų. Užbaigtumas</t>
  </si>
  <si>
    <t>Atlikta pastato Debreceno g. 41 patalpų,  dalies fasado sienų, langų, durų ir stogo tvarkymo darbų. Užbaigtumas</t>
  </si>
  <si>
    <t>Bus daromas sutarties keitimas, perkami kiti darbai.</t>
  </si>
  <si>
    <t>03.01.01.10</t>
  </si>
  <si>
    <t>Savivaldybei priklausančių statinių esamos techninės būklės įvertinimo paslaugų įsigijimas</t>
  </si>
  <si>
    <t>Gediminas Pocius</t>
  </si>
  <si>
    <t>03.01.01.10.01.</t>
  </si>
  <si>
    <t>Jurgita Drizgaitė</t>
  </si>
  <si>
    <t>Įvertinta pastatų</t>
  </si>
  <si>
    <t>5,00</t>
  </si>
  <si>
    <t>Pasiūlymų vertė buvo mažesnė nei numatyta, todėl už nepanaudotas lėšas numatyta papildomai pirkti 
"Administracinio pastato Liepų g. 11, Klaipėdoje energetinio vertinimo paslauga" (2019-08-16 direktoriaus įsakymas Nr. AD2-1382) bei dviejų gydymo įstaigų "pastatų (jų dalių) techninės būklės įvertinimo paslaugas" (2019-09-03 direktoriaus įsakymas Nr. AD2-1495). 
Per visą priemonę 22.244,61 Eur. bus panaudota III ketvirtyje, likusi dalis (4255,39 Eur.) planuojama panaudoti IV ketvirtyje.</t>
  </si>
  <si>
    <t>Atlikta istorinių laivų krantinės Klaipėdos piliavietėje sutvarkymo ekspertizė bei techninio svorio įvertinimas</t>
  </si>
  <si>
    <t>7,00</t>
  </si>
  <si>
    <t>Nupirkta 2 ekspertizėmis daugiau. Planuota buvo 26000 eurų, panaudota 25858 eurai.</t>
  </si>
  <si>
    <t>03.01.01.11.</t>
  </si>
  <si>
    <t>Valstybės deleguotų funkcijų vykdymas</t>
  </si>
  <si>
    <t>03.01.01.11.01.</t>
  </si>
  <si>
    <t>Deleguotų funkcijų vykdymas (Žemės ūkio funkcijoms atlikti)</t>
  </si>
  <si>
    <t>Vykdoma sutarčių su Klaipėdos rajono savivaldybe</t>
  </si>
  <si>
    <t>Vykdoma sutartis:
I ketvirtyje sumokėta 1300 Eur. įmoka
II ketvirtyje sumokėta 1300 Eur. įmoka
III ketvirtyje sumokėta 1400 Eur. įmoka</t>
  </si>
  <si>
    <t>03.01.01.11.02.</t>
  </si>
  <si>
    <t>Darbo rinkos politikos priemonių vykdymas</t>
  </si>
  <si>
    <t>Rima Ignatavičienė</t>
  </si>
  <si>
    <t>03.01.02.</t>
  </si>
  <si>
    <t xml:space="preserve">Diegti Savivaldybės administracijoje modernias informacines sistemas ir plėsti elektroninių paslaugų spektrą                </t>
  </si>
  <si>
    <t>Vilija Venckutė-Palaitienė</t>
  </si>
  <si>
    <t>03.01.02.01.</t>
  </si>
  <si>
    <t xml:space="preserve">Informacinių technologijų palaikymas ir plėtojimas Savivaldybės administracijoje </t>
  </si>
  <si>
    <t>Darius Kadys</t>
  </si>
  <si>
    <t>03.01.02.01.01.</t>
  </si>
  <si>
    <t>Darius Kadys, Modestas Martišius</t>
  </si>
  <si>
    <t>Eksploatuojama kompiuterių</t>
  </si>
  <si>
    <t>439,00</t>
  </si>
  <si>
    <t>Eksploatuojama kompiuterių.</t>
  </si>
  <si>
    <t>Naudojamos programinės įrangos licencijos</t>
  </si>
  <si>
    <t>Naudojamos programinės įrangos licencijos.</t>
  </si>
  <si>
    <t>Įsigyta organizacinės technikos</t>
  </si>
  <si>
    <t>Įsigyti daugiafunkciniai spausdintuvai.</t>
  </si>
  <si>
    <t>Įsigyta programinės įrangos</t>
  </si>
  <si>
    <t>2019-03-19 Paslaugų sutartis Nr. J9-1122
2019-03-19 Paslaugų sutartis Nr. J9-1134
2019-07-17 Pirkimo sutartis (spausdinimo ir kopijavimo valdymo programinė įranga) Nr. J9-2117
2019-08-14 Pirkimo sutartis J9-2296</t>
  </si>
  <si>
    <t>Įsigyta kompiuterinės technikos</t>
  </si>
  <si>
    <t>Nupirkti nešiojami kompiuteriai.</t>
  </si>
  <si>
    <t>Prižiūrėta programinės įrangos</t>
  </si>
  <si>
    <t>14,00</t>
  </si>
  <si>
    <t>Prižiūrėta programinės įrangos.</t>
  </si>
  <si>
    <t>Įsigyta finansų valdymo ir apskaitos informacinės sistemos "Biudžeta VS" priežiūros paslauga</t>
  </si>
  <si>
    <t>2019-02-14 Paslaugų sutartis Nr. J9-732</t>
  </si>
  <si>
    <t>03.01.03.</t>
  </si>
  <si>
    <t>Gerinti gyventojų aptarnavimo kokybę, diegiant pažangius vadybos principus</t>
  </si>
  <si>
    <t>Indrė Butenienė, Inga Gelžinytė-Litinskienė</t>
  </si>
  <si>
    <t>03.01.03.01.</t>
  </si>
  <si>
    <t>Tobulinti savivaldybės administracijos veiklos valdymą</t>
  </si>
  <si>
    <t>03.01.03.01.01.</t>
  </si>
  <si>
    <t>Inga Gelžinytė-Litinskienė</t>
  </si>
  <si>
    <t>Patvirtinta nauja Savivaldybės administracijos organizacinė struktūra su parengta seniūnijų steigimo poreikio galimybių studija</t>
  </si>
  <si>
    <t>Paslaugos atliktos. Sutartis 2018-10-08 Nr. J9-2170 įgyvendinta.</t>
  </si>
  <si>
    <t>03.01.03.01.02.</t>
  </si>
  <si>
    <t>Projekto „Paslaugų teikimo gyventojams kokybės gerinimas Klaipėdos regiono savivaldybėse“ įgyvendinimas</t>
  </si>
  <si>
    <t>Indrė Butenienė, Jūratė Sokolova</t>
  </si>
  <si>
    <t>66,00</t>
  </si>
  <si>
    <t>Šiuo metu Kretingos raj. savivaldybė vykdo viešuosius pirkimus. Prognozuojama projekto veiklų pradžia 2020 m.</t>
  </si>
  <si>
    <t>Įdiegtas ir taikomas vadybos metodas</t>
  </si>
  <si>
    <t>Įdiegti ir taikomi ne mažiau kaip 7 LEAN „lieknoji vadyba“ (angl. lean – lieknas) (Asaichi, Kaizen, PDCA, SD, VACA, VSM, 5S) vadybos metodai, vnt.</t>
  </si>
  <si>
    <t>Šiuo metu Kretingos raj. savivaldybė vykdo viešuosius pirkimus. Prognozuojama projekto veiklų pradžia 2020 m., rodiklio įgyvendinimas 2021 m.</t>
  </si>
  <si>
    <t>03.01.03.01.03.</t>
  </si>
  <si>
    <t>Klaipėdos miesto strateginio plėtros plano (KSP) 2021–2028 m. parengimas</t>
  </si>
  <si>
    <t>Parengtas planas</t>
  </si>
  <si>
    <t>Viešųjų pirkimų procedūros įvykdytos. Plano rengėjas paskelbtas. Sutartis pasirašyta. 2019 m. bus atlikta Savivaldybei aktualių strateginio planavimo dokumentų analizė, gyventojų lūkesčių apklausa, rezultatų ir esamos būklės pristatymas, parengtos analizės ataskaitos ir tyrimų išvados</t>
  </si>
  <si>
    <t>03.01.04.</t>
  </si>
  <si>
    <t xml:space="preserve">Gerinti gyventojų aptarnavimo ir darbuotojų darbo sąlygas Savivaldybės administracijoje                </t>
  </si>
  <si>
    <t>03.01.04.01.</t>
  </si>
  <si>
    <t>Savivaldybės administracijos reikmėms naudojamų pastatų ir patalpų einamasis remontas</t>
  </si>
  <si>
    <t>03.01.04.01.01.</t>
  </si>
  <si>
    <t>Pastato Liepų g. 11 ir aplinkos atnaujinimo ir remonto darbai</t>
  </si>
  <si>
    <t>Suremontuota kabinetų ploto</t>
  </si>
  <si>
    <t>m2</t>
  </si>
  <si>
    <t>Pirkimas atliktas. Darbai atlikti.</t>
  </si>
  <si>
    <t>Suremontuotas neįgaliųjų liftas (Liepų g. 11)</t>
  </si>
  <si>
    <t>Pirkimas planuojamas 4-me ktv., darbai 4-me ktv.</t>
  </si>
  <si>
    <t>Suremontuota apšvietimo prožektorių</t>
  </si>
  <si>
    <t>03.01.04.01.02.</t>
  </si>
  <si>
    <t>Pastato Šimkaus g. 11 stogo, fasado ir vidaus patalpų remontas</t>
  </si>
  <si>
    <t>Parengtas techninis projektas</t>
  </si>
  <si>
    <t>Projektavimo darbai atlikti.</t>
  </si>
  <si>
    <t>Atlikta stogo remonto darbų. Užbaigtumas</t>
  </si>
  <si>
    <t>Parengtas techninis projektas, darbai planuojami 2020 m.</t>
  </si>
  <si>
    <t>03.01.04.01.03.</t>
  </si>
  <si>
    <t>Atlikta pastato stogo, fasado, vidaus vamzdynų ir patalpų  remonto darbų. Užbaigtumas</t>
  </si>
  <si>
    <t>03.01.04.01.04.</t>
  </si>
  <si>
    <t>Pastato Liepų g. 13 fasado remontas</t>
  </si>
  <si>
    <t>Atlikta pastato fasado remonto darbų. Užbaigtumas</t>
  </si>
  <si>
    <t>70,00</t>
  </si>
  <si>
    <t>Atlikta pastato fasado remonto darbų</t>
  </si>
  <si>
    <t>03.01.04.01.05.</t>
  </si>
  <si>
    <t>Archyvo patalpų elektros naudojimo įrenginių remontas</t>
  </si>
  <si>
    <t>Atlikta remonto darbų H. Manto g. 51 ir Liepų g. 13. Užbaigtumas</t>
  </si>
  <si>
    <t>Remonto darbai atlikti už 2708,35 Eur</t>
  </si>
  <si>
    <t>03.01.04.01.06.</t>
  </si>
  <si>
    <t>Atlikta pastato patalpų remonto darbų. Užbaigtumas</t>
  </si>
  <si>
    <t>Tikslinamas remonto projektas.</t>
  </si>
  <si>
    <t>Europos Sąjungos paramos lėšos</t>
  </si>
  <si>
    <t>Kelių priežiūros ir plėtros programos lėšos</t>
  </si>
  <si>
    <t>Programų lėšų likučių laikinai laisvos lėšos  (apyvartos lėšų likutis)</t>
  </si>
  <si>
    <t>Įstaigų pajamos</t>
  </si>
  <si>
    <t>Pajamų imokų likutis</t>
  </si>
  <si>
    <t>Valstybės biudžeto specialiosios tikslinės dotacijos lėšos</t>
  </si>
  <si>
    <t>Vietinės rinkliavos lėšos</t>
  </si>
  <si>
    <t>Vietinių rinkliavų likučio lėšos</t>
  </si>
  <si>
    <t>Klaipėdos valstybinio jūsų uosto direkcijos lėšos</t>
  </si>
  <si>
    <t>Savivaldybės biudžeto</t>
  </si>
  <si>
    <t>*Pagal Klaipėdos miesto savivaldybės administracijos direktoriaus 2019-03-04 įsakymą Nr. AD1-399</t>
  </si>
  <si>
    <t>**Pagal Klaipėdos miesto savivaldybės administracijos direktoriaus 2019-11-21 įsakymą Nr. AD1-1427</t>
  </si>
  <si>
    <t>Sumažinto darbo užmokesčio grąžinimas darbuotojams, skaičius</t>
  </si>
  <si>
    <t>Savivaldybės administracijos veiklos užtikrinimas (pastatų eksploatacija, prekių ir paslaugų įsigijimas, korespondencijos siuntimas paštu, spaudinių prenumerata ir kt.)</t>
  </si>
  <si>
    <t>Viešosios tvarkos skyriaus veiklos užtikrinimas (pastatų eksploatacija, prekių ir paslaugų įsigijimas, korespondencijos siuntimas paštu ir kt.)</t>
  </si>
  <si>
    <r>
      <rPr>
        <sz val="10"/>
        <rFont val="Times New Roman"/>
        <family val="1"/>
        <charset val="186"/>
      </rPr>
      <t>Įsigyta inventoriaus</t>
    </r>
    <r>
      <rPr>
        <sz val="10"/>
        <color rgb="FFFF0000"/>
        <rFont val="Times New Roman"/>
        <family val="1"/>
        <charset val="186"/>
      </rPr>
      <t>,</t>
    </r>
    <r>
      <rPr>
        <sz val="10"/>
        <rFont val="Times New Roman"/>
        <family val="1"/>
        <charset val="186"/>
      </rPr>
      <t xml:space="preserve"> vnt.</t>
    </r>
  </si>
  <si>
    <t>Suorganizuota renginių, vnt.</t>
  </si>
  <si>
    <t>patikslintos reikšmės</t>
  </si>
  <si>
    <t>Lukas Jonušas, Živilė Trynkinienė</t>
  </si>
  <si>
    <t>Įsigyta 30 vnt. kabinų, 20 vnt. balsadėžių, 14 vnt. nedegių spintų, 11 nuovažų neįgaliesiems, 5 darbo stalai kairiniai; 2 darbo stalai dešininiai; 8 mobilūs stalčių blokai; 6 spintelės prie stalo; 1 spintelė printeriui; 1 spintelė su durelėmis; 2 atviros spintelės prie stalo; 1 darbo stalas kairinis; 7 darbo kėdės; 13 dokumentų naikiklių)</t>
  </si>
  <si>
    <t>LRVB</t>
  </si>
  <si>
    <t>Apšvietimo prožektorių ir neįgaliųjų lifto pirkimas nukeltas į 2020 metus.</t>
  </si>
  <si>
    <t>Remonto darbai atlikti, apmokėti.</t>
  </si>
  <si>
    <t>Darbai įvykdyti, laukiama techninės priežiūros komentaro dėl galutinio apmokėjimo.</t>
  </si>
  <si>
    <t>Valstybės biudžeto lėšos</t>
  </si>
  <si>
    <t>1062</t>
  </si>
  <si>
    <t>17</t>
  </si>
  <si>
    <t>Registruotų laiškų – 16,3 tūkst., paprastų – 0,2 tūkst.</t>
  </si>
  <si>
    <t>16,3/0,2</t>
  </si>
  <si>
    <t>172/42</t>
  </si>
  <si>
    <t>121</t>
  </si>
  <si>
    <t>6</t>
  </si>
  <si>
    <t>108</t>
  </si>
  <si>
    <t>9</t>
  </si>
  <si>
    <t>148</t>
  </si>
  <si>
    <t>20</t>
  </si>
  <si>
    <t xml:space="preserve">Pasirašytos ir vykdomos sutartys su 9 namų valdomis. </t>
  </si>
  <si>
    <t>32</t>
  </si>
  <si>
    <t>31</t>
  </si>
  <si>
    <t>0</t>
  </si>
  <si>
    <t>13</t>
  </si>
  <si>
    <t>Viešųjų pirkimų konkursas įvyko, darbai bus atlikti 2020 m. I pusmetį.</t>
  </si>
  <si>
    <t>3</t>
  </si>
  <si>
    <t>315</t>
  </si>
  <si>
    <t>55</t>
  </si>
  <si>
    <t>2</t>
  </si>
  <si>
    <t>18</t>
  </si>
  <si>
    <t>116</t>
  </si>
  <si>
    <t>19</t>
  </si>
  <si>
    <t>16</t>
  </si>
  <si>
    <t>100</t>
  </si>
  <si>
    <t>90</t>
  </si>
  <si>
    <t>Parengtas kapitalinio remonto projektas. Rengiami rangos darbų pirkimo dokumentai.</t>
  </si>
  <si>
    <t>Buvo keičiama sutartis, todėl rangos darbai nepradėti vykdyti.</t>
  </si>
  <si>
    <t xml:space="preserve">Įdiegta ir taikoma vadybos metodų (apmokyta darbuotojų), vnt. </t>
  </si>
  <si>
    <t>Vyko techninio projekto koregavimas.</t>
  </si>
  <si>
    <t>70</t>
  </si>
  <si>
    <t>Darbų pradžia planuojama 2022 m.</t>
  </si>
  <si>
    <r>
      <rPr>
        <b/>
        <sz val="12"/>
        <rFont val="Times New Roman"/>
        <family val="1"/>
        <charset val="186"/>
      </rPr>
      <t xml:space="preserve">Iš 2019 m. </t>
    </r>
    <r>
      <rPr>
        <sz val="12"/>
        <rFont val="Times New Roman"/>
        <family val="1"/>
        <charset val="186"/>
      </rPr>
      <t xml:space="preserve">planuotų įvykdyti 42 priemonių ir papriemonių (kurioms patvirtinti /skirti asignavimai): </t>
    </r>
  </si>
  <si>
    <t>(nepasiekta planuota reikšmė).</t>
  </si>
  <si>
    <t>Vertinimo kriterijaus reikšmė nepasiekta</t>
  </si>
  <si>
    <t>0,5</t>
  </si>
  <si>
    <t>95</t>
  </si>
  <si>
    <t>17,1</t>
  </si>
  <si>
    <t>4</t>
  </si>
  <si>
    <t>213</t>
  </si>
  <si>
    <t>Vertinimo kriterijaus reikšmė įvykdyta iš dalies, kadangi neįrengtas apšvietimo prožektorius ir neįgaliųjų liftas. Darbų nespėta atlikti, nes skyriuje vyko personalo kaita. Darbai bus tęsiami 2020 m.</t>
  </si>
  <si>
    <t>Atlikti 20 km inžinerinių tinklų kadastriniai matavimai. Dėl didelių darbų apimčių nespėta atlikti visų suplanuotų vietinės reikšmės kelių kadastrinių matavimų</t>
  </si>
  <si>
    <t>Lėšos panaudotos  savivaldybei priklausančio pastato Puodžių g. 13 techninės būklės palaikymui.</t>
  </si>
  <si>
    <t xml:space="preserve">Vertinimo kriterijaus reikšmė nepasiekta, kadangi nebuvo spėta paskelbti viešųjų pirkimų konkurso dėl Ūkio skyriuje vykusios personalo kaitos. </t>
  </si>
  <si>
    <t>Tobulinti Savivaldybės administracijos veiklos valdymą:</t>
  </si>
  <si>
    <t xml:space="preserve">Pastato S. Šimkaus g. 11 stogo remontas </t>
  </si>
  <si>
    <t xml:space="preserve">Išsiųsta registruotų laiškų su įteikimu, paprastų laiškų Viešosios tvarkos skyriaus vykdomai veiklai, tūkst. vnt. </t>
  </si>
  <si>
    <t xml:space="preserve">Eksploatuojama Administracinių teisės pažeidimų protokolų valdymo programa, vartotojų skaičius </t>
  </si>
  <si>
    <t>Nuo 2019-03-15 iki 2019-05-15 atlikta apklausa dėl asmenų prašymų nagrinėjimo ir aptarnavimo kokybės vertinimo. Apklausos rezultatų suvestinė paskelbta svetainės skiltyje „Apklausų rezultatai“.</t>
  </si>
  <si>
    <t xml:space="preserve">Suorganizuoti šie renginiai:
1. Nacionalinis diktantas;
2. Valentino diena;
3. Konstitucijos egzaminas;
4. Savivaldos diena;
5. Kalėdinis renginys Savivaldybės administracijos darbuotojų vaikams;
6. Kalėdinis renginys Savivaldybės administracijos darbuotojams.
</t>
  </si>
  <si>
    <t xml:space="preserve">Pateikta VĮ Registrų centrui suvestinių duomenų apie žemės sklypų mokestines vertes, kartai </t>
  </si>
  <si>
    <t>Įsigytas civilinės atsakomybės draudimas (Administracinių nusižengimų kodekso ginčams nagrinėti), vnt.</t>
  </si>
  <si>
    <r>
      <rPr>
        <u/>
        <sz val="10"/>
        <rFont val="Times New Roman"/>
        <family val="1"/>
        <charset val="186"/>
      </rPr>
      <t>Organizuoti 5 užsienio delegacijų priėmimai Klaipėdos mieste:</t>
    </r>
    <r>
      <rPr>
        <sz val="10"/>
        <rFont val="Times New Roman"/>
        <family val="1"/>
      </rPr>
      <t xml:space="preserve">
- Gegužės 17 d. organizuotas Liepojos savivaldybės delegacijos vizitas Klaipėdoje;
- Gegužės 28 d.–birželio 1 d. organizuotas Kudžio miesto (Japonija) delegacijos (35 asm.) vizitas Klaipėdoje;
- Rugsėjo 24 d. organizuotas Kudžio miesto (Japonija) kūrybinės grupės vizitas į Klaipėdos pradinio ugdymo mokyklas; 
- Lapkričio 4–5 d. organizuotas Tatarstano Respublikos delegacijos vizitas Klaipėdoje;
- Gruodžio 12–14 d. organizuotas Odesos miesto delegacijos vizitas Klaipėdoje.
</t>
    </r>
    <r>
      <rPr>
        <u/>
        <sz val="10"/>
        <rFont val="Times New Roman"/>
        <family val="1"/>
        <charset val="186"/>
      </rPr>
      <t xml:space="preserve">Organizuoti 5 Klaipėdos miesto savivaldybės delegacijų vizitai (miesto pristatymai) į užsienio šalis bei keli Klaipėdos miesto pristatymai Lietuvoje: </t>
    </r>
    <r>
      <rPr>
        <sz val="10"/>
        <rFont val="Times New Roman"/>
        <family val="1"/>
      </rPr>
      <t xml:space="preserve">
- Gegužės 11 d. kartu su Lighthouse, KUFA, KMPT organizuotas Klaipėdos miesto pristatymas Europos dienos renginių metu Vilniuje;
- Organizuotas 10 žurnalistų delegacijos priėmimas Klaipėdoje.
2019 m. organizuotas maitinimas 650 asmenų.</t>
    </r>
  </si>
  <si>
    <t>Organizuotas tarptautinis renginys „Globali Klaipėda“ piliečių dialogas“, vnt.</t>
  </si>
  <si>
    <t>Projektas vykdomas su partneriais, pagrindinio partnerio, atsakingo už paslaugų pirkimus, funkcijas vykdo Kretingos rajono savivaldybės administracija. 2019 m. buvo vykdomos viešųjų pirkimų procedūros, tačiau jos buvo nutrauktos. Šiuo metu Kretingos rajono savivaldybės administracija vykdo viešuosius pirkimus pakartotinai. Prognozuojama projekto veiklų pradžia –2020 m. Veiklas planuojama įgyvendinti 2021 m.</t>
  </si>
  <si>
    <t>Viešųjų pirkimų procedūros įvykdytos. Plano rengėjas paskelbtas. Sutartis pasirašyta. 2019 m. atlikta savivaldybei aktualių strateginio planavimo dokumentų analizė, gyventojų lūkesčių apklausa, rezultatų ir esamos būklės pristatymas, parengtos analizės ataskaitos ir tyrimų išvados. Projekto pabaiga – 2020 m.</t>
  </si>
  <si>
    <t>Suremontuota kabinetų ploto, kv. m</t>
  </si>
  <si>
    <t>faktinės reikšmės</t>
  </si>
  <si>
    <t>SAVIVALDYBĖS VALDYMO PROGRAMA (NR. 03)</t>
  </si>
  <si>
    <t xml:space="preserve">Klaipėdos miesto savivaldybės 2019–2021 m. 
strateginio veiklos plano įgyvendinimo        
</t>
  </si>
  <si>
    <t xml:space="preserve"> 2019 m. ataskaitos dalis</t>
  </si>
  <si>
    <t>Asignavimai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</si>
</sst>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L_t_-;\-* #,##0.00\ _L_t_-;_-* &quot;-&quot;??\ _L_t_-;_-@_-"/>
    <numFmt numFmtId="165" formatCode="0.0"/>
    <numFmt numFmtId="166" formatCode="#,##0.0"/>
    <numFmt numFmtId="167" formatCode="[$-10427]#,##0.00;\-#,##0.00;&quot;&quot;"/>
  </numFmts>
  <fonts count="52">
    <font>
      <sz val="11"/>
      <color theme="1"/>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sz val="10"/>
      <name val="Times New Roman"/>
      <family val="1"/>
      <charset val="186"/>
    </font>
    <font>
      <sz val="9"/>
      <name val="Times New Roman"/>
      <family val="1"/>
      <charset val="186"/>
    </font>
    <font>
      <b/>
      <sz val="10"/>
      <name val="Times New Roman"/>
      <family val="1"/>
      <charset val="186"/>
    </font>
    <font>
      <b/>
      <sz val="9"/>
      <name val="Times New Roman"/>
      <family val="1"/>
      <charset val="186"/>
    </font>
    <font>
      <b/>
      <u/>
      <sz val="10"/>
      <name val="Times New Roman"/>
      <family val="1"/>
      <charset val="186"/>
    </font>
    <font>
      <sz val="8"/>
      <name val="Times New Roman"/>
      <family val="1"/>
      <charset val="186"/>
    </font>
    <font>
      <sz val="10"/>
      <name val="Times New Roman"/>
      <family val="1"/>
    </font>
    <font>
      <sz val="10"/>
      <name val="Arial"/>
      <family val="2"/>
      <charset val="186"/>
    </font>
    <font>
      <sz val="8"/>
      <name val="Times New Roman"/>
      <family val="1"/>
    </font>
    <font>
      <sz val="9"/>
      <name val="Times New Roman"/>
      <family val="1"/>
    </font>
    <font>
      <b/>
      <sz val="9"/>
      <color indexed="81"/>
      <name val="Tahoma"/>
      <family val="2"/>
      <charset val="186"/>
    </font>
    <font>
      <sz val="10"/>
      <name val="TimesLT"/>
      <charset val="186"/>
    </font>
    <font>
      <sz val="11"/>
      <name val="Calibri"/>
      <family val="2"/>
      <charset val="186"/>
      <scheme val="minor"/>
    </font>
    <font>
      <sz val="10"/>
      <name val="Calibri"/>
      <family val="2"/>
      <charset val="186"/>
      <scheme val="minor"/>
    </font>
    <font>
      <sz val="9"/>
      <color indexed="81"/>
      <name val="Tahoma"/>
      <family val="2"/>
      <charset val="186"/>
    </font>
    <font>
      <sz val="10"/>
      <color rgb="FFFF0000"/>
      <name val="Times New Roman"/>
      <family val="1"/>
      <charset val="186"/>
    </font>
    <font>
      <sz val="10"/>
      <color theme="1"/>
      <name val="Times New Roman"/>
      <family val="1"/>
      <charset val="186"/>
    </font>
    <font>
      <b/>
      <sz val="11"/>
      <name val="Calibri"/>
      <family val="2"/>
      <charset val="186"/>
      <scheme val="minor"/>
    </font>
    <font>
      <i/>
      <sz val="10"/>
      <name val="Times New Roman"/>
      <family val="1"/>
      <charset val="186"/>
    </font>
    <font>
      <sz val="9"/>
      <color rgb="FFFF0000"/>
      <name val="Times New Roman"/>
      <family val="1"/>
      <charset val="186"/>
    </font>
    <font>
      <sz val="7"/>
      <color indexed="81"/>
      <name val="Tahoma"/>
      <family val="2"/>
      <charset val="186"/>
    </font>
    <font>
      <sz val="8"/>
      <color rgb="FFFF0000"/>
      <name val="Times New Roman"/>
      <family val="1"/>
      <charset val="186"/>
    </font>
    <font>
      <b/>
      <sz val="10"/>
      <color theme="1"/>
      <name val="Times New Roman"/>
      <family val="1"/>
      <charset val="186"/>
    </font>
    <font>
      <sz val="10"/>
      <color theme="3"/>
      <name val="Times New Roman"/>
      <family val="1"/>
      <charset val="186"/>
    </font>
    <font>
      <b/>
      <sz val="10"/>
      <color rgb="FFFF0000"/>
      <name val="Times New Roman"/>
      <family val="1"/>
      <charset val="186"/>
    </font>
    <font>
      <b/>
      <sz val="11"/>
      <color theme="1"/>
      <name val="Calibri"/>
      <family val="2"/>
      <charset val="186"/>
      <scheme val="minor"/>
    </font>
    <font>
      <sz val="11"/>
      <name val="Times New Roman"/>
      <family val="1"/>
    </font>
    <font>
      <b/>
      <sz val="10"/>
      <name val="Times New Roman"/>
      <family val="1"/>
    </font>
    <font>
      <b/>
      <sz val="12"/>
      <name val="Times New Roman"/>
      <family val="1"/>
      <charset val="186"/>
    </font>
    <font>
      <sz val="12"/>
      <name val="Times New Roman"/>
      <family val="1"/>
      <charset val="186"/>
    </font>
    <font>
      <sz val="11"/>
      <color theme="1"/>
      <name val="Calibri"/>
      <family val="2"/>
      <scheme val="minor"/>
    </font>
    <font>
      <b/>
      <sz val="10"/>
      <name val="Arial"/>
      <family val="2"/>
      <charset val="186"/>
    </font>
    <font>
      <sz val="10"/>
      <color theme="4" tint="-0.249977111117893"/>
      <name val="Times New Roman"/>
      <family val="1"/>
      <charset val="186"/>
    </font>
    <font>
      <sz val="11"/>
      <color rgb="FFFF0000"/>
      <name val="Calibri"/>
      <family val="2"/>
      <charset val="186"/>
      <scheme val="minor"/>
    </font>
    <font>
      <b/>
      <sz val="10"/>
      <color rgb="FF000000"/>
      <name val="times New Roman"/>
      <family val="2"/>
    </font>
    <font>
      <b/>
      <sz val="9"/>
      <color rgb="FF000000"/>
      <name val="times New Roman"/>
      <family val="2"/>
    </font>
    <font>
      <b/>
      <sz val="10"/>
      <color rgb="FF000000"/>
      <name val="Calibri"/>
      <family val="2"/>
    </font>
    <font>
      <sz val="10"/>
      <color rgb="FF000000"/>
      <name val="Calibri"/>
      <family val="2"/>
    </font>
    <font>
      <b/>
      <sz val="8"/>
      <color rgb="FF000000"/>
      <name val="times New Roman"/>
      <family val="2"/>
    </font>
    <font>
      <b/>
      <sz val="10"/>
      <color rgb="FF000000"/>
      <name val="Arial"/>
      <family val="2"/>
    </font>
    <font>
      <b/>
      <sz val="9"/>
      <color rgb="FF000000"/>
      <name val="Arial"/>
      <family val="2"/>
    </font>
    <font>
      <b/>
      <sz val="8"/>
      <color rgb="FF000000"/>
      <name val="Arial"/>
      <family val="2"/>
    </font>
    <font>
      <sz val="10"/>
      <color rgb="FF000000"/>
      <name val="Arial"/>
      <family val="2"/>
    </font>
    <font>
      <sz val="9"/>
      <color rgb="FF000000"/>
      <name val="Arial"/>
      <family val="2"/>
    </font>
    <font>
      <sz val="8"/>
      <color rgb="FF000000"/>
      <name val="Arial"/>
      <family val="2"/>
    </font>
    <font>
      <sz val="9"/>
      <color rgb="FF000000"/>
      <name val="Calibri"/>
      <family val="2"/>
    </font>
    <font>
      <sz val="8"/>
      <color rgb="FF000000"/>
      <name val="Calibri"/>
      <family val="2"/>
    </font>
    <font>
      <u/>
      <sz val="10"/>
      <name val="Times New Roman"/>
      <family val="1"/>
      <charset val="186"/>
    </font>
  </fonts>
  <fills count="18">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5D9F1"/>
        <bgColor indexed="64"/>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rgb="FFFFFF00"/>
        <bgColor indexed="64"/>
      </patternFill>
    </fill>
    <fill>
      <patternFill patternType="solid">
        <fgColor theme="4" tint="0.79998168889431442"/>
        <bgColor indexed="64"/>
      </patternFill>
    </fill>
  </fills>
  <borders count="129">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medium">
        <color indexed="64"/>
      </top>
      <bottom style="thin">
        <color indexed="64"/>
      </bottom>
      <diagonal/>
    </border>
    <border>
      <left/>
      <right/>
      <top style="hair">
        <color indexed="64"/>
      </top>
      <bottom/>
      <diagonal/>
    </border>
    <border>
      <left/>
      <right style="medium">
        <color indexed="64"/>
      </right>
      <top/>
      <bottom/>
      <diagonal/>
    </border>
    <border>
      <left/>
      <right style="medium">
        <color indexed="64"/>
      </right>
      <top/>
      <bottom style="hair">
        <color auto="1"/>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auto="1"/>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style="hair">
        <color indexed="64"/>
      </bottom>
      <diagonal/>
    </border>
    <border>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hair">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s>
  <cellStyleXfs count="5">
    <xf numFmtId="0" fontId="0" fillId="0" borderId="0"/>
    <xf numFmtId="164" fontId="1" fillId="0" borderId="0" applyFont="0" applyFill="0" applyBorder="0" applyAlignment="0" applyProtection="0"/>
    <xf numFmtId="0" fontId="11" fillId="0" borderId="0"/>
    <xf numFmtId="0" fontId="15" fillId="0" borderId="0"/>
    <xf numFmtId="0" fontId="34" fillId="0" borderId="0"/>
  </cellStyleXfs>
  <cellXfs count="1684">
    <xf numFmtId="0" fontId="0" fillId="0" borderId="0" xfId="0"/>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center" vertical="top"/>
    </xf>
    <xf numFmtId="0" fontId="4" fillId="0" borderId="0" xfId="0" applyFont="1" applyBorder="1" applyAlignment="1">
      <alignment vertical="top"/>
    </xf>
    <xf numFmtId="49" fontId="6" fillId="4" borderId="31" xfId="0" applyNumberFormat="1" applyFont="1" applyFill="1" applyBorder="1" applyAlignment="1">
      <alignment horizontal="left" vertical="top" wrapText="1"/>
    </xf>
    <xf numFmtId="49" fontId="6" fillId="4" borderId="32" xfId="0" applyNumberFormat="1" applyFont="1" applyFill="1" applyBorder="1" applyAlignment="1">
      <alignment horizontal="left" vertical="top"/>
    </xf>
    <xf numFmtId="49" fontId="6" fillId="5" borderId="16" xfId="0" applyNumberFormat="1" applyFont="1" applyFill="1" applyBorder="1" applyAlignment="1">
      <alignment horizontal="left" vertical="top"/>
    </xf>
    <xf numFmtId="49" fontId="6" fillId="4" borderId="10" xfId="0" applyNumberFormat="1" applyFont="1" applyFill="1" applyBorder="1" applyAlignment="1">
      <alignment vertical="top"/>
    </xf>
    <xf numFmtId="49" fontId="6" fillId="5" borderId="11" xfId="0" applyNumberFormat="1" applyFont="1" applyFill="1" applyBorder="1" applyAlignment="1">
      <alignment vertical="top"/>
    </xf>
    <xf numFmtId="0" fontId="6" fillId="6" borderId="0" xfId="0" applyFont="1" applyFill="1" applyBorder="1" applyAlignment="1">
      <alignment horizontal="left" vertical="top" wrapText="1"/>
    </xf>
    <xf numFmtId="3" fontId="4" fillId="4" borderId="13" xfId="0" applyNumberFormat="1" applyFont="1" applyFill="1" applyBorder="1" applyAlignment="1">
      <alignment vertical="top"/>
    </xf>
    <xf numFmtId="3" fontId="4" fillId="7" borderId="11" xfId="0" applyNumberFormat="1" applyFont="1" applyFill="1" applyBorder="1" applyAlignment="1">
      <alignment vertical="top"/>
    </xf>
    <xf numFmtId="3" fontId="6" fillId="4" borderId="10" xfId="0" applyNumberFormat="1" applyFont="1" applyFill="1" applyBorder="1" applyAlignment="1">
      <alignment vertical="top"/>
    </xf>
    <xf numFmtId="3" fontId="6" fillId="5" borderId="11" xfId="0" applyNumberFormat="1" applyFont="1" applyFill="1" applyBorder="1" applyAlignment="1">
      <alignment vertical="top"/>
    </xf>
    <xf numFmtId="3" fontId="6" fillId="5" borderId="12" xfId="0" applyNumberFormat="1" applyFont="1" applyFill="1" applyBorder="1" applyAlignment="1">
      <alignment vertical="top"/>
    </xf>
    <xf numFmtId="3" fontId="4" fillId="0" borderId="13" xfId="0" applyNumberFormat="1" applyFont="1" applyBorder="1" applyAlignment="1">
      <alignment horizontal="center" vertical="top"/>
    </xf>
    <xf numFmtId="3" fontId="4" fillId="0" borderId="49" xfId="0" applyNumberFormat="1" applyFont="1" applyBorder="1" applyAlignment="1">
      <alignment horizontal="center" vertical="top"/>
    </xf>
    <xf numFmtId="3" fontId="4" fillId="0" borderId="31" xfId="0" applyNumberFormat="1" applyFont="1" applyBorder="1" applyAlignment="1">
      <alignment horizontal="center" vertical="top"/>
    </xf>
    <xf numFmtId="3" fontId="4" fillId="6" borderId="13" xfId="0" applyNumberFormat="1" applyFont="1" applyFill="1" applyBorder="1" applyAlignment="1">
      <alignment horizontal="center" vertical="top"/>
    </xf>
    <xf numFmtId="3" fontId="5" fillId="6" borderId="12" xfId="0" applyNumberFormat="1" applyFont="1" applyFill="1" applyBorder="1" applyAlignment="1">
      <alignment horizontal="center" vertical="top" wrapText="1"/>
    </xf>
    <xf numFmtId="3" fontId="5" fillId="6" borderId="58" xfId="0" applyNumberFormat="1" applyFont="1" applyFill="1" applyBorder="1" applyAlignment="1">
      <alignment horizontal="center" vertical="top" wrapText="1"/>
    </xf>
    <xf numFmtId="3" fontId="4" fillId="6" borderId="34" xfId="0" applyNumberFormat="1" applyFont="1" applyFill="1" applyBorder="1" applyAlignment="1">
      <alignment horizontal="center" vertical="top"/>
    </xf>
    <xf numFmtId="3" fontId="6" fillId="4" borderId="13" xfId="0" applyNumberFormat="1" applyFont="1" applyFill="1" applyBorder="1" applyAlignment="1">
      <alignment horizontal="center" vertical="top"/>
    </xf>
    <xf numFmtId="3" fontId="4" fillId="0" borderId="0" xfId="0" applyNumberFormat="1" applyFont="1" applyBorder="1" applyAlignment="1">
      <alignment horizontal="center" vertical="top"/>
    </xf>
    <xf numFmtId="3" fontId="4" fillId="6" borderId="59" xfId="0" applyNumberFormat="1" applyFont="1" applyFill="1" applyBorder="1" applyAlignment="1">
      <alignment horizontal="center" vertical="top"/>
    </xf>
    <xf numFmtId="3" fontId="4" fillId="6" borderId="49" xfId="0" applyNumberFormat="1" applyFont="1" applyFill="1" applyBorder="1" applyAlignment="1">
      <alignment horizontal="center" vertical="top"/>
    </xf>
    <xf numFmtId="0" fontId="4" fillId="6" borderId="35" xfId="0" applyFont="1" applyFill="1" applyBorder="1" applyAlignment="1">
      <alignment horizontal="left" vertical="top" wrapText="1"/>
    </xf>
    <xf numFmtId="3" fontId="6" fillId="4" borderId="24" xfId="0" applyNumberFormat="1" applyFont="1" applyFill="1" applyBorder="1" applyAlignment="1">
      <alignment horizontal="center" vertical="top"/>
    </xf>
    <xf numFmtId="3" fontId="6" fillId="5" borderId="66" xfId="0" applyNumberFormat="1" applyFont="1" applyFill="1" applyBorder="1" applyAlignment="1">
      <alignment horizontal="center" vertical="top"/>
    </xf>
    <xf numFmtId="3" fontId="7" fillId="0" borderId="39" xfId="0" applyNumberFormat="1" applyFont="1" applyFill="1" applyBorder="1" applyAlignment="1">
      <alignment horizontal="center" vertical="center" textRotation="90"/>
    </xf>
    <xf numFmtId="0" fontId="4" fillId="0" borderId="0" xfId="0" applyFont="1" applyFill="1" applyBorder="1" applyAlignment="1">
      <alignment vertical="top"/>
    </xf>
    <xf numFmtId="3" fontId="4" fillId="6" borderId="2" xfId="0" applyNumberFormat="1" applyFont="1" applyFill="1" applyBorder="1" applyAlignment="1">
      <alignment vertical="top"/>
    </xf>
    <xf numFmtId="3" fontId="6" fillId="4" borderId="2" xfId="0" applyNumberFormat="1" applyFont="1" applyFill="1" applyBorder="1" applyAlignment="1">
      <alignment vertical="top"/>
    </xf>
    <xf numFmtId="3" fontId="6" fillId="5" borderId="3" xfId="0" applyNumberFormat="1" applyFont="1" applyFill="1" applyBorder="1" applyAlignment="1">
      <alignment vertical="top"/>
    </xf>
    <xf numFmtId="3" fontId="5" fillId="6" borderId="3" xfId="0" applyNumberFormat="1" applyFont="1" applyFill="1" applyBorder="1" applyAlignment="1">
      <alignment vertical="top" wrapText="1"/>
    </xf>
    <xf numFmtId="3" fontId="4" fillId="0" borderId="8" xfId="0" applyNumberFormat="1" applyFont="1" applyBorder="1" applyAlignment="1">
      <alignment horizontal="center" vertical="top"/>
    </xf>
    <xf numFmtId="3" fontId="5" fillId="6" borderId="11" xfId="0" applyNumberFormat="1" applyFont="1" applyFill="1" applyBorder="1" applyAlignment="1">
      <alignment vertical="top" wrapText="1"/>
    </xf>
    <xf numFmtId="3" fontId="4" fillId="0" borderId="34" xfId="0" applyNumberFormat="1" applyFont="1" applyBorder="1" applyAlignment="1">
      <alignment horizontal="center" vertical="top"/>
    </xf>
    <xf numFmtId="3" fontId="4" fillId="0" borderId="0" xfId="0" applyNumberFormat="1" applyFont="1" applyFill="1" applyBorder="1" applyAlignment="1">
      <alignment horizontal="right" vertical="top"/>
    </xf>
    <xf numFmtId="3" fontId="6" fillId="5" borderId="66" xfId="0" applyNumberFormat="1" applyFont="1" applyFill="1" applyBorder="1" applyAlignment="1">
      <alignment vertical="top"/>
    </xf>
    <xf numFmtId="3" fontId="6" fillId="6" borderId="12" xfId="1" applyNumberFormat="1" applyFont="1" applyFill="1" applyBorder="1" applyAlignment="1">
      <alignment horizontal="center" vertical="top"/>
    </xf>
    <xf numFmtId="3" fontId="4" fillId="0" borderId="7" xfId="0" applyNumberFormat="1" applyFont="1" applyBorder="1" applyAlignment="1">
      <alignment horizontal="center" vertical="top"/>
    </xf>
    <xf numFmtId="3" fontId="4" fillId="0" borderId="0" xfId="0" applyNumberFormat="1" applyFont="1" applyFill="1" applyBorder="1" applyAlignment="1">
      <alignment vertical="top"/>
    </xf>
    <xf numFmtId="3" fontId="6" fillId="9" borderId="65" xfId="0" applyNumberFormat="1" applyFont="1" applyFill="1" applyBorder="1" applyAlignment="1">
      <alignment horizontal="center" vertical="top"/>
    </xf>
    <xf numFmtId="0" fontId="9" fillId="0" borderId="0" xfId="0" applyFont="1" applyBorder="1" applyAlignment="1">
      <alignment vertical="top"/>
    </xf>
    <xf numFmtId="3" fontId="4" fillId="6" borderId="53" xfId="0" applyNumberFormat="1" applyFont="1" applyFill="1" applyBorder="1" applyAlignment="1">
      <alignment horizontal="center" vertical="top"/>
    </xf>
    <xf numFmtId="3" fontId="4" fillId="7" borderId="1" xfId="0" applyNumberFormat="1" applyFont="1" applyFill="1" applyBorder="1" applyAlignment="1">
      <alignment vertical="top"/>
    </xf>
    <xf numFmtId="3" fontId="4" fillId="7" borderId="25" xfId="0" applyNumberFormat="1" applyFont="1" applyFill="1" applyBorder="1" applyAlignment="1">
      <alignment horizontal="center" vertical="top"/>
    </xf>
    <xf numFmtId="3" fontId="6" fillId="4" borderId="71" xfId="0" applyNumberFormat="1" applyFont="1" applyFill="1" applyBorder="1" applyAlignment="1">
      <alignment horizontal="center" vertical="top"/>
    </xf>
    <xf numFmtId="3" fontId="6" fillId="5" borderId="72" xfId="0" applyNumberFormat="1" applyFont="1" applyFill="1" applyBorder="1" applyAlignment="1">
      <alignment horizontal="center" vertical="top"/>
    </xf>
    <xf numFmtId="3" fontId="4" fillId="6" borderId="69" xfId="0" applyNumberFormat="1" applyFont="1" applyFill="1" applyBorder="1" applyAlignment="1">
      <alignment vertical="top"/>
    </xf>
    <xf numFmtId="3" fontId="4" fillId="6" borderId="38" xfId="0" applyNumberFormat="1" applyFont="1" applyFill="1" applyBorder="1" applyAlignment="1">
      <alignment horizontal="center" vertical="top"/>
    </xf>
    <xf numFmtId="3" fontId="6" fillId="5" borderId="75" xfId="0" applyNumberFormat="1" applyFont="1" applyFill="1" applyBorder="1" applyAlignment="1">
      <alignment horizontal="center" vertical="top"/>
    </xf>
    <xf numFmtId="3" fontId="4" fillId="0" borderId="0" xfId="0" applyNumberFormat="1" applyFont="1" applyBorder="1" applyAlignment="1">
      <alignment vertical="top"/>
    </xf>
    <xf numFmtId="0" fontId="4" fillId="6" borderId="14" xfId="0" applyFont="1" applyFill="1" applyBorder="1" applyAlignment="1">
      <alignment horizontal="center" vertical="top"/>
    </xf>
    <xf numFmtId="0" fontId="6" fillId="9" borderId="65" xfId="0" applyFont="1" applyFill="1" applyBorder="1" applyAlignment="1">
      <alignment horizontal="center" vertical="top"/>
    </xf>
    <xf numFmtId="3" fontId="6" fillId="6" borderId="64" xfId="0" applyNumberFormat="1" applyFont="1" applyFill="1" applyBorder="1" applyAlignment="1">
      <alignment vertical="top" wrapText="1"/>
    </xf>
    <xf numFmtId="3" fontId="4" fillId="6" borderId="63" xfId="0" applyNumberFormat="1" applyFont="1" applyFill="1" applyBorder="1" applyAlignment="1">
      <alignment horizontal="left" vertical="top" wrapText="1"/>
    </xf>
    <xf numFmtId="3" fontId="6" fillId="3" borderId="71" xfId="0" applyNumberFormat="1" applyFont="1" applyFill="1" applyBorder="1" applyAlignment="1">
      <alignment horizontal="center" vertical="top"/>
    </xf>
    <xf numFmtId="3" fontId="6" fillId="0" borderId="0" xfId="0" applyNumberFormat="1" applyFont="1" applyFill="1" applyBorder="1" applyAlignment="1">
      <alignment horizontal="right" vertical="top"/>
    </xf>
    <xf numFmtId="3" fontId="5" fillId="0" borderId="0" xfId="0" applyNumberFormat="1" applyFont="1" applyFill="1" applyBorder="1" applyAlignment="1">
      <alignment horizontal="right" vertical="top"/>
    </xf>
    <xf numFmtId="3" fontId="4" fillId="0" borderId="0" xfId="0" applyNumberFormat="1" applyFont="1" applyFill="1" applyBorder="1" applyAlignment="1">
      <alignment horizontal="center" vertical="top"/>
    </xf>
    <xf numFmtId="3" fontId="4" fillId="0" borderId="0" xfId="0" applyNumberFormat="1" applyFont="1" applyAlignment="1">
      <alignment vertical="top"/>
    </xf>
    <xf numFmtId="3" fontId="4" fillId="0" borderId="0" xfId="0" applyNumberFormat="1" applyFont="1" applyAlignment="1">
      <alignment horizontal="center" vertical="top"/>
    </xf>
    <xf numFmtId="3" fontId="9" fillId="0" borderId="0" xfId="0" applyNumberFormat="1" applyFont="1" applyAlignment="1">
      <alignment vertical="top"/>
    </xf>
    <xf numFmtId="0" fontId="9" fillId="0" borderId="0" xfId="0" applyFont="1" applyAlignment="1">
      <alignment vertical="top"/>
    </xf>
    <xf numFmtId="3" fontId="5" fillId="0" borderId="0" xfId="0" applyNumberFormat="1" applyFont="1" applyAlignment="1">
      <alignment vertical="top"/>
    </xf>
    <xf numFmtId="3" fontId="9" fillId="0" borderId="0" xfId="0" applyNumberFormat="1" applyFont="1" applyAlignment="1">
      <alignment horizontal="center" vertical="top"/>
    </xf>
    <xf numFmtId="3" fontId="12" fillId="6" borderId="11" xfId="0" applyNumberFormat="1" applyFont="1" applyFill="1" applyBorder="1" applyAlignment="1">
      <alignment horizontal="center" vertical="top" wrapText="1"/>
    </xf>
    <xf numFmtId="3" fontId="12" fillId="6" borderId="57" xfId="0" applyNumberFormat="1" applyFont="1" applyFill="1" applyBorder="1" applyAlignment="1">
      <alignment horizontal="center" vertical="top" wrapText="1"/>
    </xf>
    <xf numFmtId="3" fontId="5" fillId="6" borderId="0" xfId="0" applyNumberFormat="1" applyFont="1" applyFill="1" applyBorder="1" applyAlignment="1">
      <alignment horizontal="center" vertical="top" wrapText="1"/>
    </xf>
    <xf numFmtId="3" fontId="4" fillId="6" borderId="14" xfId="0" applyNumberFormat="1" applyFont="1" applyFill="1" applyBorder="1" applyAlignment="1">
      <alignment horizontal="center" vertical="top"/>
    </xf>
    <xf numFmtId="3" fontId="9" fillId="0" borderId="0" xfId="0" applyNumberFormat="1" applyFont="1" applyFill="1" applyBorder="1" applyAlignment="1">
      <alignment vertical="top"/>
    </xf>
    <xf numFmtId="3" fontId="5" fillId="6" borderId="57" xfId="0" applyNumberFormat="1" applyFont="1" applyFill="1" applyBorder="1" applyAlignment="1">
      <alignment vertical="top" wrapText="1"/>
    </xf>
    <xf numFmtId="3" fontId="5" fillId="6" borderId="39" xfId="0" applyNumberFormat="1" applyFont="1" applyFill="1" applyBorder="1" applyAlignment="1">
      <alignment horizontal="center" vertical="top" wrapText="1"/>
    </xf>
    <xf numFmtId="0" fontId="6" fillId="6" borderId="12" xfId="0" applyFont="1" applyFill="1" applyBorder="1" applyAlignment="1">
      <alignment horizontal="left" vertical="top" wrapText="1"/>
    </xf>
    <xf numFmtId="3" fontId="4" fillId="6" borderId="50" xfId="0" applyNumberFormat="1" applyFont="1" applyFill="1" applyBorder="1" applyAlignment="1">
      <alignment horizontal="center" vertical="top"/>
    </xf>
    <xf numFmtId="3" fontId="6" fillId="6" borderId="1" xfId="0" applyNumberFormat="1" applyFont="1" applyFill="1" applyBorder="1" applyAlignment="1">
      <alignment horizontal="center" vertical="top"/>
    </xf>
    <xf numFmtId="3" fontId="7" fillId="6" borderId="39" xfId="0" applyNumberFormat="1" applyFont="1" applyFill="1" applyBorder="1" applyAlignment="1">
      <alignment horizontal="center" vertical="center" textRotation="90"/>
    </xf>
    <xf numFmtId="3" fontId="7" fillId="6" borderId="11" xfId="0" applyNumberFormat="1" applyFont="1" applyFill="1" applyBorder="1" applyAlignment="1">
      <alignment horizontal="center" vertical="top" wrapText="1"/>
    </xf>
    <xf numFmtId="166" fontId="4" fillId="9" borderId="53" xfId="0" applyNumberFormat="1" applyFont="1" applyFill="1" applyBorder="1" applyAlignment="1">
      <alignment horizontal="center" vertical="top" wrapText="1"/>
    </xf>
    <xf numFmtId="166" fontId="4" fillId="0" borderId="53" xfId="0" applyNumberFormat="1" applyFont="1" applyFill="1" applyBorder="1" applyAlignment="1">
      <alignment horizontal="center" vertical="top" wrapText="1"/>
    </xf>
    <xf numFmtId="166" fontId="6" fillId="3" borderId="53" xfId="0" applyNumberFormat="1" applyFont="1" applyFill="1" applyBorder="1" applyAlignment="1">
      <alignment horizontal="center" vertical="top" wrapText="1"/>
    </xf>
    <xf numFmtId="3" fontId="6" fillId="6" borderId="0" xfId="0" applyNumberFormat="1" applyFont="1" applyFill="1" applyBorder="1" applyAlignment="1">
      <alignment horizontal="center" vertical="top"/>
    </xf>
    <xf numFmtId="0" fontId="6" fillId="6" borderId="11" xfId="0" applyFont="1" applyFill="1" applyBorder="1" applyAlignment="1">
      <alignment horizontal="left" vertical="top" wrapText="1"/>
    </xf>
    <xf numFmtId="3" fontId="4" fillId="6" borderId="0" xfId="0" applyNumberFormat="1" applyFont="1" applyFill="1" applyAlignment="1">
      <alignment vertical="top"/>
    </xf>
    <xf numFmtId="0" fontId="16" fillId="0" borderId="0" xfId="0" applyFont="1"/>
    <xf numFmtId="3" fontId="16" fillId="0" borderId="0" xfId="0" applyNumberFormat="1" applyFont="1"/>
    <xf numFmtId="3" fontId="4" fillId="0" borderId="63" xfId="0" applyNumberFormat="1" applyFont="1" applyFill="1" applyBorder="1" applyAlignment="1">
      <alignment vertical="top" wrapText="1"/>
    </xf>
    <xf numFmtId="3" fontId="4" fillId="6" borderId="38" xfId="0" applyNumberFormat="1" applyFont="1" applyFill="1" applyBorder="1" applyAlignment="1">
      <alignment horizontal="center"/>
    </xf>
    <xf numFmtId="3" fontId="5" fillId="0" borderId="16" xfId="0" applyNumberFormat="1" applyFont="1" applyFill="1" applyBorder="1" applyAlignment="1">
      <alignment horizontal="center" vertical="center" textRotation="90" wrapText="1"/>
    </xf>
    <xf numFmtId="3" fontId="9" fillId="0" borderId="0" xfId="0" applyNumberFormat="1" applyFont="1" applyFill="1" applyAlignment="1">
      <alignment vertical="top"/>
    </xf>
    <xf numFmtId="166" fontId="4" fillId="6" borderId="13" xfId="0" applyNumberFormat="1" applyFont="1" applyFill="1" applyBorder="1" applyAlignment="1">
      <alignment horizontal="center" vertical="top"/>
    </xf>
    <xf numFmtId="166" fontId="4" fillId="6" borderId="35" xfId="0" applyNumberFormat="1" applyFont="1" applyFill="1" applyBorder="1" applyAlignment="1">
      <alignment horizontal="center" vertical="top"/>
    </xf>
    <xf numFmtId="166" fontId="6" fillId="9" borderId="68" xfId="0" applyNumberFormat="1" applyFont="1" applyFill="1" applyBorder="1" applyAlignment="1">
      <alignment horizontal="center" vertical="top"/>
    </xf>
    <xf numFmtId="166" fontId="6" fillId="4" borderId="76" xfId="0" applyNumberFormat="1" applyFont="1" applyFill="1" applyBorder="1" applyAlignment="1">
      <alignment horizontal="center" vertical="top"/>
    </xf>
    <xf numFmtId="3" fontId="6" fillId="9" borderId="68" xfId="0" applyNumberFormat="1" applyFont="1" applyFill="1" applyBorder="1" applyAlignment="1">
      <alignment horizontal="center" vertical="top" wrapText="1"/>
    </xf>
    <xf numFmtId="3" fontId="13" fillId="6" borderId="13" xfId="0" applyNumberFormat="1" applyFont="1" applyFill="1" applyBorder="1" applyAlignment="1">
      <alignment horizontal="center" vertical="top" wrapText="1"/>
    </xf>
    <xf numFmtId="3" fontId="13" fillId="6" borderId="34" xfId="0" applyNumberFormat="1" applyFont="1" applyFill="1" applyBorder="1" applyAlignment="1">
      <alignment horizontal="center" vertical="top" wrapText="1"/>
    </xf>
    <xf numFmtId="3" fontId="6" fillId="9" borderId="41" xfId="0" applyNumberFormat="1" applyFont="1" applyFill="1" applyBorder="1" applyAlignment="1">
      <alignment horizontal="center" vertical="top" wrapText="1"/>
    </xf>
    <xf numFmtId="3" fontId="4" fillId="0" borderId="5" xfId="0" applyNumberFormat="1" applyFont="1" applyFill="1" applyBorder="1" applyAlignment="1">
      <alignment horizontal="center" vertical="top"/>
    </xf>
    <xf numFmtId="3" fontId="16" fillId="0" borderId="36" xfId="0" applyNumberFormat="1" applyFont="1" applyBorder="1" applyAlignment="1">
      <alignment horizontal="left" vertical="top" wrapText="1"/>
    </xf>
    <xf numFmtId="3" fontId="4" fillId="6" borderId="36" xfId="0" applyNumberFormat="1" applyFont="1" applyFill="1" applyBorder="1" applyAlignment="1">
      <alignment vertical="top" wrapText="1"/>
    </xf>
    <xf numFmtId="3" fontId="4" fillId="0" borderId="79" xfId="0" applyNumberFormat="1" applyFont="1" applyFill="1" applyBorder="1" applyAlignment="1">
      <alignment horizontal="left" vertical="top" wrapText="1"/>
    </xf>
    <xf numFmtId="3" fontId="4" fillId="6" borderId="55" xfId="0" applyNumberFormat="1" applyFont="1" applyFill="1" applyBorder="1" applyAlignment="1">
      <alignment vertical="top" wrapText="1"/>
    </xf>
    <xf numFmtId="0" fontId="16" fillId="0" borderId="60" xfId="0" applyFont="1" applyBorder="1" applyAlignment="1">
      <alignment vertical="top" wrapText="1"/>
    </xf>
    <xf numFmtId="3" fontId="4" fillId="0" borderId="60" xfId="0" applyNumberFormat="1" applyFont="1" applyBorder="1" applyAlignment="1">
      <alignment vertical="top" wrapText="1"/>
    </xf>
    <xf numFmtId="166" fontId="4" fillId="6" borderId="61" xfId="0" applyNumberFormat="1" applyFont="1" applyFill="1" applyBorder="1" applyAlignment="1">
      <alignment horizontal="center" vertical="top"/>
    </xf>
    <xf numFmtId="166" fontId="4" fillId="6" borderId="50" xfId="0" applyNumberFormat="1" applyFont="1" applyFill="1" applyBorder="1" applyAlignment="1">
      <alignment horizontal="center" vertical="top"/>
    </xf>
    <xf numFmtId="166" fontId="4" fillId="6" borderId="14" xfId="0" applyNumberFormat="1" applyFont="1" applyFill="1" applyBorder="1" applyAlignment="1">
      <alignment horizontal="center" vertical="top"/>
    </xf>
    <xf numFmtId="166" fontId="13" fillId="6" borderId="14" xfId="0" applyNumberFormat="1" applyFont="1" applyFill="1" applyBorder="1" applyAlignment="1">
      <alignment horizontal="center" vertical="top"/>
    </xf>
    <xf numFmtId="166" fontId="4" fillId="6" borderId="14" xfId="0" applyNumberFormat="1" applyFont="1" applyFill="1" applyBorder="1" applyAlignment="1">
      <alignment horizontal="center" vertical="top" wrapText="1"/>
    </xf>
    <xf numFmtId="166" fontId="4" fillId="6" borderId="38" xfId="0" applyNumberFormat="1" applyFont="1" applyFill="1" applyBorder="1" applyAlignment="1">
      <alignment horizontal="center" vertical="top" wrapText="1"/>
    </xf>
    <xf numFmtId="0" fontId="4" fillId="6" borderId="34" xfId="0" applyFont="1" applyFill="1" applyBorder="1" applyAlignment="1">
      <alignment horizontal="center" vertical="top"/>
    </xf>
    <xf numFmtId="166" fontId="4" fillId="6" borderId="48" xfId="0" applyNumberFormat="1" applyFont="1" applyFill="1" applyBorder="1" applyAlignment="1">
      <alignment horizontal="center" vertical="top"/>
    </xf>
    <xf numFmtId="166" fontId="4" fillId="6" borderId="38" xfId="0" applyNumberFormat="1" applyFont="1" applyFill="1" applyBorder="1" applyAlignment="1">
      <alignment horizontal="center" vertical="top"/>
    </xf>
    <xf numFmtId="166" fontId="4" fillId="6" borderId="53" xfId="0" applyNumberFormat="1" applyFont="1" applyFill="1" applyBorder="1" applyAlignment="1">
      <alignment horizontal="center" vertical="top"/>
    </xf>
    <xf numFmtId="166" fontId="4" fillId="0" borderId="48" xfId="0" applyNumberFormat="1" applyFont="1" applyBorder="1" applyAlignment="1">
      <alignment horizontal="center" vertical="top"/>
    </xf>
    <xf numFmtId="166" fontId="6" fillId="9" borderId="26" xfId="0" applyNumberFormat="1" applyFont="1" applyFill="1" applyBorder="1" applyAlignment="1">
      <alignment horizontal="center" vertical="top"/>
    </xf>
    <xf numFmtId="166" fontId="4" fillId="8" borderId="61" xfId="0" applyNumberFormat="1" applyFont="1" applyFill="1" applyBorder="1" applyAlignment="1">
      <alignment horizontal="center" vertical="top"/>
    </xf>
    <xf numFmtId="166" fontId="6" fillId="9" borderId="65" xfId="0" applyNumberFormat="1" applyFont="1" applyFill="1" applyBorder="1" applyAlignment="1">
      <alignment horizontal="center" vertical="top"/>
    </xf>
    <xf numFmtId="166" fontId="4" fillId="0" borderId="8" xfId="0" applyNumberFormat="1" applyFont="1" applyFill="1" applyBorder="1" applyAlignment="1">
      <alignment horizontal="center" vertical="top"/>
    </xf>
    <xf numFmtId="166" fontId="4" fillId="6" borderId="49" xfId="0" applyNumberFormat="1" applyFont="1" applyFill="1" applyBorder="1" applyAlignment="1">
      <alignment horizontal="center" vertical="top"/>
    </xf>
    <xf numFmtId="166" fontId="4" fillId="0" borderId="34" xfId="0" applyNumberFormat="1" applyFont="1" applyBorder="1" applyAlignment="1">
      <alignment horizontal="center" vertical="top"/>
    </xf>
    <xf numFmtId="166" fontId="4" fillId="6" borderId="34" xfId="0" applyNumberFormat="1" applyFont="1" applyFill="1" applyBorder="1" applyAlignment="1">
      <alignment horizontal="center" vertical="top"/>
    </xf>
    <xf numFmtId="166" fontId="4" fillId="6" borderId="32" xfId="0" applyNumberFormat="1" applyFont="1" applyFill="1" applyBorder="1" applyAlignment="1">
      <alignment horizontal="center" vertical="top"/>
    </xf>
    <xf numFmtId="166" fontId="6" fillId="5" borderId="21" xfId="0" applyNumberFormat="1" applyFont="1" applyFill="1" applyBorder="1" applyAlignment="1">
      <alignment horizontal="center" vertical="top"/>
    </xf>
    <xf numFmtId="166" fontId="4" fillId="0" borderId="14" xfId="0" applyNumberFormat="1" applyFont="1" applyFill="1" applyBorder="1" applyAlignment="1">
      <alignment horizontal="center" vertical="top"/>
    </xf>
    <xf numFmtId="3" fontId="4" fillId="6" borderId="60" xfId="0" applyNumberFormat="1" applyFont="1" applyFill="1" applyBorder="1" applyAlignment="1">
      <alignment vertical="top"/>
    </xf>
    <xf numFmtId="3" fontId="4" fillId="6" borderId="13" xfId="0" applyNumberFormat="1" applyFont="1" applyFill="1" applyBorder="1" applyAlignment="1">
      <alignment horizontal="center" vertical="top" wrapText="1"/>
    </xf>
    <xf numFmtId="3" fontId="4" fillId="6" borderId="34" xfId="0" applyNumberFormat="1" applyFont="1" applyFill="1" applyBorder="1" applyAlignment="1">
      <alignment horizontal="center" vertical="top" wrapText="1"/>
    </xf>
    <xf numFmtId="166" fontId="4" fillId="0" borderId="7" xfId="0" applyNumberFormat="1" applyFont="1" applyFill="1" applyBorder="1" applyAlignment="1">
      <alignment horizontal="center" vertical="top"/>
    </xf>
    <xf numFmtId="166" fontId="6" fillId="5" borderId="77" xfId="0" applyNumberFormat="1" applyFont="1" applyFill="1" applyBorder="1" applyAlignment="1">
      <alignment horizontal="center" vertical="top"/>
    </xf>
    <xf numFmtId="166" fontId="6" fillId="3" borderId="61" xfId="0" applyNumberFormat="1" applyFont="1" applyFill="1" applyBorder="1" applyAlignment="1">
      <alignment horizontal="center" vertical="top" wrapText="1"/>
    </xf>
    <xf numFmtId="166" fontId="6" fillId="9" borderId="53" xfId="0" applyNumberFormat="1" applyFont="1" applyFill="1" applyBorder="1" applyAlignment="1">
      <alignment horizontal="center" vertical="top" wrapText="1"/>
    </xf>
    <xf numFmtId="166" fontId="4" fillId="0" borderId="53" xfId="0" applyNumberFormat="1" applyFont="1" applyBorder="1" applyAlignment="1">
      <alignment horizontal="center" vertical="top" wrapText="1"/>
    </xf>
    <xf numFmtId="166" fontId="6" fillId="9" borderId="65" xfId="0" applyNumberFormat="1" applyFont="1" applyFill="1" applyBorder="1" applyAlignment="1">
      <alignment horizontal="center" vertical="top" wrapText="1"/>
    </xf>
    <xf numFmtId="3" fontId="5" fillId="6" borderId="12" xfId="0" applyNumberFormat="1" applyFont="1" applyFill="1" applyBorder="1" applyAlignment="1">
      <alignment horizontal="center" vertical="center" textRotation="90" wrapText="1"/>
    </xf>
    <xf numFmtId="3" fontId="6" fillId="6" borderId="58" xfId="1" applyNumberFormat="1" applyFont="1" applyFill="1" applyBorder="1" applyAlignment="1">
      <alignment horizontal="center" vertical="top"/>
    </xf>
    <xf numFmtId="166" fontId="4" fillId="6" borderId="61" xfId="0" applyNumberFormat="1" applyFont="1" applyFill="1" applyBorder="1" applyAlignment="1">
      <alignment vertical="top"/>
    </xf>
    <xf numFmtId="0" fontId="6" fillId="6" borderId="50" xfId="0" applyFont="1" applyFill="1" applyBorder="1" applyAlignment="1">
      <alignment horizontal="left" vertical="top" wrapText="1"/>
    </xf>
    <xf numFmtId="3" fontId="4" fillId="0" borderId="53" xfId="0" applyNumberFormat="1" applyFont="1" applyBorder="1" applyAlignment="1">
      <alignment horizontal="center" vertical="top" wrapText="1"/>
    </xf>
    <xf numFmtId="3" fontId="6" fillId="6" borderId="38" xfId="0" applyNumberFormat="1" applyFont="1" applyFill="1" applyBorder="1" applyAlignment="1">
      <alignment horizontal="center" vertical="top"/>
    </xf>
    <xf numFmtId="3" fontId="6" fillId="0" borderId="39" xfId="0" applyNumberFormat="1" applyFont="1" applyFill="1" applyBorder="1" applyAlignment="1">
      <alignment horizontal="center" vertical="top"/>
    </xf>
    <xf numFmtId="3" fontId="16" fillId="0" borderId="26" xfId="0" applyNumberFormat="1" applyFont="1" applyBorder="1" applyAlignment="1">
      <alignment horizontal="center" vertical="top" wrapText="1"/>
    </xf>
    <xf numFmtId="3" fontId="13" fillId="6" borderId="14" xfId="0" applyNumberFormat="1" applyFont="1" applyFill="1" applyBorder="1" applyAlignment="1">
      <alignment horizontal="left" vertical="top" wrapText="1"/>
    </xf>
    <xf numFmtId="3" fontId="6" fillId="6" borderId="4" xfId="1" applyNumberFormat="1" applyFont="1" applyFill="1" applyBorder="1" applyAlignment="1">
      <alignment horizontal="center" vertical="top"/>
    </xf>
    <xf numFmtId="3" fontId="6" fillId="6" borderId="39" xfId="1" applyNumberFormat="1" applyFont="1" applyFill="1" applyBorder="1" applyAlignment="1">
      <alignment horizontal="center" vertical="top"/>
    </xf>
    <xf numFmtId="3" fontId="4" fillId="6" borderId="14" xfId="1" applyNumberFormat="1" applyFont="1" applyFill="1" applyBorder="1" applyAlignment="1">
      <alignment horizontal="center" vertical="top" wrapText="1"/>
    </xf>
    <xf numFmtId="3" fontId="6" fillId="6" borderId="14" xfId="1" applyNumberFormat="1" applyFont="1" applyFill="1" applyBorder="1" applyAlignment="1">
      <alignment horizontal="center" vertical="top"/>
    </xf>
    <xf numFmtId="3" fontId="6" fillId="6" borderId="38" xfId="1" applyNumberFormat="1" applyFont="1" applyFill="1" applyBorder="1" applyAlignment="1">
      <alignment horizontal="center" vertical="top"/>
    </xf>
    <xf numFmtId="3" fontId="4" fillId="6" borderId="14" xfId="0" applyNumberFormat="1" applyFont="1" applyFill="1" applyBorder="1" applyAlignment="1">
      <alignment horizontal="center" vertical="center" wrapText="1"/>
    </xf>
    <xf numFmtId="3" fontId="6" fillId="6" borderId="4" xfId="0" applyNumberFormat="1" applyFont="1" applyFill="1" applyBorder="1" applyAlignment="1">
      <alignment horizontal="center" vertical="top" wrapText="1"/>
    </xf>
    <xf numFmtId="3" fontId="6" fillId="0" borderId="0" xfId="0" applyNumberFormat="1" applyFont="1" applyFill="1" applyBorder="1" applyAlignment="1">
      <alignment horizontal="center" vertical="top"/>
    </xf>
    <xf numFmtId="3" fontId="4" fillId="0" borderId="17" xfId="0" applyNumberFormat="1" applyFont="1" applyBorder="1" applyAlignment="1">
      <alignment vertical="top" wrapText="1"/>
    </xf>
    <xf numFmtId="166" fontId="4" fillId="6" borderId="7" xfId="0" applyNumberFormat="1" applyFont="1" applyFill="1" applyBorder="1" applyAlignment="1">
      <alignment horizontal="center" vertical="top"/>
    </xf>
    <xf numFmtId="3" fontId="4" fillId="0" borderId="43" xfId="0" applyNumberFormat="1" applyFont="1" applyBorder="1" applyAlignment="1">
      <alignment horizontal="left" vertical="top" wrapText="1"/>
    </xf>
    <xf numFmtId="0" fontId="4" fillId="6" borderId="56" xfId="0" applyFont="1" applyFill="1" applyBorder="1" applyAlignment="1">
      <alignment horizontal="left" vertical="top" wrapText="1"/>
    </xf>
    <xf numFmtId="0" fontId="4" fillId="6" borderId="83" xfId="0" applyFont="1" applyFill="1" applyBorder="1" applyAlignment="1">
      <alignment horizontal="left" vertical="top" wrapText="1"/>
    </xf>
    <xf numFmtId="3" fontId="4" fillId="6" borderId="46" xfId="0" applyNumberFormat="1" applyFont="1" applyFill="1" applyBorder="1" applyAlignment="1">
      <alignment horizontal="center" vertical="top"/>
    </xf>
    <xf numFmtId="3" fontId="6" fillId="0" borderId="16" xfId="0" applyNumberFormat="1" applyFont="1" applyBorder="1" applyAlignment="1">
      <alignment horizontal="center" vertical="top"/>
    </xf>
    <xf numFmtId="3" fontId="5" fillId="6" borderId="52" xfId="0" applyNumberFormat="1" applyFont="1" applyFill="1" applyBorder="1" applyAlignment="1">
      <alignment vertical="top" wrapText="1"/>
    </xf>
    <xf numFmtId="3" fontId="6" fillId="6" borderId="16" xfId="1" applyNumberFormat="1" applyFont="1" applyFill="1" applyBorder="1" applyAlignment="1">
      <alignment horizontal="center" vertical="top"/>
    </xf>
    <xf numFmtId="3" fontId="4" fillId="6" borderId="53" xfId="1" applyNumberFormat="1" applyFont="1" applyFill="1" applyBorder="1" applyAlignment="1">
      <alignment horizontal="center" vertical="top" wrapText="1"/>
    </xf>
    <xf numFmtId="166" fontId="16" fillId="0" borderId="0" xfId="0" applyNumberFormat="1" applyFont="1"/>
    <xf numFmtId="166" fontId="4" fillId="6" borderId="0" xfId="0" applyNumberFormat="1" applyFont="1" applyFill="1" applyBorder="1" applyAlignment="1">
      <alignment horizontal="center" vertical="top"/>
    </xf>
    <xf numFmtId="166" fontId="4" fillId="6" borderId="41" xfId="0" applyNumberFormat="1" applyFont="1" applyFill="1" applyBorder="1" applyAlignment="1">
      <alignment horizontal="center" vertical="top"/>
    </xf>
    <xf numFmtId="166" fontId="4" fillId="6" borderId="59" xfId="0" applyNumberFormat="1" applyFont="1" applyFill="1" applyBorder="1" applyAlignment="1">
      <alignment horizontal="center" vertical="top"/>
    </xf>
    <xf numFmtId="166" fontId="4" fillId="6" borderId="5" xfId="0" applyNumberFormat="1" applyFont="1" applyFill="1" applyBorder="1" applyAlignment="1">
      <alignment horizontal="center" vertical="top"/>
    </xf>
    <xf numFmtId="166" fontId="13" fillId="6" borderId="13" xfId="0" applyNumberFormat="1" applyFont="1" applyFill="1" applyBorder="1" applyAlignment="1">
      <alignment horizontal="center" vertical="top"/>
    </xf>
    <xf numFmtId="166" fontId="4" fillId="6" borderId="13" xfId="0" applyNumberFormat="1" applyFont="1" applyFill="1" applyBorder="1" applyAlignment="1">
      <alignment horizontal="center" vertical="top" wrapText="1"/>
    </xf>
    <xf numFmtId="166" fontId="4" fillId="6" borderId="34" xfId="0" applyNumberFormat="1" applyFont="1" applyFill="1" applyBorder="1" applyAlignment="1">
      <alignment horizontal="center" vertical="top" wrapText="1"/>
    </xf>
    <xf numFmtId="166" fontId="4" fillId="0" borderId="13" xfId="0" applyNumberFormat="1" applyFont="1" applyFill="1" applyBorder="1" applyAlignment="1">
      <alignment horizontal="center" vertical="top"/>
    </xf>
    <xf numFmtId="0" fontId="4" fillId="0" borderId="82" xfId="0" applyFont="1" applyBorder="1" applyAlignment="1">
      <alignment horizontal="center" vertical="center" textRotation="90"/>
    </xf>
    <xf numFmtId="0" fontId="4" fillId="0" borderId="29" xfId="0" applyFont="1" applyBorder="1" applyAlignment="1">
      <alignment horizontal="center" vertical="center" textRotation="90"/>
    </xf>
    <xf numFmtId="166" fontId="4" fillId="6" borderId="46" xfId="0" applyNumberFormat="1" applyFont="1" applyFill="1" applyBorder="1" applyAlignment="1">
      <alignment horizontal="center" vertical="top"/>
    </xf>
    <xf numFmtId="166" fontId="4" fillId="6" borderId="31" xfId="0" applyNumberFormat="1" applyFont="1" applyFill="1" applyBorder="1" applyAlignment="1">
      <alignment horizontal="center" vertical="top"/>
    </xf>
    <xf numFmtId="166" fontId="4" fillId="6" borderId="8" xfId="0" applyNumberFormat="1" applyFont="1" applyFill="1" applyBorder="1" applyAlignment="1">
      <alignment horizontal="center" vertical="top"/>
    </xf>
    <xf numFmtId="166" fontId="4" fillId="0" borderId="5" xfId="0" applyNumberFormat="1" applyFont="1" applyFill="1" applyBorder="1" applyAlignment="1">
      <alignment horizontal="center" vertical="top"/>
    </xf>
    <xf numFmtId="166" fontId="4" fillId="6" borderId="67" xfId="0" applyNumberFormat="1" applyFont="1" applyFill="1" applyBorder="1" applyAlignment="1">
      <alignment horizontal="center" vertical="top"/>
    </xf>
    <xf numFmtId="166" fontId="4" fillId="6" borderId="87" xfId="0" applyNumberFormat="1" applyFont="1" applyFill="1" applyBorder="1" applyAlignment="1">
      <alignment horizontal="center" vertical="top"/>
    </xf>
    <xf numFmtId="166" fontId="4" fillId="6" borderId="88" xfId="0" applyNumberFormat="1" applyFont="1" applyFill="1" applyBorder="1" applyAlignment="1">
      <alignment horizontal="center" vertical="top"/>
    </xf>
    <xf numFmtId="166" fontId="4" fillId="6" borderId="37" xfId="0" applyNumberFormat="1" applyFont="1" applyFill="1" applyBorder="1" applyAlignment="1">
      <alignment horizontal="center" vertical="top"/>
    </xf>
    <xf numFmtId="166" fontId="4" fillId="6" borderId="20" xfId="0" applyNumberFormat="1" applyFont="1" applyFill="1" applyBorder="1" applyAlignment="1">
      <alignment horizontal="center" vertical="top"/>
    </xf>
    <xf numFmtId="166" fontId="4" fillId="0" borderId="88" xfId="0" applyNumberFormat="1" applyFont="1" applyBorder="1" applyAlignment="1">
      <alignment horizontal="center" vertical="top"/>
    </xf>
    <xf numFmtId="166" fontId="4" fillId="6" borderId="9" xfId="0" applyNumberFormat="1" applyFont="1" applyFill="1" applyBorder="1" applyAlignment="1">
      <alignment horizontal="center" vertical="top"/>
    </xf>
    <xf numFmtId="166" fontId="4" fillId="8" borderId="9" xfId="0" applyNumberFormat="1" applyFont="1" applyFill="1" applyBorder="1" applyAlignment="1">
      <alignment horizontal="center" vertical="top"/>
    </xf>
    <xf numFmtId="166" fontId="13" fillId="6" borderId="87" xfId="0" applyNumberFormat="1" applyFont="1" applyFill="1" applyBorder="1" applyAlignment="1">
      <alignment horizontal="center" vertical="top"/>
    </xf>
    <xf numFmtId="166" fontId="4" fillId="6" borderId="87" xfId="0" applyNumberFormat="1" applyFont="1" applyFill="1" applyBorder="1" applyAlignment="1">
      <alignment horizontal="center" vertical="top" wrapText="1"/>
    </xf>
    <xf numFmtId="166" fontId="4" fillId="6" borderId="37" xfId="0" applyNumberFormat="1" applyFont="1" applyFill="1" applyBorder="1" applyAlignment="1">
      <alignment horizontal="center" vertical="top" wrapText="1"/>
    </xf>
    <xf numFmtId="166" fontId="4" fillId="6" borderId="6" xfId="0" applyNumberFormat="1" applyFont="1" applyFill="1" applyBorder="1" applyAlignment="1">
      <alignment horizontal="center" vertical="top"/>
    </xf>
    <xf numFmtId="166" fontId="4" fillId="0" borderId="87" xfId="0" applyNumberFormat="1" applyFont="1" applyFill="1" applyBorder="1" applyAlignment="1">
      <alignment horizontal="center" vertical="top"/>
    </xf>
    <xf numFmtId="165" fontId="4" fillId="6" borderId="39" xfId="0" applyNumberFormat="1" applyFont="1" applyFill="1" applyBorder="1" applyAlignment="1">
      <alignment horizontal="center" vertical="top" wrapText="1"/>
    </xf>
    <xf numFmtId="165" fontId="4" fillId="6" borderId="12" xfId="0" applyNumberFormat="1" applyFont="1" applyFill="1" applyBorder="1" applyAlignment="1">
      <alignment horizontal="center" vertical="top" wrapText="1"/>
    </xf>
    <xf numFmtId="3" fontId="16" fillId="0" borderId="58" xfId="0" applyNumberFormat="1" applyFont="1" applyBorder="1" applyAlignment="1">
      <alignment horizontal="center" wrapText="1"/>
    </xf>
    <xf numFmtId="3" fontId="4" fillId="6" borderId="12" xfId="0" applyNumberFormat="1" applyFont="1" applyFill="1" applyBorder="1" applyAlignment="1">
      <alignment horizontal="center" vertical="top"/>
    </xf>
    <xf numFmtId="3" fontId="4" fillId="6" borderId="93" xfId="0" applyNumberFormat="1" applyFont="1" applyFill="1" applyBorder="1" applyAlignment="1">
      <alignment horizontal="center" vertical="top"/>
    </xf>
    <xf numFmtId="3" fontId="4" fillId="6" borderId="58" xfId="0" applyNumberFormat="1" applyFont="1" applyFill="1" applyBorder="1" applyAlignment="1">
      <alignment horizontal="center" vertical="top"/>
    </xf>
    <xf numFmtId="3" fontId="4" fillId="6" borderId="95" xfId="0" applyNumberFormat="1" applyFont="1" applyFill="1" applyBorder="1" applyAlignment="1">
      <alignment horizontal="center" vertical="top"/>
    </xf>
    <xf numFmtId="3" fontId="4" fillId="0" borderId="39" xfId="0" applyNumberFormat="1" applyFont="1" applyBorder="1" applyAlignment="1">
      <alignment horizontal="center" vertical="top"/>
    </xf>
    <xf numFmtId="3" fontId="4" fillId="0" borderId="95" xfId="0" applyNumberFormat="1" applyFont="1" applyFill="1" applyBorder="1" applyAlignment="1">
      <alignment horizontal="center" vertical="top"/>
    </xf>
    <xf numFmtId="3" fontId="4" fillId="6" borderId="94" xfId="0" applyNumberFormat="1" applyFont="1" applyFill="1" applyBorder="1" applyAlignment="1">
      <alignment horizontal="center" vertical="top"/>
    </xf>
    <xf numFmtId="3" fontId="4" fillId="0" borderId="93" xfId="0" applyNumberFormat="1" applyFont="1" applyFill="1" applyBorder="1" applyAlignment="1">
      <alignment horizontal="center" vertical="top" wrapText="1"/>
    </xf>
    <xf numFmtId="3" fontId="10" fillId="8" borderId="39" xfId="0" applyNumberFormat="1" applyFont="1" applyFill="1" applyBorder="1" applyAlignment="1">
      <alignment horizontal="center" vertical="top"/>
    </xf>
    <xf numFmtId="3" fontId="4" fillId="6" borderId="58" xfId="0" applyNumberFormat="1" applyFont="1" applyFill="1" applyBorder="1" applyAlignment="1">
      <alignment vertical="center" textRotation="90"/>
    </xf>
    <xf numFmtId="3" fontId="4" fillId="0" borderId="58" xfId="0" applyNumberFormat="1" applyFont="1" applyBorder="1" applyAlignment="1">
      <alignment horizontal="center" vertical="top"/>
    </xf>
    <xf numFmtId="3" fontId="4" fillId="6" borderId="39" xfId="0" applyNumberFormat="1" applyFont="1" applyFill="1" applyBorder="1" applyAlignment="1">
      <alignment horizontal="center" vertical="top"/>
    </xf>
    <xf numFmtId="3" fontId="4" fillId="0" borderId="12" xfId="0" applyNumberFormat="1" applyFont="1" applyBorder="1" applyAlignment="1">
      <alignment horizontal="center" vertical="top"/>
    </xf>
    <xf numFmtId="3" fontId="5" fillId="6" borderId="39" xfId="0" applyNumberFormat="1" applyFont="1" applyFill="1" applyBorder="1" applyAlignment="1">
      <alignment horizontal="center" vertical="top"/>
    </xf>
    <xf numFmtId="3" fontId="5" fillId="6" borderId="58" xfId="0" applyNumberFormat="1" applyFont="1" applyFill="1" applyBorder="1" applyAlignment="1">
      <alignment horizontal="center" vertical="top"/>
    </xf>
    <xf numFmtId="3" fontId="4" fillId="0" borderId="16" xfId="0" applyNumberFormat="1" applyFont="1" applyBorder="1" applyAlignment="1">
      <alignment horizontal="center" vertical="top"/>
    </xf>
    <xf numFmtId="3" fontId="4" fillId="7" borderId="1" xfId="0" applyNumberFormat="1" applyFont="1" applyFill="1" applyBorder="1" applyAlignment="1">
      <alignment horizontal="center" vertical="top"/>
    </xf>
    <xf numFmtId="165" fontId="4" fillId="6" borderId="40" xfId="0" applyNumberFormat="1" applyFont="1" applyFill="1" applyBorder="1" applyAlignment="1">
      <alignment horizontal="center" vertical="top" wrapText="1"/>
    </xf>
    <xf numFmtId="165" fontId="4" fillId="6" borderId="11" xfId="0" applyNumberFormat="1" applyFont="1" applyFill="1" applyBorder="1" applyAlignment="1">
      <alignment horizontal="center" vertical="top" wrapText="1"/>
    </xf>
    <xf numFmtId="3" fontId="16" fillId="0" borderId="57" xfId="0" applyNumberFormat="1" applyFont="1" applyBorder="1" applyAlignment="1">
      <alignment horizontal="center" wrapText="1"/>
    </xf>
    <xf numFmtId="3" fontId="4" fillId="6" borderId="91" xfId="0" applyNumberFormat="1" applyFont="1" applyFill="1" applyBorder="1" applyAlignment="1">
      <alignment horizontal="center" vertical="top"/>
    </xf>
    <xf numFmtId="3" fontId="4" fillId="6" borderId="45" xfId="0" applyNumberFormat="1" applyFont="1" applyFill="1" applyBorder="1" applyAlignment="1">
      <alignment horizontal="center" vertical="top"/>
    </xf>
    <xf numFmtId="3" fontId="4" fillId="6" borderId="57" xfId="0" applyNumberFormat="1" applyFont="1" applyFill="1" applyBorder="1" applyAlignment="1">
      <alignment horizontal="center" vertical="top"/>
    </xf>
    <xf numFmtId="3" fontId="4" fillId="6" borderId="90" xfId="0" applyNumberFormat="1" applyFont="1" applyFill="1" applyBorder="1" applyAlignment="1">
      <alignment horizontal="center" vertical="top"/>
    </xf>
    <xf numFmtId="3" fontId="4" fillId="0" borderId="90" xfId="0" applyNumberFormat="1" applyFont="1" applyFill="1" applyBorder="1" applyAlignment="1">
      <alignment horizontal="center" vertical="top"/>
    </xf>
    <xf numFmtId="3" fontId="4" fillId="6" borderId="97" xfId="0" applyNumberFormat="1" applyFont="1" applyFill="1" applyBorder="1" applyAlignment="1">
      <alignment horizontal="center" vertical="top"/>
    </xf>
    <xf numFmtId="3" fontId="4" fillId="0" borderId="45" xfId="0" applyNumberFormat="1" applyFont="1" applyFill="1" applyBorder="1" applyAlignment="1">
      <alignment horizontal="center" vertical="top" wrapText="1"/>
    </xf>
    <xf numFmtId="3" fontId="10" fillId="8" borderId="40" xfId="0" applyNumberFormat="1" applyFont="1" applyFill="1" applyBorder="1" applyAlignment="1">
      <alignment horizontal="center" vertical="top"/>
    </xf>
    <xf numFmtId="3" fontId="10" fillId="8" borderId="11" xfId="0" applyNumberFormat="1" applyFont="1" applyFill="1" applyBorder="1" applyAlignment="1">
      <alignment horizontal="center" vertical="top"/>
    </xf>
    <xf numFmtId="3" fontId="4" fillId="6" borderId="57" xfId="0" applyNumberFormat="1" applyFont="1" applyFill="1" applyBorder="1" applyAlignment="1">
      <alignment vertical="center" textRotation="90"/>
    </xf>
    <xf numFmtId="3" fontId="4" fillId="6" borderId="40" xfId="0" applyNumberFormat="1" applyFont="1" applyFill="1" applyBorder="1" applyAlignment="1">
      <alignment horizontal="center" vertical="top"/>
    </xf>
    <xf numFmtId="3" fontId="4" fillId="0" borderId="90" xfId="0" applyNumberFormat="1" applyFont="1" applyBorder="1" applyAlignment="1">
      <alignment horizontal="center" vertical="top"/>
    </xf>
    <xf numFmtId="3" fontId="4" fillId="0" borderId="64" xfId="0" applyNumberFormat="1" applyFont="1" applyFill="1" applyBorder="1" applyAlignment="1">
      <alignment horizontal="center" vertical="top"/>
    </xf>
    <xf numFmtId="3" fontId="5" fillId="6" borderId="57" xfId="0" applyNumberFormat="1" applyFont="1" applyFill="1" applyBorder="1" applyAlignment="1">
      <alignment horizontal="center" vertical="top"/>
    </xf>
    <xf numFmtId="166" fontId="4" fillId="6" borderId="8" xfId="0" applyNumberFormat="1" applyFont="1" applyFill="1" applyBorder="1" applyAlignment="1">
      <alignment vertical="top"/>
    </xf>
    <xf numFmtId="166" fontId="4" fillId="6" borderId="12" xfId="0" applyNumberFormat="1" applyFont="1" applyFill="1" applyBorder="1" applyAlignment="1">
      <alignment horizontal="center" vertical="top"/>
    </xf>
    <xf numFmtId="3" fontId="4" fillId="6" borderId="81" xfId="0" applyNumberFormat="1" applyFont="1" applyFill="1" applyBorder="1" applyAlignment="1">
      <alignment horizontal="center" vertical="top"/>
    </xf>
    <xf numFmtId="0" fontId="4" fillId="0" borderId="4" xfId="0" applyNumberFormat="1" applyFont="1" applyBorder="1" applyAlignment="1">
      <alignment horizontal="center" vertical="top"/>
    </xf>
    <xf numFmtId="0" fontId="4" fillId="6" borderId="12" xfId="0" applyNumberFormat="1" applyFont="1" applyFill="1" applyBorder="1" applyAlignment="1">
      <alignment horizontal="center" vertical="top"/>
    </xf>
    <xf numFmtId="3" fontId="4" fillId="6" borderId="9" xfId="0" applyNumberFormat="1" applyFont="1" applyFill="1" applyBorder="1" applyAlignment="1">
      <alignment horizontal="center" vertical="top"/>
    </xf>
    <xf numFmtId="3" fontId="4" fillId="7" borderId="89" xfId="0" applyNumberFormat="1" applyFont="1" applyFill="1" applyBorder="1" applyAlignment="1">
      <alignment horizontal="center" vertical="top"/>
    </xf>
    <xf numFmtId="0" fontId="4" fillId="0" borderId="6" xfId="0" applyNumberFormat="1" applyFont="1" applyBorder="1" applyAlignment="1">
      <alignment horizontal="center" vertical="top"/>
    </xf>
    <xf numFmtId="0" fontId="4" fillId="6" borderId="87" xfId="0" applyNumberFormat="1" applyFont="1" applyFill="1" applyBorder="1" applyAlignment="1">
      <alignment horizontal="center" vertical="top"/>
    </xf>
    <xf numFmtId="3" fontId="4" fillId="6" borderId="64" xfId="0" applyNumberFormat="1" applyFont="1" applyFill="1" applyBorder="1" applyAlignment="1">
      <alignment horizontal="center" vertical="top"/>
    </xf>
    <xf numFmtId="0" fontId="4" fillId="0" borderId="3" xfId="0" applyNumberFormat="1" applyFont="1" applyBorder="1" applyAlignment="1">
      <alignment horizontal="center" vertical="top"/>
    </xf>
    <xf numFmtId="0" fontId="4" fillId="6" borderId="11" xfId="0" applyNumberFormat="1" applyFont="1" applyFill="1" applyBorder="1" applyAlignment="1">
      <alignment horizontal="center" vertical="top"/>
    </xf>
    <xf numFmtId="166" fontId="5" fillId="6" borderId="34" xfId="0" applyNumberFormat="1" applyFont="1" applyFill="1" applyBorder="1" applyAlignment="1">
      <alignment horizontal="center" vertical="top"/>
    </xf>
    <xf numFmtId="166" fontId="5" fillId="6" borderId="85" xfId="0" applyNumberFormat="1" applyFont="1" applyFill="1" applyBorder="1" applyAlignment="1">
      <alignment horizontal="right" vertical="top"/>
    </xf>
    <xf numFmtId="166" fontId="6" fillId="3" borderId="73" xfId="0" applyNumberFormat="1" applyFont="1" applyFill="1" applyBorder="1" applyAlignment="1">
      <alignment horizontal="center" vertical="top"/>
    </xf>
    <xf numFmtId="165" fontId="4" fillId="6" borderId="18" xfId="0" applyNumberFormat="1" applyFont="1" applyFill="1" applyBorder="1" applyAlignment="1">
      <alignment horizontal="center" vertical="top" wrapText="1"/>
    </xf>
    <xf numFmtId="3" fontId="4" fillId="0" borderId="100" xfId="0" applyNumberFormat="1" applyFont="1" applyBorder="1" applyAlignment="1">
      <alignment horizontal="center" vertical="top"/>
    </xf>
    <xf numFmtId="3" fontId="5" fillId="6" borderId="18" xfId="0" applyNumberFormat="1" applyFont="1" applyFill="1" applyBorder="1" applyAlignment="1">
      <alignment horizontal="center" vertical="top"/>
    </xf>
    <xf numFmtId="3" fontId="4" fillId="0" borderId="18" xfId="0" applyNumberFormat="1" applyFont="1" applyBorder="1" applyAlignment="1">
      <alignment horizontal="center" vertical="top"/>
    </xf>
    <xf numFmtId="3" fontId="4" fillId="0" borderId="101" xfId="0" applyNumberFormat="1" applyFont="1" applyBorder="1" applyAlignment="1">
      <alignment horizontal="center" vertical="top"/>
    </xf>
    <xf numFmtId="3" fontId="4" fillId="0" borderId="102" xfId="0" applyNumberFormat="1" applyFont="1" applyBorder="1" applyAlignment="1">
      <alignment horizontal="center" vertical="top"/>
    </xf>
    <xf numFmtId="3" fontId="5" fillId="6" borderId="100" xfId="0" applyNumberFormat="1" applyFont="1" applyFill="1" applyBorder="1" applyAlignment="1">
      <alignment horizontal="center" vertical="top"/>
    </xf>
    <xf numFmtId="3" fontId="4" fillId="6" borderId="18" xfId="0" applyNumberFormat="1" applyFont="1" applyFill="1" applyBorder="1" applyAlignment="1">
      <alignment horizontal="center" vertical="top"/>
    </xf>
    <xf numFmtId="3" fontId="4" fillId="6" borderId="100" xfId="0" applyNumberFormat="1" applyFont="1" applyFill="1" applyBorder="1" applyAlignment="1">
      <alignment horizontal="center" vertical="top"/>
    </xf>
    <xf numFmtId="3" fontId="5" fillId="0" borderId="90" xfId="0" applyNumberFormat="1" applyFont="1" applyFill="1" applyBorder="1" applyAlignment="1">
      <alignment horizontal="center" vertical="top"/>
    </xf>
    <xf numFmtId="3" fontId="5" fillId="0" borderId="102" xfId="0" applyNumberFormat="1" applyFont="1" applyFill="1" applyBorder="1" applyAlignment="1">
      <alignment horizontal="center" vertical="top"/>
    </xf>
    <xf numFmtId="3" fontId="5" fillId="0" borderId="95" xfId="0" applyNumberFormat="1" applyFont="1" applyFill="1" applyBorder="1" applyAlignment="1">
      <alignment horizontal="center" vertical="top"/>
    </xf>
    <xf numFmtId="0" fontId="4" fillId="6" borderId="100" xfId="0" applyNumberFormat="1" applyFont="1" applyFill="1" applyBorder="1" applyAlignment="1">
      <alignment horizontal="center" vertical="top"/>
    </xf>
    <xf numFmtId="3" fontId="4" fillId="0" borderId="103" xfId="0" applyNumberFormat="1" applyFont="1" applyBorder="1" applyAlignment="1">
      <alignment horizontal="center" vertical="top"/>
    </xf>
    <xf numFmtId="0" fontId="4" fillId="6" borderId="99" xfId="0" applyFont="1" applyFill="1" applyBorder="1" applyAlignment="1">
      <alignment horizontal="center" vertical="top"/>
    </xf>
    <xf numFmtId="0" fontId="4" fillId="0" borderId="94" xfId="0" applyFont="1" applyBorder="1" applyAlignment="1">
      <alignment horizontal="center" vertical="top"/>
    </xf>
    <xf numFmtId="166" fontId="5" fillId="6" borderId="61" xfId="0" applyNumberFormat="1" applyFont="1" applyFill="1" applyBorder="1" applyAlignment="1">
      <alignment horizontal="right" vertical="top"/>
    </xf>
    <xf numFmtId="3" fontId="4" fillId="6" borderId="5" xfId="0" applyNumberFormat="1" applyFont="1" applyFill="1" applyBorder="1" applyAlignment="1">
      <alignment vertical="top" wrapText="1"/>
    </xf>
    <xf numFmtId="166" fontId="6" fillId="0" borderId="0" xfId="0" applyNumberFormat="1" applyFont="1" applyFill="1" applyBorder="1" applyAlignment="1">
      <alignment horizontal="center" vertical="top"/>
    </xf>
    <xf numFmtId="166" fontId="6" fillId="9" borderId="89" xfId="0" applyNumberFormat="1" applyFont="1" applyFill="1" applyBorder="1" applyAlignment="1">
      <alignment horizontal="center" vertical="top"/>
    </xf>
    <xf numFmtId="166" fontId="4" fillId="6" borderId="30" xfId="0" applyNumberFormat="1" applyFont="1" applyFill="1" applyBorder="1" applyAlignment="1">
      <alignment horizontal="center" vertical="top"/>
    </xf>
    <xf numFmtId="166" fontId="6" fillId="9" borderId="70" xfId="0" applyNumberFormat="1" applyFont="1" applyFill="1" applyBorder="1" applyAlignment="1">
      <alignment horizontal="center" vertical="top"/>
    </xf>
    <xf numFmtId="166" fontId="6" fillId="5" borderId="73" xfId="0" applyNumberFormat="1" applyFont="1" applyFill="1" applyBorder="1" applyAlignment="1">
      <alignment horizontal="center" vertical="top"/>
    </xf>
    <xf numFmtId="166" fontId="6" fillId="3" borderId="77" xfId="0" applyNumberFormat="1" applyFont="1" applyFill="1" applyBorder="1" applyAlignment="1">
      <alignment horizontal="center" vertical="top"/>
    </xf>
    <xf numFmtId="0" fontId="4" fillId="6" borderId="34" xfId="0" applyFont="1" applyFill="1" applyBorder="1" applyAlignment="1">
      <alignment vertical="top" wrapText="1"/>
    </xf>
    <xf numFmtId="0" fontId="4" fillId="6" borderId="57" xfId="0" applyFont="1" applyFill="1" applyBorder="1" applyAlignment="1">
      <alignment horizontal="center" vertical="top"/>
    </xf>
    <xf numFmtId="0" fontId="4" fillId="6" borderId="49" xfId="0" applyFont="1" applyFill="1" applyBorder="1" applyAlignment="1">
      <alignment vertical="top" wrapText="1"/>
    </xf>
    <xf numFmtId="165" fontId="4" fillId="6" borderId="18" xfId="0" applyNumberFormat="1" applyFont="1" applyFill="1" applyBorder="1" applyAlignment="1">
      <alignment horizontal="center" vertical="center" textRotation="90"/>
    </xf>
    <xf numFmtId="165" fontId="4" fillId="6" borderId="33" xfId="0" applyNumberFormat="1" applyFont="1" applyFill="1" applyBorder="1" applyAlignment="1">
      <alignment horizontal="center" vertical="top" wrapText="1"/>
    </xf>
    <xf numFmtId="3" fontId="16" fillId="0" borderId="100" xfId="0" applyNumberFormat="1" applyFont="1" applyBorder="1" applyAlignment="1">
      <alignment horizontal="center" wrapText="1"/>
    </xf>
    <xf numFmtId="3" fontId="4" fillId="6" borderId="105" xfId="0" applyNumberFormat="1" applyFont="1" applyFill="1" applyBorder="1" applyAlignment="1">
      <alignment horizontal="center" vertical="top"/>
    </xf>
    <xf numFmtId="0" fontId="4" fillId="6" borderId="102" xfId="0" applyFont="1" applyFill="1" applyBorder="1" applyAlignment="1">
      <alignment horizontal="center" vertical="top"/>
    </xf>
    <xf numFmtId="0" fontId="4" fillId="0" borderId="92" xfId="0" applyFont="1" applyBorder="1" applyAlignment="1">
      <alignment horizontal="center" vertical="top"/>
    </xf>
    <xf numFmtId="0" fontId="4" fillId="6" borderId="105" xfId="0" applyFont="1" applyFill="1" applyBorder="1" applyAlignment="1">
      <alignment horizontal="center" vertical="top"/>
    </xf>
    <xf numFmtId="0" fontId="4" fillId="6" borderId="47" xfId="0" applyFont="1" applyFill="1" applyBorder="1" applyAlignment="1">
      <alignment horizontal="left" vertical="top" wrapText="1"/>
    </xf>
    <xf numFmtId="0" fontId="4" fillId="0" borderId="93" xfId="0" applyFont="1" applyBorder="1" applyAlignment="1">
      <alignment horizontal="center" vertical="top"/>
    </xf>
    <xf numFmtId="0" fontId="4" fillId="6" borderId="43" xfId="0" applyFont="1" applyFill="1" applyBorder="1" applyAlignment="1">
      <alignment horizontal="left" vertical="top" wrapText="1"/>
    </xf>
    <xf numFmtId="0" fontId="4" fillId="6" borderId="90" xfId="0" applyFont="1" applyFill="1" applyBorder="1" applyAlignment="1">
      <alignment horizontal="center" vertical="top"/>
    </xf>
    <xf numFmtId="166" fontId="5" fillId="6" borderId="50" xfId="0" applyNumberFormat="1" applyFont="1" applyFill="1" applyBorder="1" applyAlignment="1">
      <alignment horizontal="center" vertical="top"/>
    </xf>
    <xf numFmtId="166" fontId="5" fillId="6" borderId="41" xfId="0" applyNumberFormat="1" applyFont="1" applyFill="1" applyBorder="1" applyAlignment="1">
      <alignment horizontal="center" vertical="top"/>
    </xf>
    <xf numFmtId="166" fontId="5" fillId="6" borderId="14" xfId="0" applyNumberFormat="1" applyFont="1" applyFill="1" applyBorder="1" applyAlignment="1">
      <alignment horizontal="center" vertical="top"/>
    </xf>
    <xf numFmtId="166" fontId="5" fillId="6" borderId="0" xfId="0" applyNumberFormat="1" applyFont="1" applyFill="1" applyBorder="1" applyAlignment="1">
      <alignment horizontal="center" vertical="top"/>
    </xf>
    <xf numFmtId="166" fontId="5" fillId="6" borderId="38" xfId="0" applyNumberFormat="1" applyFont="1" applyFill="1" applyBorder="1" applyAlignment="1">
      <alignment horizontal="center" vertical="top"/>
    </xf>
    <xf numFmtId="166" fontId="5" fillId="6" borderId="59" xfId="0" applyNumberFormat="1" applyFont="1" applyFill="1" applyBorder="1" applyAlignment="1">
      <alignment horizontal="center" vertical="top"/>
    </xf>
    <xf numFmtId="166" fontId="5" fillId="6" borderId="49" xfId="0" applyNumberFormat="1" applyFont="1" applyFill="1" applyBorder="1" applyAlignment="1">
      <alignment horizontal="center" vertical="top"/>
    </xf>
    <xf numFmtId="166" fontId="5" fillId="6" borderId="44" xfId="0" applyNumberFormat="1" applyFont="1" applyFill="1" applyBorder="1" applyAlignment="1">
      <alignment horizontal="center" vertical="top"/>
    </xf>
    <xf numFmtId="0" fontId="4" fillId="0" borderId="95" xfId="0" applyFont="1" applyFill="1" applyBorder="1" applyAlignment="1">
      <alignment horizontal="center" vertical="top"/>
    </xf>
    <xf numFmtId="166" fontId="4" fillId="6" borderId="15" xfId="0" applyNumberFormat="1" applyFont="1" applyFill="1" applyBorder="1" applyAlignment="1">
      <alignment horizontal="center" vertical="top"/>
    </xf>
    <xf numFmtId="3" fontId="4" fillId="6" borderId="41" xfId="0" applyNumberFormat="1" applyFont="1" applyFill="1" applyBorder="1" applyAlignment="1">
      <alignment horizontal="center" vertical="top"/>
    </xf>
    <xf numFmtId="0" fontId="4" fillId="6" borderId="18" xfId="0" applyNumberFormat="1" applyFont="1" applyFill="1" applyBorder="1" applyAlignment="1">
      <alignment horizontal="center" vertical="top"/>
    </xf>
    <xf numFmtId="3" fontId="6" fillId="6" borderId="30" xfId="0" applyNumberFormat="1" applyFont="1" applyFill="1" applyBorder="1" applyAlignment="1">
      <alignment horizontal="center" vertical="top"/>
    </xf>
    <xf numFmtId="49" fontId="4" fillId="6" borderId="11" xfId="0" applyNumberFormat="1" applyFont="1" applyFill="1" applyBorder="1" applyAlignment="1">
      <alignment horizontal="center" vertical="top"/>
    </xf>
    <xf numFmtId="3" fontId="7" fillId="6" borderId="12" xfId="0" applyNumberFormat="1" applyFont="1" applyFill="1" applyBorder="1" applyAlignment="1">
      <alignment horizontal="center" vertical="center" textRotation="90"/>
    </xf>
    <xf numFmtId="3" fontId="6" fillId="6" borderId="18" xfId="0" applyNumberFormat="1" applyFont="1" applyFill="1" applyBorder="1" applyAlignment="1">
      <alignment horizontal="center" vertical="top"/>
    </xf>
    <xf numFmtId="3" fontId="6" fillId="6" borderId="100" xfId="0" applyNumberFormat="1" applyFont="1" applyFill="1" applyBorder="1" applyAlignment="1">
      <alignment horizontal="center" vertical="top"/>
    </xf>
    <xf numFmtId="0" fontId="9" fillId="6" borderId="1" xfId="0" applyFont="1" applyFill="1" applyBorder="1" applyAlignment="1">
      <alignment vertical="top"/>
    </xf>
    <xf numFmtId="3" fontId="4" fillId="6" borderId="49" xfId="0" applyNumberFormat="1" applyFont="1" applyFill="1" applyBorder="1" applyAlignment="1">
      <alignment vertical="top"/>
    </xf>
    <xf numFmtId="3" fontId="4" fillId="6" borderId="50" xfId="0" applyNumberFormat="1" applyFont="1" applyFill="1" applyBorder="1" applyAlignment="1">
      <alignment vertical="top"/>
    </xf>
    <xf numFmtId="3" fontId="4" fillId="6" borderId="32" xfId="0" applyNumberFormat="1" applyFont="1" applyFill="1" applyBorder="1" applyAlignment="1">
      <alignment vertical="top" wrapText="1"/>
    </xf>
    <xf numFmtId="166" fontId="4" fillId="8" borderId="38" xfId="0" applyNumberFormat="1" applyFont="1" applyFill="1" applyBorder="1" applyAlignment="1">
      <alignment horizontal="center" vertical="top"/>
    </xf>
    <xf numFmtId="3" fontId="5" fillId="6" borderId="59" xfId="0" applyNumberFormat="1" applyFont="1" applyFill="1" applyBorder="1" applyAlignment="1">
      <alignment horizontal="center" vertical="top" wrapText="1"/>
    </xf>
    <xf numFmtId="3" fontId="6" fillId="9" borderId="65" xfId="0" applyNumberFormat="1" applyFont="1" applyFill="1" applyBorder="1" applyAlignment="1">
      <alignment horizontal="center" vertical="top" wrapText="1"/>
    </xf>
    <xf numFmtId="166" fontId="4" fillId="0" borderId="0" xfId="0" applyNumberFormat="1" applyFont="1" applyAlignment="1">
      <alignment vertical="top"/>
    </xf>
    <xf numFmtId="166" fontId="4" fillId="0" borderId="14" xfId="0" applyNumberFormat="1" applyFont="1" applyBorder="1" applyAlignment="1">
      <alignment horizontal="center" vertical="top"/>
    </xf>
    <xf numFmtId="166" fontId="4" fillId="6" borderId="10" xfId="0" applyNumberFormat="1" applyFont="1" applyFill="1" applyBorder="1" applyAlignment="1">
      <alignment horizontal="center" vertical="top"/>
    </xf>
    <xf numFmtId="49" fontId="6" fillId="5" borderId="72" xfId="0" applyNumberFormat="1" applyFont="1" applyFill="1" applyBorder="1" applyAlignment="1">
      <alignment horizontal="center" vertical="top"/>
    </xf>
    <xf numFmtId="3" fontId="4" fillId="0" borderId="63" xfId="0" applyNumberFormat="1" applyFont="1" applyBorder="1" applyAlignment="1">
      <alignment vertical="top" wrapText="1"/>
    </xf>
    <xf numFmtId="0" fontId="2" fillId="0" borderId="0" xfId="0" applyFont="1" applyAlignment="1">
      <alignment horizontal="center" vertical="top" wrapText="1"/>
    </xf>
    <xf numFmtId="3" fontId="6" fillId="0" borderId="0" xfId="0" applyNumberFormat="1" applyFont="1" applyFill="1" applyBorder="1" applyAlignment="1">
      <alignment horizontal="center" vertical="top" wrapText="1"/>
    </xf>
    <xf numFmtId="166" fontId="4" fillId="10" borderId="67" xfId="0" applyNumberFormat="1" applyFont="1" applyFill="1" applyBorder="1" applyAlignment="1">
      <alignment horizontal="center" vertical="top"/>
    </xf>
    <xf numFmtId="166" fontId="4" fillId="10" borderId="87" xfId="0" applyNumberFormat="1" applyFont="1" applyFill="1" applyBorder="1" applyAlignment="1">
      <alignment horizontal="center" vertical="top"/>
    </xf>
    <xf numFmtId="0" fontId="4" fillId="6" borderId="40" xfId="0" applyFont="1" applyFill="1" applyBorder="1" applyAlignment="1">
      <alignment horizontal="center" vertical="top"/>
    </xf>
    <xf numFmtId="3" fontId="6" fillId="6" borderId="81" xfId="0" applyNumberFormat="1" applyFont="1" applyFill="1" applyBorder="1" applyAlignment="1">
      <alignment horizontal="center" vertical="top"/>
    </xf>
    <xf numFmtId="3" fontId="4" fillId="6" borderId="61" xfId="0" applyNumberFormat="1" applyFont="1" applyFill="1" applyBorder="1" applyAlignment="1">
      <alignment horizontal="center" vertical="top" wrapText="1"/>
    </xf>
    <xf numFmtId="0" fontId="4" fillId="8" borderId="0" xfId="0" applyFont="1" applyFill="1" applyAlignment="1">
      <alignment vertical="top"/>
    </xf>
    <xf numFmtId="3" fontId="6" fillId="6" borderId="23" xfId="0" applyNumberFormat="1" applyFont="1" applyFill="1" applyBorder="1" applyAlignment="1">
      <alignment horizontal="center" vertical="top"/>
    </xf>
    <xf numFmtId="0" fontId="4" fillId="6" borderId="0" xfId="0" applyFont="1" applyFill="1" applyBorder="1" applyAlignment="1">
      <alignment horizontal="center" vertical="top"/>
    </xf>
    <xf numFmtId="0" fontId="4" fillId="6" borderId="59" xfId="0" applyFont="1" applyFill="1" applyBorder="1" applyAlignment="1">
      <alignment horizontal="center" vertical="top"/>
    </xf>
    <xf numFmtId="0" fontId="4" fillId="6" borderId="35" xfId="0" applyFont="1" applyFill="1" applyBorder="1" applyAlignment="1">
      <alignment vertical="top" wrapText="1"/>
    </xf>
    <xf numFmtId="3" fontId="4" fillId="6" borderId="47" xfId="0" applyNumberFormat="1" applyFont="1" applyFill="1" applyBorder="1" applyAlignment="1">
      <alignment vertical="top" wrapText="1"/>
    </xf>
    <xf numFmtId="3" fontId="4" fillId="0" borderId="52" xfId="0" applyNumberFormat="1" applyFont="1" applyBorder="1" applyAlignment="1">
      <alignment horizontal="center" vertical="top" wrapText="1"/>
    </xf>
    <xf numFmtId="3" fontId="4" fillId="6" borderId="7" xfId="0" applyNumberFormat="1" applyFont="1" applyFill="1" applyBorder="1" applyAlignment="1">
      <alignment horizontal="center" vertical="top"/>
    </xf>
    <xf numFmtId="3" fontId="4" fillId="7" borderId="73" xfId="0" applyNumberFormat="1" applyFont="1" applyFill="1" applyBorder="1" applyAlignment="1">
      <alignment horizontal="center" vertical="top"/>
    </xf>
    <xf numFmtId="166" fontId="19" fillId="6" borderId="13" xfId="0" applyNumberFormat="1" applyFont="1" applyFill="1" applyBorder="1" applyAlignment="1">
      <alignment horizontal="center" vertical="top"/>
    </xf>
    <xf numFmtId="166" fontId="19" fillId="6" borderId="87" xfId="0" applyNumberFormat="1" applyFont="1" applyFill="1" applyBorder="1" applyAlignment="1">
      <alignment horizontal="center" vertical="top"/>
    </xf>
    <xf numFmtId="166" fontId="19" fillId="6" borderId="14" xfId="0" applyNumberFormat="1" applyFont="1" applyFill="1" applyBorder="1" applyAlignment="1">
      <alignment horizontal="center" vertical="top"/>
    </xf>
    <xf numFmtId="3" fontId="4" fillId="0" borderId="0" xfId="0" applyNumberFormat="1" applyFont="1" applyFill="1" applyAlignment="1">
      <alignment vertical="top"/>
    </xf>
    <xf numFmtId="3" fontId="4" fillId="6" borderId="5" xfId="0" applyNumberFormat="1" applyFont="1" applyFill="1" applyBorder="1" applyAlignment="1">
      <alignment horizontal="center" vertical="top"/>
    </xf>
    <xf numFmtId="166" fontId="5" fillId="6" borderId="7" xfId="0" applyNumberFormat="1" applyFont="1" applyFill="1" applyBorder="1" applyAlignment="1">
      <alignment horizontal="center" vertical="top"/>
    </xf>
    <xf numFmtId="49" fontId="4" fillId="0" borderId="97" xfId="0" applyNumberFormat="1" applyFont="1" applyFill="1" applyBorder="1" applyAlignment="1">
      <alignment horizontal="center" vertical="top"/>
    </xf>
    <xf numFmtId="49" fontId="4" fillId="0" borderId="99" xfId="0" applyNumberFormat="1" applyFont="1" applyFill="1" applyBorder="1" applyAlignment="1">
      <alignment horizontal="center" vertical="top"/>
    </xf>
    <xf numFmtId="3" fontId="4" fillId="6" borderId="35" xfId="0" applyNumberFormat="1" applyFont="1" applyFill="1" applyBorder="1" applyAlignment="1">
      <alignment vertical="top" wrapText="1"/>
    </xf>
    <xf numFmtId="0" fontId="4" fillId="6" borderId="11" xfId="0" applyFont="1" applyFill="1" applyBorder="1" applyAlignment="1">
      <alignment horizontal="center" vertical="top"/>
    </xf>
    <xf numFmtId="0" fontId="4" fillId="6" borderId="33" xfId="0" applyFont="1" applyFill="1" applyBorder="1" applyAlignment="1">
      <alignment horizontal="center" vertical="top"/>
    </xf>
    <xf numFmtId="166" fontId="6" fillId="9" borderId="1" xfId="0" applyNumberFormat="1" applyFont="1" applyFill="1" applyBorder="1" applyAlignment="1">
      <alignment horizontal="center" vertical="top"/>
    </xf>
    <xf numFmtId="3" fontId="4" fillId="6" borderId="10" xfId="0" applyNumberFormat="1" applyFont="1" applyFill="1" applyBorder="1" applyAlignment="1">
      <alignment vertical="top" wrapText="1"/>
    </xf>
    <xf numFmtId="3" fontId="4" fillId="6" borderId="47" xfId="0" applyNumberFormat="1" applyFont="1" applyFill="1" applyBorder="1" applyAlignment="1">
      <alignment horizontal="left" vertical="top" wrapText="1"/>
    </xf>
    <xf numFmtId="166" fontId="5" fillId="6" borderId="35" xfId="0" applyNumberFormat="1" applyFont="1" applyFill="1" applyBorder="1" applyAlignment="1">
      <alignment horizontal="center" vertical="top"/>
    </xf>
    <xf numFmtId="3" fontId="4" fillId="0" borderId="5" xfId="0" applyNumberFormat="1" applyFont="1" applyFill="1" applyBorder="1" applyAlignment="1">
      <alignment horizontal="center" vertical="top" wrapText="1"/>
    </xf>
    <xf numFmtId="166" fontId="6" fillId="9" borderId="14" xfId="0" applyNumberFormat="1" applyFont="1" applyFill="1" applyBorder="1" applyAlignment="1">
      <alignment horizontal="center" vertical="top"/>
    </xf>
    <xf numFmtId="0" fontId="4" fillId="0" borderId="0" xfId="0" applyFont="1" applyFill="1" applyAlignment="1">
      <alignment vertical="top"/>
    </xf>
    <xf numFmtId="3" fontId="6" fillId="0" borderId="58" xfId="0" applyNumberFormat="1" applyFont="1" applyBorder="1" applyAlignment="1">
      <alignment horizontal="center" vertical="top"/>
    </xf>
    <xf numFmtId="3" fontId="4" fillId="6" borderId="52" xfId="0" applyNumberFormat="1" applyFont="1" applyFill="1" applyBorder="1" applyAlignment="1">
      <alignment horizontal="left" vertical="top" wrapText="1"/>
    </xf>
    <xf numFmtId="0" fontId="4" fillId="6" borderId="107" xfId="0" applyFont="1" applyFill="1" applyBorder="1" applyAlignment="1">
      <alignment horizontal="center" vertical="top"/>
    </xf>
    <xf numFmtId="0" fontId="4" fillId="6" borderId="41" xfId="0" applyFont="1" applyFill="1" applyBorder="1" applyAlignment="1">
      <alignment horizontal="center" vertical="top"/>
    </xf>
    <xf numFmtId="49" fontId="4" fillId="0" borderId="18" xfId="0" applyNumberFormat="1" applyFont="1" applyFill="1" applyBorder="1" applyAlignment="1">
      <alignment horizontal="center" vertical="top"/>
    </xf>
    <xf numFmtId="0" fontId="4" fillId="6" borderId="100" xfId="0" applyFont="1" applyFill="1" applyBorder="1" applyAlignment="1">
      <alignment horizontal="center" vertical="top"/>
    </xf>
    <xf numFmtId="0" fontId="4" fillId="6" borderId="18" xfId="0" applyFont="1" applyFill="1" applyBorder="1" applyAlignment="1">
      <alignment horizontal="center" vertical="top"/>
    </xf>
    <xf numFmtId="3" fontId="4" fillId="0" borderId="102" xfId="0" applyNumberFormat="1" applyFont="1" applyFill="1" applyBorder="1" applyAlignment="1">
      <alignment horizontal="center" vertical="top"/>
    </xf>
    <xf numFmtId="3" fontId="4" fillId="6" borderId="99" xfId="0" applyNumberFormat="1" applyFont="1" applyFill="1" applyBorder="1" applyAlignment="1">
      <alignment horizontal="center" vertical="top"/>
    </xf>
    <xf numFmtId="3" fontId="4" fillId="0" borderId="106" xfId="0" applyNumberFormat="1" applyFont="1" applyFill="1" applyBorder="1" applyAlignment="1">
      <alignment horizontal="center" vertical="top" wrapText="1"/>
    </xf>
    <xf numFmtId="3" fontId="10" fillId="8" borderId="18" xfId="0" applyNumberFormat="1" applyFont="1" applyFill="1" applyBorder="1" applyAlignment="1">
      <alignment horizontal="center" vertical="top"/>
    </xf>
    <xf numFmtId="3" fontId="10" fillId="8" borderId="33" xfId="0" applyNumberFormat="1" applyFont="1" applyFill="1" applyBorder="1" applyAlignment="1">
      <alignment horizontal="center" vertical="top"/>
    </xf>
    <xf numFmtId="3" fontId="4" fillId="6" borderId="102" xfId="0" applyNumberFormat="1" applyFont="1" applyFill="1" applyBorder="1" applyAlignment="1">
      <alignment horizontal="center" vertical="top"/>
    </xf>
    <xf numFmtId="3" fontId="4" fillId="6" borderId="106" xfId="0" applyNumberFormat="1" applyFont="1" applyFill="1" applyBorder="1" applyAlignment="1">
      <alignment horizontal="center" vertical="top"/>
    </xf>
    <xf numFmtId="3" fontId="4" fillId="6" borderId="108" xfId="0" applyNumberFormat="1" applyFont="1" applyFill="1" applyBorder="1" applyAlignment="1">
      <alignment horizontal="center" vertical="top"/>
    </xf>
    <xf numFmtId="3" fontId="4" fillId="6" borderId="86" xfId="0" applyNumberFormat="1" applyFont="1" applyFill="1" applyBorder="1" applyAlignment="1">
      <alignment horizontal="center" vertical="top"/>
    </xf>
    <xf numFmtId="0" fontId="4" fillId="10" borderId="13" xfId="0" applyFont="1" applyFill="1" applyBorder="1" applyAlignment="1">
      <alignment horizontal="center" vertical="top"/>
    </xf>
    <xf numFmtId="3" fontId="4" fillId="0" borderId="107" xfId="0" applyNumberFormat="1" applyFont="1" applyFill="1" applyBorder="1" applyAlignment="1">
      <alignment horizontal="center" vertical="top"/>
    </xf>
    <xf numFmtId="3" fontId="4" fillId="6" borderId="80" xfId="0" applyNumberFormat="1" applyFont="1" applyFill="1" applyBorder="1" applyAlignment="1">
      <alignment horizontal="center" vertical="top"/>
    </xf>
    <xf numFmtId="3" fontId="4" fillId="0" borderId="108" xfId="0" applyNumberFormat="1" applyFont="1" applyFill="1" applyBorder="1" applyAlignment="1">
      <alignment horizontal="center" vertical="top" wrapText="1"/>
    </xf>
    <xf numFmtId="3" fontId="10" fillId="8" borderId="41" xfId="0" applyNumberFormat="1" applyFont="1" applyFill="1" applyBorder="1" applyAlignment="1">
      <alignment horizontal="center" vertical="top"/>
    </xf>
    <xf numFmtId="3" fontId="10" fillId="8" borderId="0" xfId="0" applyNumberFormat="1" applyFont="1" applyFill="1" applyBorder="1" applyAlignment="1">
      <alignment horizontal="center" vertical="top"/>
    </xf>
    <xf numFmtId="3" fontId="4" fillId="6" borderId="107" xfId="0" applyNumberFormat="1" applyFont="1" applyFill="1" applyBorder="1" applyAlignment="1">
      <alignment horizontal="center" vertical="top"/>
    </xf>
    <xf numFmtId="3" fontId="22" fillId="0" borderId="66" xfId="0" applyNumberFormat="1" applyFont="1" applyBorder="1" applyAlignment="1">
      <alignment vertical="top" wrapText="1"/>
    </xf>
    <xf numFmtId="3" fontId="22" fillId="8" borderId="12" xfId="0" applyNumberFormat="1" applyFont="1" applyFill="1" applyBorder="1" applyAlignment="1">
      <alignment horizontal="center" vertical="top"/>
    </xf>
    <xf numFmtId="3" fontId="4" fillId="6" borderId="59" xfId="0" applyNumberFormat="1" applyFont="1" applyFill="1" applyBorder="1" applyAlignment="1">
      <alignment vertical="center" textRotation="90"/>
    </xf>
    <xf numFmtId="3" fontId="4" fillId="6" borderId="100" xfId="0" applyNumberFormat="1" applyFont="1" applyFill="1" applyBorder="1" applyAlignment="1">
      <alignment vertical="center" textRotation="90"/>
    </xf>
    <xf numFmtId="3" fontId="4" fillId="0" borderId="5" xfId="0" applyNumberFormat="1" applyFont="1" applyBorder="1" applyAlignment="1">
      <alignment horizontal="center" vertical="top"/>
    </xf>
    <xf numFmtId="3" fontId="4" fillId="0" borderId="85" xfId="0" applyNumberFormat="1" applyFont="1" applyBorder="1" applyAlignment="1">
      <alignment horizontal="center" vertical="top"/>
    </xf>
    <xf numFmtId="3" fontId="4" fillId="0" borderId="107" xfId="0" applyNumberFormat="1" applyFont="1" applyBorder="1" applyAlignment="1">
      <alignment horizontal="center" vertical="top"/>
    </xf>
    <xf numFmtId="3" fontId="4" fillId="6" borderId="69" xfId="0" applyNumberFormat="1" applyFont="1" applyFill="1" applyBorder="1" applyAlignment="1">
      <alignment vertical="top" wrapText="1"/>
    </xf>
    <xf numFmtId="3" fontId="4" fillId="0" borderId="31" xfId="0" applyNumberFormat="1" applyFont="1" applyFill="1" applyBorder="1" applyAlignment="1">
      <alignment horizontal="center" vertical="top" wrapText="1"/>
    </xf>
    <xf numFmtId="3" fontId="4" fillId="0" borderId="13" xfId="0" applyNumberFormat="1" applyFont="1" applyFill="1" applyBorder="1" applyAlignment="1">
      <alignment horizontal="center" vertical="top"/>
    </xf>
    <xf numFmtId="3" fontId="6" fillId="5" borderId="69" xfId="0" applyNumberFormat="1" applyFont="1" applyFill="1" applyBorder="1" applyAlignment="1">
      <alignment horizontal="center" vertical="top"/>
    </xf>
    <xf numFmtId="3" fontId="6" fillId="6" borderId="3" xfId="0" applyNumberFormat="1" applyFont="1" applyFill="1" applyBorder="1" applyAlignment="1">
      <alignment horizontal="left" vertical="top" wrapText="1"/>
    </xf>
    <xf numFmtId="3" fontId="7" fillId="0" borderId="30" xfId="0" applyNumberFormat="1" applyFont="1" applyFill="1" applyBorder="1" applyAlignment="1">
      <alignment horizontal="center" vertical="center" textRotation="90"/>
    </xf>
    <xf numFmtId="3" fontId="4" fillId="0" borderId="61" xfId="0" applyNumberFormat="1" applyFont="1" applyFill="1" applyBorder="1" applyAlignment="1">
      <alignment horizontal="center" vertical="top" wrapText="1"/>
    </xf>
    <xf numFmtId="3" fontId="6" fillId="5" borderId="60" xfId="0" applyNumberFormat="1" applyFont="1" applyFill="1" applyBorder="1" applyAlignment="1">
      <alignment horizontal="center" vertical="top"/>
    </xf>
    <xf numFmtId="3" fontId="4" fillId="6" borderId="36" xfId="0" applyNumberFormat="1" applyFont="1" applyFill="1" applyBorder="1" applyAlignment="1">
      <alignment horizontal="center" vertical="top"/>
    </xf>
    <xf numFmtId="3" fontId="13" fillId="6" borderId="49" xfId="0" applyNumberFormat="1" applyFont="1" applyFill="1" applyBorder="1" applyAlignment="1">
      <alignment horizontal="center" vertical="top" wrapText="1"/>
    </xf>
    <xf numFmtId="166" fontId="13" fillId="6" borderId="50" xfId="0" applyNumberFormat="1" applyFont="1" applyFill="1" applyBorder="1" applyAlignment="1">
      <alignment horizontal="center" vertical="top"/>
    </xf>
    <xf numFmtId="166" fontId="13" fillId="6" borderId="0" xfId="0" applyNumberFormat="1" applyFont="1" applyFill="1" applyBorder="1" applyAlignment="1">
      <alignment horizontal="center" vertical="top"/>
    </xf>
    <xf numFmtId="3" fontId="4" fillId="0" borderId="85" xfId="0" applyNumberFormat="1" applyFont="1" applyFill="1" applyBorder="1" applyAlignment="1">
      <alignment horizontal="center" vertical="top"/>
    </xf>
    <xf numFmtId="0" fontId="4" fillId="6" borderId="39" xfId="0" applyNumberFormat="1" applyFont="1" applyFill="1" applyBorder="1" applyAlignment="1">
      <alignment horizontal="center" vertical="top"/>
    </xf>
    <xf numFmtId="0" fontId="4" fillId="6" borderId="58" xfId="0" applyNumberFormat="1" applyFont="1" applyFill="1" applyBorder="1" applyAlignment="1">
      <alignment horizontal="center" vertical="top"/>
    </xf>
    <xf numFmtId="3" fontId="4" fillId="0" borderId="103" xfId="0" applyNumberFormat="1" applyFont="1" applyFill="1" applyBorder="1" applyAlignment="1">
      <alignment horizontal="center" vertical="top"/>
    </xf>
    <xf numFmtId="0" fontId="4" fillId="0" borderId="14" xfId="0" applyFont="1" applyBorder="1" applyAlignment="1">
      <alignment horizontal="center" vertical="top"/>
    </xf>
    <xf numFmtId="3" fontId="4" fillId="0" borderId="53" xfId="0" applyNumberFormat="1" applyFont="1" applyBorder="1" applyAlignment="1">
      <alignment horizontal="center" vertical="top"/>
    </xf>
    <xf numFmtId="166" fontId="4" fillId="0" borderId="31" xfId="0" applyNumberFormat="1" applyFont="1" applyFill="1" applyBorder="1" applyAlignment="1">
      <alignment horizontal="center" vertical="top"/>
    </xf>
    <xf numFmtId="3" fontId="5" fillId="6" borderId="12" xfId="0" applyNumberFormat="1" applyFont="1" applyFill="1" applyBorder="1" applyAlignment="1">
      <alignment horizontal="center" vertical="top"/>
    </xf>
    <xf numFmtId="3" fontId="5" fillId="6" borderId="33" xfId="0" applyNumberFormat="1" applyFont="1" applyFill="1" applyBorder="1" applyAlignment="1">
      <alignment horizontal="center" vertical="top"/>
    </xf>
    <xf numFmtId="166" fontId="5" fillId="6" borderId="15" xfId="0" applyNumberFormat="1" applyFont="1" applyFill="1" applyBorder="1" applyAlignment="1">
      <alignment horizontal="center" vertical="top"/>
    </xf>
    <xf numFmtId="3" fontId="5" fillId="0" borderId="39" xfId="0" applyNumberFormat="1" applyFont="1" applyFill="1" applyBorder="1" applyAlignment="1">
      <alignment horizontal="center" vertical="top"/>
    </xf>
    <xf numFmtId="3" fontId="5" fillId="0" borderId="18" xfId="0" applyNumberFormat="1" applyFont="1" applyFill="1" applyBorder="1" applyAlignment="1">
      <alignment horizontal="center" vertical="top"/>
    </xf>
    <xf numFmtId="3" fontId="4" fillId="0" borderId="49" xfId="0" applyNumberFormat="1" applyFont="1" applyFill="1" applyBorder="1" applyAlignment="1">
      <alignment horizontal="center" vertical="top" wrapText="1"/>
    </xf>
    <xf numFmtId="3" fontId="4" fillId="7" borderId="104" xfId="0" applyNumberFormat="1" applyFont="1" applyFill="1" applyBorder="1" applyAlignment="1">
      <alignment vertical="top"/>
    </xf>
    <xf numFmtId="3" fontId="4" fillId="7" borderId="104" xfId="0" applyNumberFormat="1" applyFont="1" applyFill="1" applyBorder="1" applyAlignment="1">
      <alignment horizontal="center" vertical="top"/>
    </xf>
    <xf numFmtId="3" fontId="4" fillId="8" borderId="0" xfId="0" applyNumberFormat="1" applyFont="1" applyFill="1" applyBorder="1" applyAlignment="1">
      <alignment horizontal="left" vertical="top" wrapText="1"/>
    </xf>
    <xf numFmtId="166" fontId="4" fillId="10" borderId="14" xfId="0" applyNumberFormat="1" applyFont="1" applyFill="1" applyBorder="1" applyAlignment="1">
      <alignment horizontal="center" vertical="top"/>
    </xf>
    <xf numFmtId="3" fontId="5" fillId="0" borderId="16" xfId="0" applyNumberFormat="1" applyFont="1" applyFill="1" applyBorder="1" applyAlignment="1">
      <alignment horizontal="center" vertical="top" wrapText="1"/>
    </xf>
    <xf numFmtId="3" fontId="4" fillId="6" borderId="53" xfId="0" applyNumberFormat="1" applyFont="1" applyFill="1" applyBorder="1" applyAlignment="1">
      <alignment horizontal="center" vertical="top" wrapText="1"/>
    </xf>
    <xf numFmtId="166" fontId="11" fillId="9" borderId="104" xfId="0" applyNumberFormat="1" applyFont="1" applyFill="1" applyBorder="1" applyAlignment="1">
      <alignment vertical="top" wrapText="1"/>
    </xf>
    <xf numFmtId="166" fontId="7" fillId="9" borderId="104" xfId="0" applyNumberFormat="1" applyFont="1" applyFill="1" applyBorder="1" applyAlignment="1">
      <alignment horizontal="center" vertical="center" textRotation="90" wrapText="1"/>
    </xf>
    <xf numFmtId="166" fontId="6" fillId="9" borderId="104" xfId="0" applyNumberFormat="1" applyFont="1" applyFill="1" applyBorder="1" applyAlignment="1">
      <alignment horizontal="center" vertical="top"/>
    </xf>
    <xf numFmtId="166" fontId="22" fillId="9" borderId="68" xfId="0" applyNumberFormat="1" applyFont="1" applyFill="1" applyBorder="1" applyAlignment="1">
      <alignment horizontal="left" vertical="top" wrapText="1"/>
    </xf>
    <xf numFmtId="3" fontId="22" fillId="9" borderId="104" xfId="0" applyNumberFormat="1" applyFont="1" applyFill="1" applyBorder="1" applyAlignment="1">
      <alignment horizontal="center" vertical="top"/>
    </xf>
    <xf numFmtId="3" fontId="4" fillId="9" borderId="104" xfId="0" applyNumberFormat="1" applyFont="1" applyFill="1" applyBorder="1" applyAlignment="1">
      <alignment horizontal="center" vertical="top"/>
    </xf>
    <xf numFmtId="3" fontId="5" fillId="9" borderId="104" xfId="0" applyNumberFormat="1" applyFont="1" applyFill="1" applyBorder="1" applyAlignment="1">
      <alignment horizontal="center" vertical="top" wrapText="1"/>
    </xf>
    <xf numFmtId="3" fontId="5" fillId="9" borderId="89" xfId="0" applyNumberFormat="1" applyFont="1" applyFill="1" applyBorder="1" applyAlignment="1">
      <alignment horizontal="center" vertical="top" wrapText="1"/>
    </xf>
    <xf numFmtId="3" fontId="6" fillId="9" borderId="0" xfId="0" applyNumberFormat="1" applyFont="1" applyFill="1" applyBorder="1" applyAlignment="1">
      <alignment horizontal="center" vertical="top"/>
    </xf>
    <xf numFmtId="49" fontId="6" fillId="6" borderId="58" xfId="0" applyNumberFormat="1" applyFont="1" applyFill="1" applyBorder="1" applyAlignment="1">
      <alignment horizontal="center" vertical="top"/>
    </xf>
    <xf numFmtId="49" fontId="6" fillId="6" borderId="52" xfId="0" applyNumberFormat="1" applyFont="1" applyFill="1" applyBorder="1" applyAlignment="1">
      <alignment horizontal="center" vertical="top"/>
    </xf>
    <xf numFmtId="49" fontId="6" fillId="6" borderId="39" xfId="0" applyNumberFormat="1" applyFont="1" applyFill="1" applyBorder="1" applyAlignment="1">
      <alignment horizontal="center" vertical="top"/>
    </xf>
    <xf numFmtId="49" fontId="6" fillId="9" borderId="11" xfId="0" applyNumberFormat="1" applyFont="1" applyFill="1" applyBorder="1" applyAlignment="1">
      <alignment vertical="top"/>
    </xf>
    <xf numFmtId="3" fontId="4" fillId="9" borderId="0" xfId="0" applyNumberFormat="1" applyFont="1" applyFill="1" applyBorder="1" applyAlignment="1">
      <alignment vertical="top"/>
    </xf>
    <xf numFmtId="3" fontId="6" fillId="9" borderId="11" xfId="0" applyNumberFormat="1" applyFont="1" applyFill="1" applyBorder="1" applyAlignment="1">
      <alignment vertical="top"/>
    </xf>
    <xf numFmtId="3" fontId="6" fillId="9" borderId="12" xfId="0" applyNumberFormat="1" applyFont="1" applyFill="1" applyBorder="1" applyAlignment="1">
      <alignment vertical="top"/>
    </xf>
    <xf numFmtId="3" fontId="6" fillId="9" borderId="23" xfId="0" applyNumberFormat="1" applyFont="1" applyFill="1" applyBorder="1" applyAlignment="1">
      <alignment vertical="top"/>
    </xf>
    <xf numFmtId="3" fontId="6" fillId="9" borderId="69" xfId="0" applyNumberFormat="1" applyFont="1" applyFill="1" applyBorder="1" applyAlignment="1">
      <alignment horizontal="center" vertical="top"/>
    </xf>
    <xf numFmtId="3" fontId="6" fillId="9" borderId="66" xfId="0" applyNumberFormat="1" applyFont="1" applyFill="1" applyBorder="1" applyAlignment="1">
      <alignment horizontal="center" vertical="top"/>
    </xf>
    <xf numFmtId="3" fontId="6" fillId="9" borderId="1" xfId="0" applyNumberFormat="1" applyFont="1" applyFill="1" applyBorder="1" applyAlignment="1">
      <alignment horizontal="center" vertical="top"/>
    </xf>
    <xf numFmtId="3" fontId="6" fillId="6" borderId="30" xfId="0" applyNumberFormat="1" applyFont="1" applyFill="1" applyBorder="1" applyAlignment="1">
      <alignment vertical="top"/>
    </xf>
    <xf numFmtId="49" fontId="6" fillId="6" borderId="16" xfId="0" applyNumberFormat="1" applyFont="1" applyFill="1" applyBorder="1" applyAlignment="1">
      <alignment horizontal="center" vertical="top"/>
    </xf>
    <xf numFmtId="49" fontId="6" fillId="6" borderId="36" xfId="0" applyNumberFormat="1" applyFont="1" applyFill="1" applyBorder="1" applyAlignment="1">
      <alignment horizontal="center" vertical="top"/>
    </xf>
    <xf numFmtId="49" fontId="6" fillId="6" borderId="59" xfId="0" applyNumberFormat="1" applyFont="1" applyFill="1" applyBorder="1" applyAlignment="1">
      <alignment horizontal="center" vertical="top"/>
    </xf>
    <xf numFmtId="49" fontId="6" fillId="6" borderId="11" xfId="0" applyNumberFormat="1" applyFont="1" applyFill="1" applyBorder="1" applyAlignment="1">
      <alignment horizontal="center" vertical="top" wrapText="1"/>
    </xf>
    <xf numFmtId="3" fontId="6" fillId="9" borderId="3" xfId="0" applyNumberFormat="1" applyFont="1" applyFill="1" applyBorder="1" applyAlignment="1">
      <alignment vertical="top"/>
    </xf>
    <xf numFmtId="3" fontId="6" fillId="9" borderId="66" xfId="0" applyNumberFormat="1" applyFont="1" applyFill="1" applyBorder="1" applyAlignment="1">
      <alignment vertical="top"/>
    </xf>
    <xf numFmtId="3" fontId="6" fillId="9" borderId="0" xfId="0" applyNumberFormat="1" applyFont="1" applyFill="1" applyBorder="1" applyAlignment="1">
      <alignment vertical="top"/>
    </xf>
    <xf numFmtId="3" fontId="4" fillId="9" borderId="23" xfId="0" applyNumberFormat="1" applyFont="1" applyFill="1" applyBorder="1" applyAlignment="1">
      <alignment horizontal="center" vertical="top"/>
    </xf>
    <xf numFmtId="3" fontId="6" fillId="9" borderId="3" xfId="0" applyNumberFormat="1" applyFont="1" applyFill="1" applyBorder="1" applyAlignment="1">
      <alignment horizontal="center" vertical="top"/>
    </xf>
    <xf numFmtId="3" fontId="4" fillId="6" borderId="38" xfId="0" applyNumberFormat="1" applyFont="1" applyFill="1" applyBorder="1" applyAlignment="1">
      <alignment horizontal="center" vertical="top" wrapText="1"/>
    </xf>
    <xf numFmtId="0" fontId="4" fillId="6" borderId="93" xfId="0" applyNumberFormat="1" applyFont="1" applyFill="1" applyBorder="1" applyAlignment="1">
      <alignment horizontal="center" vertical="top"/>
    </xf>
    <xf numFmtId="166" fontId="6" fillId="5" borderId="26" xfId="0" applyNumberFormat="1" applyFont="1" applyFill="1" applyBorder="1" applyAlignment="1">
      <alignment horizontal="center" vertical="top"/>
    </xf>
    <xf numFmtId="0" fontId="4" fillId="9" borderId="104" xfId="0" applyFont="1" applyFill="1" applyBorder="1" applyAlignment="1">
      <alignment horizontal="left" vertical="top" wrapText="1"/>
    </xf>
    <xf numFmtId="0" fontId="5" fillId="9" borderId="104" xfId="0" applyFont="1" applyFill="1" applyBorder="1" applyAlignment="1">
      <alignment horizontal="center" vertical="center" textRotation="90" wrapText="1"/>
    </xf>
    <xf numFmtId="49" fontId="6" fillId="9" borderId="104" xfId="0" applyNumberFormat="1" applyFont="1" applyFill="1" applyBorder="1" applyAlignment="1">
      <alignment horizontal="center" vertical="top"/>
    </xf>
    <xf numFmtId="49" fontId="4" fillId="9" borderId="25" xfId="0" applyNumberFormat="1" applyFont="1" applyFill="1" applyBorder="1" applyAlignment="1">
      <alignment horizontal="center" vertical="top" wrapText="1"/>
    </xf>
    <xf numFmtId="3" fontId="5" fillId="6" borderId="81" xfId="0" applyNumberFormat="1" applyFont="1" applyFill="1" applyBorder="1" applyAlignment="1">
      <alignment horizontal="center" vertical="center" textRotation="90" wrapText="1"/>
    </xf>
    <xf numFmtId="49" fontId="5" fillId="0" borderId="11" xfId="0" applyNumberFormat="1" applyFont="1" applyFill="1" applyBorder="1" applyAlignment="1">
      <alignment horizontal="center" vertical="center" textRotation="90" wrapText="1"/>
    </xf>
    <xf numFmtId="49" fontId="6" fillId="0" borderId="12" xfId="0" applyNumberFormat="1" applyFont="1" applyBorder="1" applyAlignment="1">
      <alignment horizontal="center" vertical="top"/>
    </xf>
    <xf numFmtId="49" fontId="4" fillId="6" borderId="14" xfId="0" applyNumberFormat="1" applyFont="1" applyFill="1" applyBorder="1" applyAlignment="1">
      <alignment horizontal="center" vertical="top" wrapText="1"/>
    </xf>
    <xf numFmtId="49" fontId="4" fillId="6" borderId="38" xfId="0" applyNumberFormat="1" applyFont="1" applyFill="1" applyBorder="1" applyAlignment="1">
      <alignment horizontal="center" vertical="top" wrapText="1"/>
    </xf>
    <xf numFmtId="166" fontId="19" fillId="6" borderId="34" xfId="0" applyNumberFormat="1" applyFont="1" applyFill="1" applyBorder="1" applyAlignment="1">
      <alignment horizontal="center" vertical="top"/>
    </xf>
    <xf numFmtId="166" fontId="19" fillId="6" borderId="38" xfId="0" applyNumberFormat="1" applyFont="1" applyFill="1" applyBorder="1" applyAlignment="1">
      <alignment horizontal="center" vertical="top"/>
    </xf>
    <xf numFmtId="3" fontId="19" fillId="6" borderId="39" xfId="0" applyNumberFormat="1" applyFont="1" applyFill="1" applyBorder="1" applyAlignment="1">
      <alignment horizontal="center" vertical="top"/>
    </xf>
    <xf numFmtId="49" fontId="5" fillId="0" borderId="16" xfId="0" applyNumberFormat="1" applyFont="1" applyBorder="1" applyAlignment="1">
      <alignment horizontal="center" vertical="top" wrapText="1"/>
    </xf>
    <xf numFmtId="49" fontId="5" fillId="0" borderId="52" xfId="0" applyNumberFormat="1" applyFont="1" applyBorder="1" applyAlignment="1">
      <alignment horizontal="center" vertical="top" wrapText="1"/>
    </xf>
    <xf numFmtId="0" fontId="4" fillId="0" borderId="56" xfId="0" applyFont="1" applyBorder="1" applyAlignment="1">
      <alignment vertical="top" wrapText="1"/>
    </xf>
    <xf numFmtId="0" fontId="4" fillId="0" borderId="91" xfId="0" applyNumberFormat="1" applyFont="1" applyBorder="1" applyAlignment="1">
      <alignment horizontal="center" vertical="top"/>
    </xf>
    <xf numFmtId="3" fontId="4" fillId="6" borderId="63" xfId="0" applyNumberFormat="1" applyFont="1" applyFill="1" applyBorder="1" applyAlignment="1">
      <alignment vertical="top"/>
    </xf>
    <xf numFmtId="0" fontId="4" fillId="10" borderId="35" xfId="0" applyFont="1" applyFill="1" applyBorder="1" applyAlignment="1">
      <alignment vertical="center" wrapText="1"/>
    </xf>
    <xf numFmtId="0" fontId="4" fillId="10" borderId="57" xfId="0" applyFont="1" applyFill="1" applyBorder="1" applyAlignment="1">
      <alignment horizontal="center" vertical="center"/>
    </xf>
    <xf numFmtId="0" fontId="4" fillId="10" borderId="100" xfId="0" applyFont="1" applyFill="1" applyBorder="1" applyAlignment="1">
      <alignment horizontal="center" vertical="center"/>
    </xf>
    <xf numFmtId="0" fontId="4" fillId="0" borderId="83" xfId="0" applyFont="1" applyBorder="1" applyAlignment="1">
      <alignment vertical="center" wrapText="1"/>
    </xf>
    <xf numFmtId="0" fontId="4" fillId="0" borderId="97" xfId="0" applyFont="1" applyBorder="1" applyAlignment="1">
      <alignment horizontal="center" vertical="center"/>
    </xf>
    <xf numFmtId="0" fontId="4" fillId="10" borderId="97" xfId="0" applyFont="1" applyFill="1" applyBorder="1" applyAlignment="1">
      <alignment horizontal="center" vertical="center"/>
    </xf>
    <xf numFmtId="0" fontId="4" fillId="10" borderId="99" xfId="0" applyFont="1" applyFill="1" applyBorder="1" applyAlignment="1">
      <alignment horizontal="center" vertical="center"/>
    </xf>
    <xf numFmtId="3" fontId="4" fillId="0" borderId="57" xfId="0" applyNumberFormat="1" applyFont="1" applyBorder="1" applyAlignment="1">
      <alignment horizontal="center" vertical="top"/>
    </xf>
    <xf numFmtId="3" fontId="4" fillId="0" borderId="52" xfId="0" applyNumberFormat="1" applyFont="1" applyBorder="1" applyAlignment="1">
      <alignment horizontal="center" vertical="top"/>
    </xf>
    <xf numFmtId="3" fontId="4" fillId="6" borderId="61" xfId="1" applyNumberFormat="1" applyFont="1" applyFill="1" applyBorder="1" applyAlignment="1">
      <alignment horizontal="center" vertical="top" wrapText="1"/>
    </xf>
    <xf numFmtId="3" fontId="5" fillId="6" borderId="64" xfId="0" applyNumberFormat="1" applyFont="1" applyFill="1" applyBorder="1" applyAlignment="1">
      <alignment vertical="top" wrapText="1"/>
    </xf>
    <xf numFmtId="3" fontId="6" fillId="6" borderId="81" xfId="1" applyNumberFormat="1" applyFont="1" applyFill="1" applyBorder="1" applyAlignment="1">
      <alignment horizontal="center" vertical="top"/>
    </xf>
    <xf numFmtId="0" fontId="4" fillId="6" borderId="106" xfId="0" applyNumberFormat="1" applyFont="1" applyFill="1" applyBorder="1" applyAlignment="1">
      <alignment horizontal="center" vertical="top"/>
    </xf>
    <xf numFmtId="0" fontId="4" fillId="6" borderId="38" xfId="0" applyFont="1" applyFill="1" applyBorder="1" applyAlignment="1">
      <alignment horizontal="center" vertical="top"/>
    </xf>
    <xf numFmtId="3" fontId="4" fillId="6" borderId="11" xfId="0" applyNumberFormat="1" applyFont="1" applyFill="1" applyBorder="1" applyAlignment="1">
      <alignment vertical="center" textRotation="90"/>
    </xf>
    <xf numFmtId="3" fontId="4" fillId="6" borderId="0" xfId="0" applyNumberFormat="1" applyFont="1" applyFill="1" applyBorder="1" applyAlignment="1">
      <alignment vertical="center" textRotation="90"/>
    </xf>
    <xf numFmtId="3" fontId="4" fillId="6" borderId="33" xfId="0" applyNumberFormat="1" applyFont="1" applyFill="1" applyBorder="1" applyAlignment="1">
      <alignment vertical="center" textRotation="90"/>
    </xf>
    <xf numFmtId="3" fontId="4" fillId="6" borderId="43" xfId="0" applyNumberFormat="1" applyFont="1" applyFill="1" applyBorder="1" applyAlignment="1">
      <alignment horizontal="left" vertical="top" wrapText="1"/>
    </xf>
    <xf numFmtId="3" fontId="9" fillId="0" borderId="12" xfId="0" applyNumberFormat="1" applyFont="1" applyFill="1" applyBorder="1" applyAlignment="1">
      <alignment horizontal="center" vertical="top" textRotation="90" wrapText="1"/>
    </xf>
    <xf numFmtId="0" fontId="4" fillId="6" borderId="41" xfId="0" applyFont="1" applyFill="1" applyBorder="1" applyAlignment="1">
      <alignment vertical="center" wrapText="1"/>
    </xf>
    <xf numFmtId="0" fontId="4" fillId="10" borderId="49" xfId="0" applyFont="1" applyFill="1" applyBorder="1" applyAlignment="1">
      <alignment horizontal="center" vertical="top"/>
    </xf>
    <xf numFmtId="0" fontId="4" fillId="6" borderId="0" xfId="0" applyFont="1" applyFill="1" applyBorder="1" applyAlignment="1">
      <alignment vertical="center" wrapText="1"/>
    </xf>
    <xf numFmtId="0" fontId="22" fillId="6" borderId="11" xfId="0" applyFont="1" applyFill="1" applyBorder="1" applyAlignment="1">
      <alignment horizontal="center" vertical="top"/>
    </xf>
    <xf numFmtId="0" fontId="4" fillId="0" borderId="42" xfId="0" applyFont="1" applyBorder="1" applyAlignment="1">
      <alignment vertical="top" wrapText="1"/>
    </xf>
    <xf numFmtId="0" fontId="4" fillId="6" borderId="90" xfId="0" applyNumberFormat="1" applyFont="1" applyFill="1" applyBorder="1" applyAlignment="1">
      <alignment horizontal="center" vertical="top"/>
    </xf>
    <xf numFmtId="166" fontId="20" fillId="10" borderId="67" xfId="0" applyNumberFormat="1" applyFont="1" applyFill="1" applyBorder="1" applyAlignment="1">
      <alignment horizontal="center" vertical="top"/>
    </xf>
    <xf numFmtId="3" fontId="4" fillId="6" borderId="110" xfId="0" applyNumberFormat="1" applyFont="1" applyFill="1" applyBorder="1" applyAlignment="1">
      <alignment vertical="top" wrapText="1"/>
    </xf>
    <xf numFmtId="49" fontId="4" fillId="6" borderId="98" xfId="0" applyNumberFormat="1" applyFont="1" applyFill="1" applyBorder="1" applyAlignment="1">
      <alignment horizontal="center" vertical="top"/>
    </xf>
    <xf numFmtId="49" fontId="4" fillId="6" borderId="96" xfId="0" applyNumberFormat="1" applyFont="1" applyFill="1" applyBorder="1" applyAlignment="1">
      <alignment horizontal="center" vertical="top"/>
    </xf>
    <xf numFmtId="49" fontId="4" fillId="6" borderId="111" xfId="0" applyNumberFormat="1" applyFont="1" applyFill="1" applyBorder="1" applyAlignment="1">
      <alignment horizontal="center" vertical="top"/>
    </xf>
    <xf numFmtId="49" fontId="6" fillId="0" borderId="33" xfId="0" applyNumberFormat="1" applyFont="1" applyBorder="1" applyAlignment="1">
      <alignment horizontal="center" vertical="top"/>
    </xf>
    <xf numFmtId="3" fontId="4" fillId="6" borderId="40" xfId="0" applyNumberFormat="1" applyFont="1" applyFill="1" applyBorder="1" applyAlignment="1">
      <alignment horizontal="center" vertical="top" wrapText="1"/>
    </xf>
    <xf numFmtId="3" fontId="4" fillId="6" borderId="57" xfId="0" applyNumberFormat="1" applyFont="1" applyFill="1" applyBorder="1" applyAlignment="1">
      <alignment horizontal="left" vertical="top" wrapText="1"/>
    </xf>
    <xf numFmtId="3" fontId="4" fillId="6" borderId="78" xfId="0" applyNumberFormat="1" applyFont="1" applyFill="1" applyBorder="1" applyAlignment="1">
      <alignment horizontal="left" vertical="top" wrapText="1"/>
    </xf>
    <xf numFmtId="3" fontId="4" fillId="6" borderId="92" xfId="0" applyNumberFormat="1" applyFont="1" applyFill="1" applyBorder="1" applyAlignment="1">
      <alignment horizontal="center" vertical="top"/>
    </xf>
    <xf numFmtId="3" fontId="4" fillId="6" borderId="12" xfId="0" applyNumberFormat="1" applyFont="1" applyFill="1" applyBorder="1" applyAlignment="1">
      <alignment horizontal="center" vertical="top" wrapText="1"/>
    </xf>
    <xf numFmtId="3" fontId="7" fillId="6" borderId="58" xfId="0" applyNumberFormat="1" applyFont="1" applyFill="1" applyBorder="1" applyAlignment="1">
      <alignment horizontal="center" vertical="center" textRotation="90"/>
    </xf>
    <xf numFmtId="0" fontId="4" fillId="6" borderId="51"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90" xfId="0" applyFont="1" applyFill="1" applyBorder="1" applyAlignment="1">
      <alignment horizontal="center" vertical="top"/>
    </xf>
    <xf numFmtId="0" fontId="6" fillId="6" borderId="33" xfId="1" applyNumberFormat="1" applyFont="1" applyFill="1" applyBorder="1" applyAlignment="1">
      <alignment horizontal="center" vertical="top"/>
    </xf>
    <xf numFmtId="49" fontId="6" fillId="6" borderId="40" xfId="0" applyNumberFormat="1" applyFont="1" applyFill="1" applyBorder="1" applyAlignment="1">
      <alignment horizontal="center" vertical="top" wrapText="1"/>
    </xf>
    <xf numFmtId="3" fontId="4" fillId="0" borderId="43" xfId="0" applyNumberFormat="1" applyFont="1" applyBorder="1" applyAlignment="1">
      <alignment vertical="top" wrapText="1"/>
    </xf>
    <xf numFmtId="3" fontId="4" fillId="0" borderId="95" xfId="0" applyNumberFormat="1" applyFont="1" applyBorder="1" applyAlignment="1">
      <alignment horizontal="center" vertical="top"/>
    </xf>
    <xf numFmtId="0" fontId="4" fillId="6" borderId="50" xfId="0" applyFont="1" applyFill="1" applyBorder="1" applyAlignment="1">
      <alignment horizontal="center" vertical="top"/>
    </xf>
    <xf numFmtId="0" fontId="4" fillId="6" borderId="33" xfId="0" applyNumberFormat="1" applyFont="1" applyFill="1" applyBorder="1" applyAlignment="1">
      <alignment horizontal="center" vertical="top"/>
    </xf>
    <xf numFmtId="3" fontId="4" fillId="6" borderId="49" xfId="0" applyNumberFormat="1" applyFont="1" applyFill="1" applyBorder="1" applyAlignment="1">
      <alignment horizontal="center" vertical="top" wrapText="1"/>
    </xf>
    <xf numFmtId="0" fontId="19" fillId="0" borderId="100" xfId="0" applyNumberFormat="1" applyFont="1" applyFill="1" applyBorder="1" applyAlignment="1">
      <alignment horizontal="center" vertical="top"/>
    </xf>
    <xf numFmtId="0" fontId="4" fillId="0" borderId="35" xfId="0" applyFont="1" applyFill="1" applyBorder="1" applyAlignment="1">
      <alignment horizontal="left" vertical="top" wrapText="1"/>
    </xf>
    <xf numFmtId="3" fontId="4" fillId="0" borderId="57" xfId="0" applyNumberFormat="1" applyFont="1" applyFill="1" applyBorder="1" applyAlignment="1">
      <alignment horizontal="center" vertical="top"/>
    </xf>
    <xf numFmtId="0" fontId="4" fillId="0" borderId="58" xfId="0" applyNumberFormat="1" applyFont="1" applyFill="1" applyBorder="1" applyAlignment="1">
      <alignment horizontal="center" vertical="top"/>
    </xf>
    <xf numFmtId="0" fontId="4" fillId="6" borderId="92" xfId="0" applyNumberFormat="1" applyFont="1" applyFill="1" applyBorder="1" applyAlignment="1">
      <alignment horizontal="center" vertical="top"/>
    </xf>
    <xf numFmtId="0" fontId="19" fillId="6" borderId="105" xfId="0" applyNumberFormat="1" applyFont="1" applyFill="1" applyBorder="1" applyAlignment="1">
      <alignment horizontal="center" vertical="top"/>
    </xf>
    <xf numFmtId="0" fontId="19" fillId="6" borderId="106" xfId="0" applyNumberFormat="1" applyFont="1" applyFill="1" applyBorder="1" applyAlignment="1">
      <alignment horizontal="center" vertical="top"/>
    </xf>
    <xf numFmtId="0" fontId="4" fillId="0" borderId="13" xfId="0" applyFont="1" applyBorder="1" applyAlignment="1">
      <alignment vertical="top" wrapText="1"/>
    </xf>
    <xf numFmtId="3" fontId="4" fillId="0" borderId="11" xfId="0" applyNumberFormat="1" applyFont="1" applyBorder="1" applyAlignment="1">
      <alignment horizontal="center" vertical="top"/>
    </xf>
    <xf numFmtId="49" fontId="5" fillId="0" borderId="101" xfId="0" applyNumberFormat="1" applyFont="1" applyBorder="1" applyAlignment="1">
      <alignment horizontal="center" vertical="top" wrapText="1"/>
    </xf>
    <xf numFmtId="3" fontId="19" fillId="6" borderId="57" xfId="0" applyNumberFormat="1" applyFont="1" applyFill="1" applyBorder="1" applyAlignment="1">
      <alignment horizontal="center" vertical="top"/>
    </xf>
    <xf numFmtId="3" fontId="4" fillId="0" borderId="0" xfId="0" applyNumberFormat="1" applyFont="1" applyFill="1" applyBorder="1" applyAlignment="1">
      <alignment horizontal="left" vertical="top" wrapText="1"/>
    </xf>
    <xf numFmtId="3" fontId="4" fillId="0" borderId="87" xfId="0" applyNumberFormat="1" applyFont="1" applyFill="1" applyBorder="1" applyAlignment="1">
      <alignment horizontal="left" vertical="top" wrapText="1"/>
    </xf>
    <xf numFmtId="3" fontId="6" fillId="6" borderId="57" xfId="0" applyNumberFormat="1" applyFont="1" applyFill="1" applyBorder="1" applyAlignment="1">
      <alignment horizontal="center" vertical="top"/>
    </xf>
    <xf numFmtId="3" fontId="6" fillId="6" borderId="52" xfId="0" applyNumberFormat="1" applyFont="1" applyFill="1" applyBorder="1" applyAlignment="1">
      <alignment horizontal="center" vertical="top"/>
    </xf>
    <xf numFmtId="166" fontId="10" fillId="6" borderId="14" xfId="0" applyNumberFormat="1" applyFont="1" applyFill="1" applyBorder="1" applyAlignment="1">
      <alignment horizontal="center" vertical="top" wrapText="1"/>
    </xf>
    <xf numFmtId="0" fontId="4" fillId="6" borderId="38" xfId="0" applyFont="1" applyFill="1" applyBorder="1" applyAlignment="1">
      <alignment horizontal="center" vertical="top" wrapText="1"/>
    </xf>
    <xf numFmtId="0" fontId="4" fillId="6" borderId="32" xfId="0" applyFont="1" applyFill="1" applyBorder="1" applyAlignment="1">
      <alignment vertical="top" wrapText="1"/>
    </xf>
    <xf numFmtId="3" fontId="10" fillId="6" borderId="16" xfId="0" applyNumberFormat="1" applyFont="1" applyFill="1" applyBorder="1" applyAlignment="1">
      <alignment horizontal="center" vertical="top"/>
    </xf>
    <xf numFmtId="3" fontId="10" fillId="6" borderId="52" xfId="0" applyNumberFormat="1" applyFont="1" applyFill="1" applyBorder="1" applyAlignment="1">
      <alignment horizontal="center" vertical="top"/>
    </xf>
    <xf numFmtId="3" fontId="10" fillId="6" borderId="19" xfId="0" applyNumberFormat="1" applyFont="1" applyFill="1" applyBorder="1" applyAlignment="1">
      <alignment horizontal="center" vertical="top"/>
    </xf>
    <xf numFmtId="3" fontId="10" fillId="6" borderId="101" xfId="0" applyNumberFormat="1" applyFont="1" applyFill="1" applyBorder="1" applyAlignment="1">
      <alignment horizontal="center" vertical="top"/>
    </xf>
    <xf numFmtId="3" fontId="4" fillId="6" borderId="58" xfId="0" applyNumberFormat="1" applyFont="1" applyFill="1" applyBorder="1" applyAlignment="1">
      <alignment vertical="top" wrapText="1"/>
    </xf>
    <xf numFmtId="3" fontId="7" fillId="6" borderId="3" xfId="0" applyNumberFormat="1" applyFont="1" applyFill="1" applyBorder="1" applyAlignment="1">
      <alignment horizontal="center" vertical="top" wrapText="1"/>
    </xf>
    <xf numFmtId="3" fontId="5" fillId="6" borderId="12" xfId="0" applyNumberFormat="1" applyFont="1" applyFill="1" applyBorder="1" applyAlignment="1">
      <alignment vertical="top" wrapText="1"/>
    </xf>
    <xf numFmtId="0" fontId="6" fillId="6" borderId="12" xfId="1" applyNumberFormat="1" applyFont="1" applyFill="1" applyBorder="1" applyAlignment="1">
      <alignment horizontal="center" vertical="top"/>
    </xf>
    <xf numFmtId="3" fontId="4" fillId="6" borderId="25" xfId="0" applyNumberFormat="1" applyFont="1" applyFill="1" applyBorder="1" applyAlignment="1">
      <alignment horizontal="center" vertical="top"/>
    </xf>
    <xf numFmtId="3" fontId="4" fillId="0" borderId="3" xfId="0" applyNumberFormat="1" applyFont="1" applyBorder="1" applyAlignment="1">
      <alignment horizontal="center" vertical="top"/>
    </xf>
    <xf numFmtId="3" fontId="4" fillId="0" borderId="22" xfId="0" applyNumberFormat="1" applyFont="1" applyBorder="1" applyAlignment="1">
      <alignment horizontal="center" vertical="top"/>
    </xf>
    <xf numFmtId="0" fontId="0" fillId="0" borderId="22" xfId="0" applyBorder="1" applyAlignment="1">
      <alignment horizontal="left" vertical="top" wrapText="1"/>
    </xf>
    <xf numFmtId="3" fontId="4" fillId="6" borderId="11" xfId="0" applyNumberFormat="1" applyFont="1" applyFill="1" applyBorder="1" applyAlignment="1">
      <alignment horizontal="center" vertical="top" wrapText="1"/>
    </xf>
    <xf numFmtId="0" fontId="4" fillId="6" borderId="11" xfId="0" applyFont="1" applyFill="1" applyBorder="1" applyAlignment="1">
      <alignment horizontal="left" vertical="top" wrapText="1"/>
    </xf>
    <xf numFmtId="166" fontId="6" fillId="3" borderId="8" xfId="0" applyNumberFormat="1" applyFont="1" applyFill="1" applyBorder="1" applyAlignment="1">
      <alignment horizontal="center" vertical="top" wrapText="1"/>
    </xf>
    <xf numFmtId="166" fontId="6" fillId="3" borderId="31" xfId="0" applyNumberFormat="1" applyFont="1" applyFill="1" applyBorder="1" applyAlignment="1">
      <alignment horizontal="center" vertical="top" wrapText="1"/>
    </xf>
    <xf numFmtId="166" fontId="6" fillId="9" borderId="68" xfId="0" applyNumberFormat="1" applyFont="1" applyFill="1" applyBorder="1" applyAlignment="1">
      <alignment horizontal="center" vertical="top" wrapText="1"/>
    </xf>
    <xf numFmtId="3" fontId="4" fillId="6" borderId="0" xfId="0" applyNumberFormat="1" applyFont="1" applyFill="1" applyBorder="1" applyAlignment="1">
      <alignment vertical="top" wrapText="1"/>
    </xf>
    <xf numFmtId="3" fontId="9" fillId="6" borderId="12" xfId="0" applyNumberFormat="1" applyFont="1" applyFill="1" applyBorder="1" applyAlignment="1">
      <alignment horizontal="center" vertical="top" textRotation="90" wrapText="1"/>
    </xf>
    <xf numFmtId="3" fontId="4" fillId="6" borderId="83" xfId="0" applyNumberFormat="1" applyFont="1" applyFill="1" applyBorder="1" applyAlignment="1">
      <alignment horizontal="left" vertical="top" wrapText="1"/>
    </xf>
    <xf numFmtId="3" fontId="5" fillId="6" borderId="1" xfId="0" applyNumberFormat="1" applyFont="1" applyFill="1" applyBorder="1" applyAlignment="1">
      <alignment horizontal="center" vertical="top" wrapText="1"/>
    </xf>
    <xf numFmtId="3" fontId="6" fillId="6" borderId="28" xfId="0" applyNumberFormat="1" applyFont="1" applyFill="1" applyBorder="1" applyAlignment="1">
      <alignment horizontal="center" vertical="top"/>
    </xf>
    <xf numFmtId="166" fontId="10" fillId="6" borderId="38" xfId="0" applyNumberFormat="1" applyFont="1" applyFill="1" applyBorder="1" applyAlignment="1">
      <alignment horizontal="center" vertical="top" wrapText="1"/>
    </xf>
    <xf numFmtId="0" fontId="26" fillId="0" borderId="61" xfId="0" applyFont="1" applyBorder="1" applyAlignment="1">
      <alignment horizontal="center" vertical="center" wrapText="1"/>
    </xf>
    <xf numFmtId="0" fontId="4" fillId="0" borderId="12" xfId="0" applyFont="1" applyBorder="1" applyAlignment="1">
      <alignment horizontal="center" vertical="top"/>
    </xf>
    <xf numFmtId="0" fontId="9" fillId="6" borderId="22" xfId="0" applyFont="1" applyFill="1" applyBorder="1" applyAlignment="1">
      <alignment vertical="top"/>
    </xf>
    <xf numFmtId="3" fontId="6" fillId="6" borderId="12" xfId="0" applyNumberFormat="1" applyFont="1" applyFill="1" applyBorder="1" applyAlignment="1">
      <alignment horizontal="center" vertical="top" wrapText="1"/>
    </xf>
    <xf numFmtId="3" fontId="4" fillId="6" borderId="3" xfId="0" applyNumberFormat="1" applyFont="1" applyFill="1" applyBorder="1" applyAlignment="1">
      <alignment horizontal="center" vertical="top"/>
    </xf>
    <xf numFmtId="3" fontId="4" fillId="6" borderId="11" xfId="0" applyNumberFormat="1" applyFont="1" applyFill="1" applyBorder="1" applyAlignment="1">
      <alignment horizontal="center" vertical="top"/>
    </xf>
    <xf numFmtId="3" fontId="4" fillId="6" borderId="22" xfId="0" applyNumberFormat="1" applyFont="1" applyFill="1" applyBorder="1" applyAlignment="1">
      <alignment horizontal="center" vertical="top"/>
    </xf>
    <xf numFmtId="3" fontId="4" fillId="6" borderId="87" xfId="0" applyNumberFormat="1" applyFont="1" applyFill="1" applyBorder="1" applyAlignment="1">
      <alignment horizontal="center" vertical="top"/>
    </xf>
    <xf numFmtId="3" fontId="4" fillId="0" borderId="0" xfId="0" applyNumberFormat="1" applyFont="1" applyFill="1" applyBorder="1" applyAlignment="1">
      <alignment horizontal="left" vertical="top" wrapText="1"/>
    </xf>
    <xf numFmtId="0" fontId="16" fillId="0" borderId="0" xfId="0" applyFont="1" applyFill="1"/>
    <xf numFmtId="0" fontId="9" fillId="0" borderId="0" xfId="0" applyFont="1" applyFill="1" applyBorder="1" applyAlignment="1">
      <alignment vertical="top"/>
    </xf>
    <xf numFmtId="0" fontId="9" fillId="0" borderId="0" xfId="0" applyFont="1" applyFill="1" applyAlignment="1">
      <alignment vertical="top"/>
    </xf>
    <xf numFmtId="49" fontId="6" fillId="6" borderId="40" xfId="0" applyNumberFormat="1" applyFont="1" applyFill="1" applyBorder="1" applyAlignment="1">
      <alignment horizontal="center" vertical="top"/>
    </xf>
    <xf numFmtId="49" fontId="6" fillId="6" borderId="57" xfId="0" applyNumberFormat="1" applyFont="1" applyFill="1" applyBorder="1" applyAlignment="1">
      <alignment horizontal="center" vertical="top"/>
    </xf>
    <xf numFmtId="3" fontId="4" fillId="6" borderId="10" xfId="0" applyNumberFormat="1" applyFont="1" applyFill="1" applyBorder="1" applyAlignment="1">
      <alignment horizontal="left" vertical="top" wrapText="1"/>
    </xf>
    <xf numFmtId="3" fontId="4" fillId="6" borderId="21" xfId="0" applyNumberFormat="1" applyFont="1" applyFill="1" applyBorder="1" applyAlignment="1">
      <alignment horizontal="left" vertical="top" wrapText="1"/>
    </xf>
    <xf numFmtId="3" fontId="4" fillId="0" borderId="7" xfId="0" applyNumberFormat="1" applyFont="1" applyBorder="1" applyAlignment="1">
      <alignment horizontal="center" vertical="top" wrapText="1"/>
    </xf>
    <xf numFmtId="3" fontId="4" fillId="6" borderId="3" xfId="0" applyNumberFormat="1" applyFont="1" applyFill="1" applyBorder="1" applyAlignment="1">
      <alignment horizontal="left" vertical="top" wrapText="1"/>
    </xf>
    <xf numFmtId="3" fontId="5" fillId="0" borderId="22" xfId="0" applyNumberFormat="1" applyFont="1" applyFill="1" applyBorder="1" applyAlignment="1">
      <alignment horizontal="center" vertical="top" wrapText="1"/>
    </xf>
    <xf numFmtId="49" fontId="4" fillId="0" borderId="14" xfId="0" applyNumberFormat="1" applyFont="1" applyBorder="1" applyAlignment="1">
      <alignment horizontal="center" vertical="top" wrapText="1"/>
    </xf>
    <xf numFmtId="3" fontId="4" fillId="6" borderId="14" xfId="0" applyNumberFormat="1" applyFont="1" applyFill="1" applyBorder="1" applyAlignment="1">
      <alignment horizontal="center" vertical="top" wrapText="1"/>
    </xf>
    <xf numFmtId="3" fontId="4" fillId="6" borderId="11" xfId="0" applyNumberFormat="1" applyFont="1" applyFill="1" applyBorder="1" applyAlignment="1">
      <alignment horizontal="left" vertical="top" wrapText="1"/>
    </xf>
    <xf numFmtId="3" fontId="4" fillId="6" borderId="40" xfId="0" applyNumberFormat="1" applyFont="1" applyFill="1" applyBorder="1" applyAlignment="1">
      <alignment horizontal="left" vertical="top" wrapText="1"/>
    </xf>
    <xf numFmtId="3" fontId="4" fillId="6" borderId="50" xfId="0" applyNumberFormat="1" applyFont="1" applyFill="1" applyBorder="1" applyAlignment="1">
      <alignment horizontal="center" vertical="top" wrapText="1"/>
    </xf>
    <xf numFmtId="3" fontId="4" fillId="6" borderId="22" xfId="0" applyNumberFormat="1" applyFont="1" applyFill="1" applyBorder="1" applyAlignment="1">
      <alignment horizontal="left" vertical="top" wrapText="1"/>
    </xf>
    <xf numFmtId="3" fontId="4" fillId="6" borderId="7" xfId="0" applyNumberFormat="1" applyFont="1" applyFill="1" applyBorder="1" applyAlignment="1">
      <alignment horizontal="center" vertical="top" wrapText="1"/>
    </xf>
    <xf numFmtId="3" fontId="4" fillId="6" borderId="26" xfId="0" applyNumberFormat="1" applyFont="1" applyFill="1" applyBorder="1" applyAlignment="1">
      <alignment horizontal="center" vertical="top" wrapText="1"/>
    </xf>
    <xf numFmtId="3" fontId="6" fillId="4" borderId="2"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6" borderId="11" xfId="0" applyNumberFormat="1" applyFont="1" applyFill="1" applyBorder="1" applyAlignment="1">
      <alignment horizontal="center" vertical="top"/>
    </xf>
    <xf numFmtId="3" fontId="6" fillId="0" borderId="12" xfId="0" applyNumberFormat="1" applyFont="1" applyBorder="1" applyAlignment="1">
      <alignment horizontal="center" vertical="top"/>
    </xf>
    <xf numFmtId="3" fontId="6" fillId="5" borderId="11"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3" fontId="4" fillId="0" borderId="30" xfId="0" applyNumberFormat="1" applyFont="1" applyBorder="1" applyAlignment="1">
      <alignment horizontal="center" vertical="top"/>
    </xf>
    <xf numFmtId="3" fontId="4" fillId="0" borderId="1" xfId="0" applyNumberFormat="1" applyFont="1" applyBorder="1" applyAlignment="1">
      <alignment horizontal="center" vertical="top"/>
    </xf>
    <xf numFmtId="3" fontId="4" fillId="0" borderId="14" xfId="0" applyNumberFormat="1" applyFont="1" applyBorder="1" applyAlignment="1">
      <alignment horizontal="center" vertical="top" wrapText="1"/>
    </xf>
    <xf numFmtId="3" fontId="4" fillId="0" borderId="26" xfId="0" applyNumberFormat="1" applyFont="1" applyBorder="1" applyAlignment="1">
      <alignment horizontal="center" vertical="top" wrapText="1"/>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5" borderId="11"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3" fontId="4" fillId="6" borderId="0"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49" fontId="6" fillId="6" borderId="33"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3" fontId="6" fillId="6" borderId="58" xfId="0" applyNumberFormat="1" applyFont="1" applyFill="1" applyBorder="1" applyAlignment="1">
      <alignment horizontal="center" vertical="top"/>
    </xf>
    <xf numFmtId="49" fontId="6" fillId="4" borderId="10" xfId="0" applyNumberFormat="1" applyFont="1" applyFill="1" applyBorder="1" applyAlignment="1">
      <alignment horizontal="center" vertical="top"/>
    </xf>
    <xf numFmtId="3" fontId="6" fillId="6" borderId="64" xfId="0" applyNumberFormat="1" applyFont="1" applyFill="1" applyBorder="1" applyAlignment="1">
      <alignment horizontal="center" vertical="top"/>
    </xf>
    <xf numFmtId="49" fontId="6" fillId="9" borderId="12" xfId="0" applyNumberFormat="1" applyFont="1" applyFill="1" applyBorder="1" applyAlignment="1">
      <alignment horizontal="center" vertical="top"/>
    </xf>
    <xf numFmtId="3" fontId="4" fillId="0" borderId="10" xfId="0" applyNumberFormat="1" applyFont="1" applyBorder="1" applyAlignment="1">
      <alignment vertical="top" wrapText="1"/>
    </xf>
    <xf numFmtId="0" fontId="4" fillId="6" borderId="40" xfId="0" applyFont="1" applyFill="1" applyBorder="1" applyAlignment="1">
      <alignment vertical="top" wrapText="1"/>
    </xf>
    <xf numFmtId="3" fontId="4" fillId="6" borderId="40" xfId="0" applyNumberFormat="1" applyFont="1" applyFill="1" applyBorder="1" applyAlignment="1">
      <alignment vertical="top" wrapText="1"/>
    </xf>
    <xf numFmtId="3" fontId="4" fillId="6" borderId="11" xfId="0" applyNumberFormat="1" applyFont="1" applyFill="1" applyBorder="1" applyAlignment="1">
      <alignment vertical="top" wrapText="1"/>
    </xf>
    <xf numFmtId="0" fontId="4" fillId="6" borderId="57" xfId="0" applyFont="1" applyFill="1" applyBorder="1" applyAlignment="1">
      <alignment horizontal="left" vertical="top" wrapText="1"/>
    </xf>
    <xf numFmtId="3" fontId="4" fillId="6" borderId="15" xfId="0" applyNumberFormat="1" applyFont="1" applyFill="1" applyBorder="1" applyAlignment="1">
      <alignment horizontal="left" vertical="top" wrapText="1"/>
    </xf>
    <xf numFmtId="3" fontId="4" fillId="6" borderId="15" xfId="0" applyNumberFormat="1" applyFont="1" applyFill="1" applyBorder="1" applyAlignment="1">
      <alignment vertical="top" wrapText="1"/>
    </xf>
    <xf numFmtId="3" fontId="6" fillId="9" borderId="24" xfId="0" applyNumberFormat="1" applyFont="1" applyFill="1" applyBorder="1" applyAlignment="1">
      <alignment horizontal="right" vertical="top" wrapText="1"/>
    </xf>
    <xf numFmtId="3" fontId="4" fillId="0" borderId="31" xfId="0" applyNumberFormat="1" applyFont="1" applyBorder="1" applyAlignment="1">
      <alignment horizontal="left" vertical="top" wrapText="1"/>
    </xf>
    <xf numFmtId="0" fontId="4" fillId="6" borderId="11" xfId="0" applyFont="1" applyFill="1" applyBorder="1" applyAlignment="1">
      <alignment vertical="top" wrapText="1"/>
    </xf>
    <xf numFmtId="49" fontId="5" fillId="6" borderId="57" xfId="0" applyNumberFormat="1" applyFont="1" applyFill="1" applyBorder="1" applyAlignment="1">
      <alignment horizontal="center" vertical="center" textRotation="90" wrapText="1"/>
    </xf>
    <xf numFmtId="0" fontId="4" fillId="6" borderId="57" xfId="0" applyFont="1" applyFill="1" applyBorder="1" applyAlignment="1">
      <alignment vertical="top" wrapText="1"/>
    </xf>
    <xf numFmtId="49" fontId="6" fillId="6" borderId="4"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49" fontId="6" fillId="6" borderId="23" xfId="0" applyNumberFormat="1" applyFont="1" applyFill="1" applyBorder="1" applyAlignment="1">
      <alignment horizontal="center" vertical="top"/>
    </xf>
    <xf numFmtId="3" fontId="6" fillId="9" borderId="12" xfId="0" applyNumberFormat="1" applyFont="1" applyFill="1" applyBorder="1" applyAlignment="1">
      <alignment horizontal="center" vertical="top"/>
    </xf>
    <xf numFmtId="3" fontId="4" fillId="6" borderId="52" xfId="0" applyNumberFormat="1" applyFont="1" applyFill="1" applyBorder="1" applyAlignment="1">
      <alignment vertical="top" wrapText="1"/>
    </xf>
    <xf numFmtId="3" fontId="4" fillId="6" borderId="4"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3" fontId="6" fillId="9" borderId="11" xfId="0" applyNumberFormat="1" applyFont="1" applyFill="1" applyBorder="1" applyAlignment="1">
      <alignment horizontal="center" vertical="top"/>
    </xf>
    <xf numFmtId="3" fontId="4" fillId="6" borderId="35" xfId="0" applyNumberFormat="1" applyFont="1" applyFill="1" applyBorder="1" applyAlignment="1">
      <alignment horizontal="left" vertical="top" wrapText="1"/>
    </xf>
    <xf numFmtId="3" fontId="4" fillId="0" borderId="62" xfId="0" applyNumberFormat="1" applyFont="1" applyBorder="1" applyAlignment="1">
      <alignment horizontal="center" vertical="top"/>
    </xf>
    <xf numFmtId="3" fontId="4" fillId="0" borderId="33" xfId="0" applyNumberFormat="1" applyFont="1" applyBorder="1" applyAlignment="1">
      <alignment horizontal="center" vertical="top"/>
    </xf>
    <xf numFmtId="3" fontId="4" fillId="0" borderId="28" xfId="0" applyNumberFormat="1" applyFont="1" applyBorder="1" applyAlignment="1">
      <alignment horizontal="center" vertical="top"/>
    </xf>
    <xf numFmtId="3" fontId="4" fillId="6" borderId="62"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0" fontId="4" fillId="6" borderId="84" xfId="0" applyFont="1" applyFill="1" applyBorder="1" applyAlignment="1">
      <alignment horizontal="left" vertical="top" wrapText="1"/>
    </xf>
    <xf numFmtId="3" fontId="4" fillId="6" borderId="66" xfId="0" applyNumberFormat="1" applyFont="1" applyFill="1" applyBorder="1" applyAlignment="1">
      <alignment horizontal="left" vertical="top" wrapText="1"/>
    </xf>
    <xf numFmtId="3" fontId="4" fillId="6" borderId="36" xfId="0" applyNumberFormat="1" applyFont="1" applyFill="1" applyBorder="1" applyAlignment="1">
      <alignment horizontal="left" vertical="top" wrapText="1"/>
    </xf>
    <xf numFmtId="3" fontId="6" fillId="6" borderId="3" xfId="0" applyNumberFormat="1" applyFont="1" applyFill="1" applyBorder="1" applyAlignment="1">
      <alignment vertical="top" wrapText="1"/>
    </xf>
    <xf numFmtId="3" fontId="4" fillId="6" borderId="54" xfId="0" applyNumberFormat="1" applyFont="1" applyFill="1" applyBorder="1" applyAlignment="1">
      <alignment horizontal="left" vertical="top" wrapText="1"/>
    </xf>
    <xf numFmtId="3" fontId="4" fillId="6" borderId="66" xfId="0" applyNumberFormat="1" applyFont="1" applyFill="1" applyBorder="1" applyAlignment="1">
      <alignment vertical="top" wrapText="1"/>
    </xf>
    <xf numFmtId="3" fontId="4" fillId="6" borderId="3" xfId="0" applyNumberFormat="1" applyFont="1" applyFill="1" applyBorder="1" applyAlignment="1">
      <alignment vertical="top" wrapText="1"/>
    </xf>
    <xf numFmtId="0" fontId="4" fillId="6" borderId="66" xfId="0" applyFont="1" applyFill="1" applyBorder="1" applyAlignment="1">
      <alignment horizontal="left" vertical="top" wrapText="1"/>
    </xf>
    <xf numFmtId="3" fontId="19" fillId="6" borderId="94" xfId="0" applyNumberFormat="1" applyFont="1" applyFill="1" applyBorder="1" applyAlignment="1">
      <alignment horizontal="center" vertical="top"/>
    </xf>
    <xf numFmtId="0" fontId="4" fillId="6" borderId="49" xfId="0" applyFont="1" applyFill="1" applyBorder="1" applyAlignment="1">
      <alignment horizontal="center" vertical="top" wrapText="1"/>
    </xf>
    <xf numFmtId="0" fontId="4" fillId="6" borderId="13" xfId="0" applyFont="1" applyFill="1" applyBorder="1" applyAlignment="1">
      <alignment horizontal="center" vertical="top" wrapText="1"/>
    </xf>
    <xf numFmtId="0" fontId="9" fillId="0" borderId="11" xfId="0" applyFont="1" applyFill="1" applyBorder="1" applyAlignment="1">
      <alignment horizontal="center" vertical="top"/>
    </xf>
    <xf numFmtId="0" fontId="9" fillId="0" borderId="0" xfId="0" applyFont="1" applyFill="1" applyBorder="1" applyAlignment="1">
      <alignment horizontal="center" vertical="top"/>
    </xf>
    <xf numFmtId="0" fontId="25" fillId="0" borderId="33" xfId="0" applyFont="1" applyFill="1" applyBorder="1" applyAlignment="1">
      <alignment horizontal="center" vertical="top"/>
    </xf>
    <xf numFmtId="0" fontId="9" fillId="0" borderId="90" xfId="0" applyFont="1" applyFill="1" applyBorder="1" applyAlignment="1">
      <alignment horizontal="center" vertical="top"/>
    </xf>
    <xf numFmtId="0" fontId="9" fillId="0" borderId="107" xfId="0" applyFont="1" applyFill="1" applyBorder="1" applyAlignment="1">
      <alignment horizontal="center" vertical="top"/>
    </xf>
    <xf numFmtId="0" fontId="12" fillId="0" borderId="102" xfId="0" applyFont="1" applyFill="1" applyBorder="1" applyAlignment="1">
      <alignment horizontal="center" vertical="top"/>
    </xf>
    <xf numFmtId="166" fontId="10" fillId="6" borderId="0" xfId="0" applyNumberFormat="1" applyFont="1" applyFill="1" applyBorder="1" applyAlignment="1">
      <alignment horizontal="center" vertical="top" wrapText="1"/>
    </xf>
    <xf numFmtId="3" fontId="10" fillId="6" borderId="40" xfId="0" applyNumberFormat="1" applyFont="1" applyFill="1" applyBorder="1" applyAlignment="1">
      <alignment horizontal="center" vertical="top"/>
    </xf>
    <xf numFmtId="3" fontId="10" fillId="6" borderId="41" xfId="0" applyNumberFormat="1" applyFont="1" applyFill="1" applyBorder="1" applyAlignment="1">
      <alignment horizontal="center" vertical="top"/>
    </xf>
    <xf numFmtId="3" fontId="10" fillId="6" borderId="18" xfId="0" applyNumberFormat="1" applyFont="1" applyFill="1" applyBorder="1" applyAlignment="1">
      <alignment horizontal="center" vertical="top"/>
    </xf>
    <xf numFmtId="3" fontId="10" fillId="6" borderId="11" xfId="0" applyNumberFormat="1" applyFont="1" applyFill="1" applyBorder="1" applyAlignment="1">
      <alignment horizontal="center" vertical="top"/>
    </xf>
    <xf numFmtId="3" fontId="10" fillId="6" borderId="0" xfId="0" applyNumberFormat="1" applyFont="1" applyFill="1" applyBorder="1" applyAlignment="1">
      <alignment horizontal="center" vertical="top"/>
    </xf>
    <xf numFmtId="3" fontId="10" fillId="6" borderId="33" xfId="0" applyNumberFormat="1" applyFont="1" applyFill="1" applyBorder="1" applyAlignment="1">
      <alignment horizontal="center" vertical="top"/>
    </xf>
    <xf numFmtId="3" fontId="4" fillId="0" borderId="40" xfId="0" applyNumberFormat="1" applyFont="1" applyFill="1" applyBorder="1" applyAlignment="1">
      <alignment horizontal="center" vertical="top"/>
    </xf>
    <xf numFmtId="166" fontId="5" fillId="6" borderId="107" xfId="0" applyNumberFormat="1" applyFont="1" applyFill="1" applyBorder="1" applyAlignment="1">
      <alignment horizontal="center" vertical="top"/>
    </xf>
    <xf numFmtId="0" fontId="4" fillId="6" borderId="107" xfId="0" applyFont="1" applyFill="1" applyBorder="1" applyAlignment="1">
      <alignment vertical="top" wrapText="1"/>
    </xf>
    <xf numFmtId="3" fontId="6" fillId="9" borderId="24" xfId="0" applyNumberFormat="1" applyFont="1" applyFill="1" applyBorder="1" applyAlignment="1">
      <alignment horizontal="right" vertical="top" wrapText="1"/>
    </xf>
    <xf numFmtId="3" fontId="4" fillId="6" borderId="50" xfId="0" applyNumberFormat="1" applyFont="1" applyFill="1" applyBorder="1" applyAlignment="1">
      <alignment horizontal="center" vertical="top" wrapText="1"/>
    </xf>
    <xf numFmtId="3" fontId="6" fillId="4" borderId="10" xfId="0" applyNumberFormat="1" applyFont="1" applyFill="1" applyBorder="1" applyAlignment="1">
      <alignment horizontal="center" vertical="top"/>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6" borderId="40" xfId="0" applyNumberFormat="1" applyFont="1" applyFill="1" applyBorder="1" applyAlignment="1">
      <alignment horizontal="center" vertical="top"/>
    </xf>
    <xf numFmtId="3" fontId="4" fillId="0" borderId="64" xfId="0" applyNumberFormat="1" applyFont="1" applyBorder="1" applyAlignment="1">
      <alignment horizontal="center" vertical="top"/>
    </xf>
    <xf numFmtId="49" fontId="6" fillId="6" borderId="11" xfId="0" applyNumberFormat="1" applyFont="1" applyFill="1" applyBorder="1" applyAlignment="1">
      <alignment horizontal="center" vertical="top"/>
    </xf>
    <xf numFmtId="3" fontId="6" fillId="0" borderId="4" xfId="0" applyNumberFormat="1" applyFont="1" applyFill="1" applyBorder="1" applyAlignment="1">
      <alignment horizontal="center" vertical="top"/>
    </xf>
    <xf numFmtId="3" fontId="6" fillId="6" borderId="11"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54" xfId="0" applyNumberFormat="1" applyFont="1" applyFill="1" applyBorder="1" applyAlignment="1">
      <alignment vertical="top" wrapText="1"/>
    </xf>
    <xf numFmtId="3" fontId="6" fillId="6" borderId="3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6" fillId="6" borderId="58" xfId="0" applyNumberFormat="1" applyFont="1" applyFill="1" applyBorder="1" applyAlignment="1">
      <alignment horizontal="center" vertical="top"/>
    </xf>
    <xf numFmtId="0" fontId="4" fillId="6" borderId="40" xfId="0" applyFont="1" applyFill="1" applyBorder="1" applyAlignment="1">
      <alignment vertical="top" wrapText="1"/>
    </xf>
    <xf numFmtId="3" fontId="7" fillId="6" borderId="30" xfId="0" applyNumberFormat="1" applyFont="1" applyFill="1" applyBorder="1" applyAlignment="1">
      <alignment horizontal="center" vertical="center" textRotation="90"/>
    </xf>
    <xf numFmtId="3" fontId="6" fillId="6" borderId="4" xfId="0" applyNumberFormat="1" applyFont="1" applyFill="1" applyBorder="1" applyAlignment="1">
      <alignment horizontal="center" vertical="top"/>
    </xf>
    <xf numFmtId="3" fontId="7" fillId="6" borderId="0" xfId="0" applyNumberFormat="1" applyFont="1" applyFill="1" applyBorder="1" applyAlignment="1">
      <alignment horizontal="center" vertical="center" textRotation="90"/>
    </xf>
    <xf numFmtId="3" fontId="4" fillId="6" borderId="2" xfId="0" applyNumberFormat="1" applyFont="1" applyFill="1" applyBorder="1" applyAlignment="1">
      <alignment vertical="top" wrapText="1"/>
    </xf>
    <xf numFmtId="0" fontId="4" fillId="6" borderId="52" xfId="0" applyFont="1" applyFill="1" applyBorder="1" applyAlignment="1">
      <alignment horizontal="center" vertical="top"/>
    </xf>
    <xf numFmtId="0" fontId="4" fillId="6" borderId="19" xfId="0" applyFont="1" applyFill="1" applyBorder="1" applyAlignment="1">
      <alignment horizontal="center" vertical="top"/>
    </xf>
    <xf numFmtId="0" fontId="4" fillId="6" borderId="101" xfId="0" applyFont="1" applyFill="1" applyBorder="1" applyAlignment="1">
      <alignment horizontal="center" vertical="top"/>
    </xf>
    <xf numFmtId="49" fontId="6" fillId="6" borderId="57" xfId="0" applyNumberFormat="1" applyFont="1" applyFill="1" applyBorder="1" applyAlignment="1">
      <alignment horizontal="center" vertical="top"/>
    </xf>
    <xf numFmtId="166" fontId="27" fillId="0" borderId="0" xfId="0" applyNumberFormat="1" applyFont="1" applyAlignment="1">
      <alignment vertical="top"/>
    </xf>
    <xf numFmtId="3" fontId="4" fillId="6" borderId="14" xfId="0" applyNumberFormat="1" applyFont="1" applyFill="1" applyBorder="1" applyAlignment="1">
      <alignment horizontal="center" vertical="top" wrapText="1"/>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3" fontId="4" fillId="6" borderId="10" xfId="0" applyNumberFormat="1" applyFont="1" applyFill="1" applyBorder="1" applyAlignment="1">
      <alignment horizontal="left" vertical="top" wrapText="1"/>
    </xf>
    <xf numFmtId="3" fontId="4" fillId="6" borderId="15" xfId="0" applyNumberFormat="1" applyFont="1" applyFill="1" applyBorder="1" applyAlignment="1">
      <alignment vertical="top" wrapText="1"/>
    </xf>
    <xf numFmtId="3" fontId="6" fillId="9" borderId="11" xfId="0" applyNumberFormat="1" applyFont="1" applyFill="1" applyBorder="1" applyAlignment="1">
      <alignment horizontal="center" vertical="top"/>
    </xf>
    <xf numFmtId="49" fontId="4" fillId="0" borderId="11"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13" fillId="6" borderId="38" xfId="0" applyNumberFormat="1" applyFont="1" applyFill="1" applyBorder="1" applyAlignment="1">
      <alignment horizontal="left" vertical="top" wrapText="1"/>
    </xf>
    <xf numFmtId="3" fontId="4" fillId="6" borderId="66" xfId="0" applyNumberFormat="1" applyFont="1" applyFill="1" applyBorder="1" applyAlignment="1">
      <alignment vertical="top" wrapText="1"/>
    </xf>
    <xf numFmtId="166" fontId="6" fillId="9" borderId="25" xfId="0" applyNumberFormat="1" applyFont="1" applyFill="1" applyBorder="1" applyAlignment="1">
      <alignment horizontal="center" vertical="top"/>
    </xf>
    <xf numFmtId="166" fontId="6" fillId="4" borderId="77"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4" fillId="6" borderId="66" xfId="0" applyNumberFormat="1" applyFont="1" applyFill="1" applyBorder="1" applyAlignment="1">
      <alignment horizontal="left" vertical="top" wrapText="1"/>
    </xf>
    <xf numFmtId="3" fontId="16" fillId="6" borderId="11" xfId="0" applyNumberFormat="1" applyFont="1" applyFill="1" applyBorder="1" applyAlignment="1">
      <alignment horizontal="left" vertical="top" wrapText="1"/>
    </xf>
    <xf numFmtId="3" fontId="4" fillId="6" borderId="0" xfId="0" applyNumberFormat="1" applyFont="1" applyFill="1" applyBorder="1" applyAlignment="1">
      <alignment horizontal="center" vertical="top" wrapText="1"/>
    </xf>
    <xf numFmtId="166" fontId="19" fillId="6" borderId="49" xfId="0" applyNumberFormat="1" applyFont="1" applyFill="1" applyBorder="1" applyAlignment="1">
      <alignment horizontal="center" vertical="top"/>
    </xf>
    <xf numFmtId="166" fontId="19" fillId="6" borderId="46" xfId="0" applyNumberFormat="1" applyFont="1" applyFill="1" applyBorder="1" applyAlignment="1">
      <alignment horizontal="center" vertical="top"/>
    </xf>
    <xf numFmtId="166" fontId="19" fillId="6" borderId="50" xfId="0" applyNumberFormat="1" applyFont="1" applyFill="1" applyBorder="1" applyAlignment="1">
      <alignment horizontal="center" vertical="top"/>
    </xf>
    <xf numFmtId="166" fontId="19" fillId="6" borderId="48" xfId="0" applyNumberFormat="1" applyFont="1" applyFill="1" applyBorder="1" applyAlignment="1">
      <alignment horizontal="center" vertical="top"/>
    </xf>
    <xf numFmtId="3" fontId="6" fillId="9" borderId="68" xfId="0" applyNumberFormat="1" applyFont="1" applyFill="1" applyBorder="1" applyAlignment="1">
      <alignment horizontal="right" vertical="top" wrapText="1"/>
    </xf>
    <xf numFmtId="166" fontId="6" fillId="4" borderId="73" xfId="0" applyNumberFormat="1" applyFont="1" applyFill="1" applyBorder="1" applyAlignment="1">
      <alignment horizontal="center" vertical="top"/>
    </xf>
    <xf numFmtId="3" fontId="5" fillId="6" borderId="4" xfId="0" applyNumberFormat="1" applyFont="1" applyFill="1" applyBorder="1" applyAlignment="1">
      <alignment horizontal="center" vertical="center" textRotation="90" wrapText="1"/>
    </xf>
    <xf numFmtId="3" fontId="4" fillId="6" borderId="35" xfId="0" applyNumberFormat="1" applyFont="1" applyFill="1" applyBorder="1" applyAlignment="1">
      <alignment vertical="top"/>
    </xf>
    <xf numFmtId="0" fontId="19" fillId="6" borderId="10" xfId="0" applyFont="1" applyFill="1" applyBorder="1" applyAlignment="1">
      <alignment horizontal="left" vertical="top" wrapText="1"/>
    </xf>
    <xf numFmtId="49" fontId="6" fillId="6" borderId="12" xfId="0" applyNumberFormat="1" applyFont="1" applyFill="1" applyBorder="1" applyAlignment="1">
      <alignment horizontal="center" vertical="top"/>
    </xf>
    <xf numFmtId="3" fontId="6" fillId="0" borderId="0" xfId="0" applyNumberFormat="1" applyFont="1" applyFill="1" applyBorder="1" applyAlignment="1">
      <alignment horizontal="center" vertical="top" wrapText="1"/>
    </xf>
    <xf numFmtId="3" fontId="6" fillId="0" borderId="76" xfId="0" applyNumberFormat="1" applyFont="1" applyBorder="1" applyAlignment="1">
      <alignment horizontal="center" vertical="center" wrapText="1"/>
    </xf>
    <xf numFmtId="166" fontId="4" fillId="0" borderId="31" xfId="0" applyNumberFormat="1" applyFont="1" applyBorder="1" applyAlignment="1">
      <alignment horizontal="center" vertical="top" wrapText="1"/>
    </xf>
    <xf numFmtId="3" fontId="4" fillId="6" borderId="14" xfId="0" applyNumberFormat="1" applyFont="1" applyFill="1" applyBorder="1" applyAlignment="1">
      <alignment horizontal="center" vertical="top" wrapText="1"/>
    </xf>
    <xf numFmtId="166" fontId="4" fillId="9" borderId="31" xfId="0" applyNumberFormat="1" applyFont="1" applyFill="1" applyBorder="1" applyAlignment="1">
      <alignment horizontal="center" vertical="top" wrapText="1"/>
    </xf>
    <xf numFmtId="166" fontId="6" fillId="9" borderId="31" xfId="0" applyNumberFormat="1" applyFont="1" applyFill="1" applyBorder="1" applyAlignment="1">
      <alignment horizontal="center" vertical="top" wrapText="1"/>
    </xf>
    <xf numFmtId="3" fontId="4" fillId="0" borderId="61" xfId="0" applyNumberFormat="1" applyFont="1" applyBorder="1" applyAlignment="1">
      <alignment horizontal="center" vertical="top"/>
    </xf>
    <xf numFmtId="3" fontId="4" fillId="6" borderId="44" xfId="0" applyNumberFormat="1" applyFont="1" applyFill="1" applyBorder="1" applyAlignment="1">
      <alignment horizontal="center" vertical="top"/>
    </xf>
    <xf numFmtId="3" fontId="6" fillId="9" borderId="68" xfId="0" applyNumberFormat="1" applyFont="1" applyFill="1" applyBorder="1" applyAlignment="1">
      <alignment horizontal="center" vertical="top"/>
    </xf>
    <xf numFmtId="166" fontId="6" fillId="9" borderId="87" xfId="0" applyNumberFormat="1" applyFont="1" applyFill="1" applyBorder="1" applyAlignment="1">
      <alignment horizontal="center" vertical="top"/>
    </xf>
    <xf numFmtId="166" fontId="13" fillId="6" borderId="54" xfId="0" applyNumberFormat="1" applyFont="1" applyFill="1" applyBorder="1" applyAlignment="1">
      <alignment horizontal="center" vertical="top"/>
    </xf>
    <xf numFmtId="166" fontId="10" fillId="6" borderId="87" xfId="0" applyNumberFormat="1" applyFont="1" applyFill="1" applyBorder="1" applyAlignment="1">
      <alignment horizontal="center" vertical="top" wrapText="1"/>
    </xf>
    <xf numFmtId="166" fontId="4" fillId="10" borderId="50" xfId="0" applyNumberFormat="1" applyFont="1" applyFill="1" applyBorder="1" applyAlignment="1">
      <alignment horizontal="center" vertical="top"/>
    </xf>
    <xf numFmtId="166" fontId="4" fillId="10" borderId="38" xfId="0" applyNumberFormat="1" applyFont="1" applyFill="1" applyBorder="1" applyAlignment="1">
      <alignment horizontal="center" vertical="top"/>
    </xf>
    <xf numFmtId="0" fontId="4" fillId="10" borderId="38" xfId="0" applyFont="1" applyFill="1" applyBorder="1" applyAlignment="1">
      <alignment horizontal="center" vertical="top"/>
    </xf>
    <xf numFmtId="0" fontId="4" fillId="10" borderId="53" xfId="0" applyFont="1" applyFill="1" applyBorder="1" applyAlignment="1">
      <alignment horizontal="center" vertical="top"/>
    </xf>
    <xf numFmtId="165" fontId="4" fillId="6" borderId="16" xfId="0" applyNumberFormat="1" applyFont="1" applyFill="1" applyBorder="1" applyAlignment="1">
      <alignment horizontal="center" vertical="center" textRotation="90"/>
    </xf>
    <xf numFmtId="165" fontId="4" fillId="6" borderId="52" xfId="0" applyNumberFormat="1" applyFont="1" applyFill="1" applyBorder="1" applyAlignment="1">
      <alignment horizontal="center" vertical="center" textRotation="90"/>
    </xf>
    <xf numFmtId="3" fontId="4" fillId="6" borderId="55" xfId="0" applyNumberFormat="1" applyFont="1" applyFill="1" applyBorder="1" applyAlignment="1">
      <alignment horizontal="left" vertical="top" wrapText="1"/>
    </xf>
    <xf numFmtId="3" fontId="4" fillId="0" borderId="36" xfId="0" applyNumberFormat="1" applyFont="1" applyFill="1" applyBorder="1" applyAlignment="1">
      <alignment vertical="top" wrapText="1"/>
    </xf>
    <xf numFmtId="166" fontId="13" fillId="6" borderId="49" xfId="0" applyNumberFormat="1" applyFont="1" applyFill="1" applyBorder="1" applyAlignment="1">
      <alignment horizontal="center" vertical="top"/>
    </xf>
    <xf numFmtId="0" fontId="4" fillId="6" borderId="13" xfId="0" applyFont="1" applyFill="1" applyBorder="1" applyAlignment="1">
      <alignment horizontal="center" vertical="top"/>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3" fontId="4" fillId="6" borderId="11" xfId="0" applyNumberFormat="1" applyFont="1" applyFill="1" applyBorder="1" applyAlignment="1">
      <alignment vertical="top" wrapText="1"/>
    </xf>
    <xf numFmtId="3" fontId="6" fillId="6" borderId="22" xfId="0" applyNumberFormat="1" applyFont="1" applyFill="1" applyBorder="1" applyAlignment="1">
      <alignment horizontal="center" vertical="top"/>
    </xf>
    <xf numFmtId="3" fontId="5" fillId="0" borderId="3"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3" fontId="4" fillId="6" borderId="21" xfId="0" applyNumberFormat="1" applyFont="1" applyFill="1" applyBorder="1" applyAlignment="1">
      <alignment horizontal="left" vertical="top" wrapText="1"/>
    </xf>
    <xf numFmtId="3" fontId="4" fillId="6" borderId="28"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4" fillId="0" borderId="12" xfId="0" applyNumberFormat="1" applyFont="1" applyBorder="1" applyAlignment="1">
      <alignment horizontal="center" vertical="top"/>
    </xf>
    <xf numFmtId="3" fontId="4" fillId="6" borderId="12"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0" fontId="4" fillId="6" borderId="10" xfId="0" applyFont="1" applyFill="1" applyBorder="1" applyAlignment="1">
      <alignment horizontal="left" vertical="top" wrapText="1"/>
    </xf>
    <xf numFmtId="3" fontId="4" fillId="6" borderId="33" xfId="0" applyNumberFormat="1" applyFont="1" applyFill="1" applyBorder="1" applyAlignment="1">
      <alignment horizontal="center" vertical="top"/>
    </xf>
    <xf numFmtId="3" fontId="4" fillId="6" borderId="14" xfId="0" applyNumberFormat="1" applyFont="1" applyFill="1" applyBorder="1" applyAlignment="1">
      <alignment horizontal="center" vertical="top" wrapText="1"/>
    </xf>
    <xf numFmtId="0" fontId="4" fillId="6" borderId="11" xfId="0" applyFont="1" applyFill="1" applyBorder="1" applyAlignment="1">
      <alignment vertical="top" wrapText="1"/>
    </xf>
    <xf numFmtId="3" fontId="6" fillId="6" borderId="40" xfId="0" applyNumberFormat="1" applyFont="1" applyFill="1" applyBorder="1" applyAlignment="1">
      <alignment horizontal="center" vertical="top"/>
    </xf>
    <xf numFmtId="3" fontId="4" fillId="6" borderId="26"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23" fillId="6" borderId="40" xfId="0" applyNumberFormat="1" applyFont="1" applyFill="1" applyBorder="1" applyAlignment="1">
      <alignment horizontal="center" vertical="top"/>
    </xf>
    <xf numFmtId="3" fontId="19" fillId="6" borderId="91" xfId="0" applyNumberFormat="1" applyFont="1" applyFill="1" applyBorder="1" applyAlignment="1">
      <alignment horizontal="center" vertical="top"/>
    </xf>
    <xf numFmtId="0" fontId="4" fillId="6" borderId="49" xfId="0" applyFont="1" applyFill="1" applyBorder="1" applyAlignment="1">
      <alignment horizontal="center" vertical="top"/>
    </xf>
    <xf numFmtId="0" fontId="4" fillId="10" borderId="50" xfId="0" applyFont="1" applyFill="1" applyBorder="1" applyAlignment="1">
      <alignment horizontal="center" vertical="top"/>
    </xf>
    <xf numFmtId="3" fontId="19" fillId="6" borderId="45" xfId="0" applyNumberFormat="1" applyFont="1" applyFill="1" applyBorder="1" applyAlignment="1">
      <alignment horizontal="center" vertical="top"/>
    </xf>
    <xf numFmtId="166" fontId="28" fillId="9" borderId="68" xfId="0" applyNumberFormat="1" applyFont="1" applyFill="1" applyBorder="1" applyAlignment="1">
      <alignment horizontal="center" vertical="top"/>
    </xf>
    <xf numFmtId="3" fontId="5" fillId="6" borderId="11" xfId="0" applyNumberFormat="1" applyFont="1" applyFill="1" applyBorder="1" applyAlignment="1">
      <alignment horizontal="center" vertical="top" wrapText="1"/>
    </xf>
    <xf numFmtId="166" fontId="4" fillId="0" borderId="0" xfId="0" applyNumberFormat="1" applyFont="1" applyBorder="1" applyAlignment="1">
      <alignment vertical="top"/>
    </xf>
    <xf numFmtId="0" fontId="4" fillId="10" borderId="94" xfId="0" applyFont="1" applyFill="1" applyBorder="1" applyAlignment="1">
      <alignment horizontal="center" vertical="center"/>
    </xf>
    <xf numFmtId="0" fontId="4" fillId="10" borderId="58" xfId="0" applyFont="1" applyFill="1" applyBorder="1" applyAlignment="1">
      <alignment horizontal="center" vertical="center"/>
    </xf>
    <xf numFmtId="3" fontId="4" fillId="0" borderId="35" xfId="0" applyNumberFormat="1" applyFont="1" applyFill="1" applyBorder="1" applyAlignment="1">
      <alignment horizontal="left" vertical="top" wrapText="1"/>
    </xf>
    <xf numFmtId="166" fontId="6" fillId="5" borderId="74" xfId="0" applyNumberFormat="1" applyFont="1" applyFill="1" applyBorder="1" applyAlignment="1">
      <alignment horizontal="center" vertical="top"/>
    </xf>
    <xf numFmtId="49" fontId="4" fillId="6" borderId="45" xfId="0" applyNumberFormat="1" applyFont="1" applyFill="1" applyBorder="1" applyAlignment="1">
      <alignment vertical="top"/>
    </xf>
    <xf numFmtId="49" fontId="4" fillId="6" borderId="108" xfId="0" applyNumberFormat="1" applyFont="1" applyFill="1" applyBorder="1" applyAlignment="1">
      <alignment vertical="top"/>
    </xf>
    <xf numFmtId="49" fontId="4" fillId="6" borderId="106" xfId="0" applyNumberFormat="1" applyFont="1" applyFill="1" applyBorder="1" applyAlignment="1">
      <alignment vertical="top"/>
    </xf>
    <xf numFmtId="3" fontId="6" fillId="0" borderId="76" xfId="0" applyNumberFormat="1" applyFont="1" applyBorder="1" applyAlignment="1">
      <alignment horizontal="center" vertical="center" wrapText="1"/>
    </xf>
    <xf numFmtId="0" fontId="4" fillId="6" borderId="39" xfId="0" applyFont="1" applyFill="1" applyBorder="1" applyAlignment="1">
      <alignment horizontal="center" vertical="top"/>
    </xf>
    <xf numFmtId="0" fontId="30" fillId="0" borderId="0" xfId="0" applyFont="1" applyAlignment="1">
      <alignment horizontal="center" vertical="top"/>
    </xf>
    <xf numFmtId="0" fontId="4" fillId="0" borderId="0" xfId="0" applyFont="1" applyAlignment="1">
      <alignment vertical="center"/>
    </xf>
    <xf numFmtId="0" fontId="4" fillId="0" borderId="0" xfId="0" applyNumberFormat="1" applyFont="1" applyAlignment="1">
      <alignment vertical="top"/>
    </xf>
    <xf numFmtId="0" fontId="0" fillId="0" borderId="0" xfId="0" applyBorder="1" applyAlignment="1">
      <alignment horizontal="right" vertical="top"/>
    </xf>
    <xf numFmtId="3" fontId="5" fillId="6" borderId="11" xfId="0" applyNumberFormat="1" applyFont="1" applyFill="1" applyBorder="1" applyAlignment="1">
      <alignment horizontal="center" vertical="top"/>
    </xf>
    <xf numFmtId="0" fontId="4" fillId="6" borderId="12" xfId="0" applyFont="1" applyFill="1" applyBorder="1" applyAlignment="1">
      <alignment horizontal="center" vertical="top"/>
    </xf>
    <xf numFmtId="0" fontId="32" fillId="0" borderId="0" xfId="0" applyFont="1" applyAlignment="1">
      <alignment horizontal="center" wrapText="1"/>
    </xf>
    <xf numFmtId="0" fontId="32" fillId="0" borderId="0" xfId="0" applyFont="1"/>
    <xf numFmtId="0" fontId="33" fillId="0" borderId="0" xfId="0" applyFont="1"/>
    <xf numFmtId="0" fontId="33" fillId="0" borderId="0" xfId="0" applyFont="1" applyAlignment="1">
      <alignment horizontal="left" vertical="top" wrapText="1"/>
    </xf>
    <xf numFmtId="0" fontId="33" fillId="0" borderId="0" xfId="0" applyFont="1" applyAlignment="1">
      <alignment horizontal="left"/>
    </xf>
    <xf numFmtId="0" fontId="33" fillId="0" borderId="0" xfId="0" applyFont="1" applyAlignment="1">
      <alignment horizontal="center"/>
    </xf>
    <xf numFmtId="0" fontId="33" fillId="0" borderId="0" xfId="0" applyFont="1" applyAlignment="1">
      <alignment horizontal="right" vertical="top"/>
    </xf>
    <xf numFmtId="0" fontId="33" fillId="0" borderId="0" xfId="0" applyFont="1" applyAlignment="1">
      <alignment horizontal="left" vertical="top"/>
    </xf>
    <xf numFmtId="0" fontId="33" fillId="0" borderId="0" xfId="0" applyFont="1" applyBorder="1" applyAlignment="1">
      <alignment horizontal="left" vertical="top" wrapText="1"/>
    </xf>
    <xf numFmtId="0" fontId="2" fillId="0" borderId="0" xfId="0" applyFont="1" applyAlignment="1">
      <alignment horizontal="left" vertical="center" wrapText="1"/>
    </xf>
    <xf numFmtId="0" fontId="33" fillId="0" borderId="0" xfId="0" applyFont="1" applyAlignment="1">
      <alignment horizontal="left" vertical="center" wrapText="1"/>
    </xf>
    <xf numFmtId="49" fontId="6" fillId="4" borderId="13" xfId="0" applyNumberFormat="1" applyFont="1" applyFill="1" applyBorder="1" applyAlignment="1">
      <alignment horizontal="center" vertical="top" wrapText="1"/>
    </xf>
    <xf numFmtId="0" fontId="4" fillId="4" borderId="0" xfId="0" applyFont="1" applyFill="1" applyBorder="1" applyAlignment="1">
      <alignment horizontal="center" vertical="center" textRotation="90" wrapText="1"/>
    </xf>
    <xf numFmtId="0" fontId="20" fillId="4" borderId="40" xfId="0" applyFont="1" applyFill="1" applyBorder="1" applyAlignment="1">
      <alignment vertical="center" wrapText="1"/>
    </xf>
    <xf numFmtId="0" fontId="6" fillId="4" borderId="13" xfId="0" applyFont="1" applyFill="1" applyBorder="1" applyAlignment="1">
      <alignment horizontal="center" vertical="center" textRotation="90" wrapText="1"/>
    </xf>
    <xf numFmtId="0" fontId="20" fillId="4" borderId="52" xfId="0" applyFont="1" applyFill="1" applyBorder="1" applyAlignment="1">
      <alignment vertical="center" wrapText="1"/>
    </xf>
    <xf numFmtId="0" fontId="4" fillId="4" borderId="13" xfId="0" applyFont="1" applyFill="1" applyBorder="1" applyAlignment="1">
      <alignment horizontal="center" vertical="center" textRotation="90" wrapText="1"/>
    </xf>
    <xf numFmtId="0" fontId="4" fillId="4" borderId="12" xfId="0" applyFont="1" applyFill="1" applyBorder="1" applyAlignment="1">
      <alignment horizontal="center" vertical="center" textRotation="90" wrapText="1"/>
    </xf>
    <xf numFmtId="0" fontId="4" fillId="4" borderId="0" xfId="0" applyFont="1" applyFill="1" applyBorder="1" applyAlignment="1">
      <alignment horizontal="center" vertical="center" wrapText="1"/>
    </xf>
    <xf numFmtId="0" fontId="5" fillId="4" borderId="0" xfId="0" applyFont="1" applyFill="1" applyBorder="1" applyAlignment="1">
      <alignment horizontal="center" vertical="center" textRotation="90" wrapText="1"/>
    </xf>
    <xf numFmtId="0" fontId="4" fillId="4" borderId="0" xfId="0" applyNumberFormat="1" applyFont="1" applyFill="1" applyBorder="1" applyAlignment="1">
      <alignment horizontal="center" vertical="center" textRotation="90" wrapText="1"/>
    </xf>
    <xf numFmtId="0" fontId="20" fillId="4" borderId="57" xfId="0" applyFont="1" applyFill="1" applyBorder="1" applyAlignment="1">
      <alignment vertical="center" wrapText="1"/>
    </xf>
    <xf numFmtId="3" fontId="4" fillId="6" borderId="10" xfId="0" applyNumberFormat="1" applyFont="1" applyFill="1" applyBorder="1" applyAlignment="1">
      <alignment vertical="top" wrapText="1"/>
    </xf>
    <xf numFmtId="3" fontId="7" fillId="0" borderId="12" xfId="0" applyNumberFormat="1" applyFont="1" applyFill="1" applyBorder="1" applyAlignment="1">
      <alignment horizontal="center" vertical="center" textRotation="90"/>
    </xf>
    <xf numFmtId="0" fontId="33" fillId="0" borderId="0" xfId="0" applyFont="1" applyAlignment="1">
      <alignment horizontal="right"/>
    </xf>
    <xf numFmtId="0" fontId="4" fillId="4" borderId="67" xfId="0" applyFont="1" applyFill="1" applyBorder="1" applyAlignment="1">
      <alignment vertical="top"/>
    </xf>
    <xf numFmtId="0" fontId="6" fillId="4" borderId="12" xfId="0" applyFont="1" applyFill="1" applyBorder="1" applyAlignment="1">
      <alignment horizontal="left" vertical="top" wrapText="1"/>
    </xf>
    <xf numFmtId="0" fontId="4" fillId="4" borderId="87" xfId="0" applyFont="1" applyFill="1" applyBorder="1" applyAlignment="1">
      <alignment vertical="top"/>
    </xf>
    <xf numFmtId="0" fontId="4" fillId="4" borderId="58" xfId="0" applyFont="1" applyFill="1" applyBorder="1" applyAlignment="1">
      <alignment horizontal="left" vertical="top" wrapText="1"/>
    </xf>
    <xf numFmtId="0" fontId="4" fillId="4" borderId="37" xfId="0" applyFont="1" applyFill="1" applyBorder="1" applyAlignment="1">
      <alignment vertical="top"/>
    </xf>
    <xf numFmtId="0" fontId="0" fillId="4" borderId="12" xfId="0" applyFill="1" applyBorder="1" applyAlignment="1">
      <alignment horizontal="left" vertical="top" wrapText="1"/>
    </xf>
    <xf numFmtId="0" fontId="33" fillId="0" borderId="0" xfId="0" applyFont="1" applyAlignment="1">
      <alignment horizontal="left" vertical="top"/>
    </xf>
    <xf numFmtId="0" fontId="4" fillId="4" borderId="34" xfId="0" applyFont="1" applyFill="1" applyBorder="1" applyAlignment="1">
      <alignment horizontal="center" vertical="center" textRotation="90" wrapText="1"/>
    </xf>
    <xf numFmtId="0" fontId="4" fillId="4" borderId="58" xfId="0" applyFont="1" applyFill="1" applyBorder="1" applyAlignment="1">
      <alignment horizontal="center" vertical="center" textRotation="90" wrapText="1"/>
    </xf>
    <xf numFmtId="0" fontId="4" fillId="4" borderId="59" xfId="0" applyFont="1" applyFill="1" applyBorder="1" applyAlignment="1">
      <alignment horizontal="center" vertical="center" textRotation="90" wrapText="1"/>
    </xf>
    <xf numFmtId="0" fontId="4" fillId="4" borderId="59" xfId="0" applyFont="1" applyFill="1" applyBorder="1" applyAlignment="1">
      <alignment horizontal="center" vertical="center" wrapText="1"/>
    </xf>
    <xf numFmtId="0" fontId="5" fillId="4" borderId="59" xfId="0" applyFont="1" applyFill="1" applyBorder="1" applyAlignment="1">
      <alignment horizontal="center" vertical="center" textRotation="90" wrapText="1"/>
    </xf>
    <xf numFmtId="0" fontId="4" fillId="4" borderId="59" xfId="0" applyNumberFormat="1" applyFont="1" applyFill="1" applyBorder="1" applyAlignment="1">
      <alignment horizontal="center" vertical="center" textRotation="90" wrapText="1"/>
    </xf>
    <xf numFmtId="0" fontId="4" fillId="4" borderId="20" xfId="0" applyFont="1" applyFill="1" applyBorder="1" applyAlignment="1">
      <alignment vertical="top"/>
    </xf>
    <xf numFmtId="3" fontId="5" fillId="6" borderId="22" xfId="0" applyNumberFormat="1" applyFont="1" applyFill="1" applyBorder="1" applyAlignment="1">
      <alignment horizontal="center" vertical="top" wrapText="1"/>
    </xf>
    <xf numFmtId="3" fontId="9" fillId="0" borderId="0" xfId="0" applyNumberFormat="1" applyFont="1" applyAlignment="1">
      <alignment horizontal="center" vertical="top"/>
    </xf>
    <xf numFmtId="0" fontId="6" fillId="4" borderId="39" xfId="0" applyFont="1" applyFill="1" applyBorder="1" applyAlignment="1">
      <alignment horizontal="left" vertical="top" wrapText="1"/>
    </xf>
    <xf numFmtId="3" fontId="4" fillId="6" borderId="22" xfId="0" applyNumberFormat="1" applyFont="1" applyFill="1" applyBorder="1" applyAlignment="1">
      <alignment horizontal="left" vertical="top" wrapText="1"/>
    </xf>
    <xf numFmtId="3" fontId="6" fillId="5" borderId="23" xfId="0" applyNumberFormat="1" applyFont="1" applyFill="1" applyBorder="1" applyAlignment="1">
      <alignment horizontal="center" vertical="top"/>
    </xf>
    <xf numFmtId="3" fontId="5" fillId="0" borderId="3"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3" fontId="6" fillId="6" borderId="12" xfId="0" applyNumberFormat="1" applyFont="1" applyFill="1" applyBorder="1" applyAlignment="1">
      <alignment horizontal="center" vertical="top"/>
    </xf>
    <xf numFmtId="3" fontId="4" fillId="6" borderId="15" xfId="0" applyNumberFormat="1" applyFont="1" applyFill="1" applyBorder="1" applyAlignment="1">
      <alignment vertical="top" wrapText="1"/>
    </xf>
    <xf numFmtId="0" fontId="4" fillId="6" borderId="84" xfId="0" applyFont="1" applyFill="1" applyBorder="1" applyAlignment="1">
      <alignment horizontal="left" vertical="top" wrapText="1"/>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3" fontId="4" fillId="6" borderId="21" xfId="0" applyNumberFormat="1" applyFont="1" applyFill="1" applyBorder="1" applyAlignment="1">
      <alignment horizontal="left" vertical="top" wrapText="1"/>
    </xf>
    <xf numFmtId="49" fontId="6" fillId="6" borderId="33" xfId="0" applyNumberFormat="1" applyFont="1" applyFill="1" applyBorder="1" applyAlignment="1">
      <alignment horizontal="center" vertical="top"/>
    </xf>
    <xf numFmtId="3" fontId="6" fillId="0" borderId="0" xfId="0" applyNumberFormat="1" applyFont="1" applyFill="1" applyBorder="1" applyAlignment="1">
      <alignment horizontal="center" vertical="top" wrapText="1"/>
    </xf>
    <xf numFmtId="49" fontId="6" fillId="4" borderId="10" xfId="0" applyNumberFormat="1" applyFont="1" applyFill="1" applyBorder="1" applyAlignment="1">
      <alignment horizontal="center" vertical="top"/>
    </xf>
    <xf numFmtId="49" fontId="6" fillId="5" borderId="11"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3" fontId="4" fillId="6" borderId="11" xfId="0" applyNumberFormat="1" applyFont="1" applyFill="1" applyBorder="1" applyAlignment="1">
      <alignment vertical="top" wrapText="1"/>
    </xf>
    <xf numFmtId="0" fontId="16" fillId="6" borderId="11" xfId="0" applyFont="1" applyFill="1" applyBorder="1" applyAlignment="1">
      <alignment horizontal="center" wrapText="1"/>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4" fillId="6" borderId="62" xfId="0" applyNumberFormat="1" applyFont="1" applyFill="1" applyBorder="1" applyAlignment="1">
      <alignment horizontal="center" vertical="top"/>
    </xf>
    <xf numFmtId="3" fontId="4" fillId="0" borderId="0" xfId="0" applyNumberFormat="1" applyFont="1" applyBorder="1" applyAlignment="1">
      <alignment horizontal="center" vertical="top"/>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6" fillId="6" borderId="39" xfId="0" applyNumberFormat="1" applyFont="1" applyFill="1" applyBorder="1" applyAlignment="1">
      <alignment horizontal="center" vertical="top"/>
    </xf>
    <xf numFmtId="3" fontId="6" fillId="6" borderId="58" xfId="0" applyNumberFormat="1" applyFont="1" applyFill="1" applyBorder="1" applyAlignment="1">
      <alignment horizontal="center" vertical="top"/>
    </xf>
    <xf numFmtId="0" fontId="2" fillId="0" borderId="0" xfId="0" applyFont="1" applyAlignment="1">
      <alignment horizontal="center" vertical="top" wrapText="1"/>
    </xf>
    <xf numFmtId="0" fontId="4" fillId="0" borderId="1" xfId="0" applyFont="1" applyBorder="1" applyAlignment="1">
      <alignment horizontal="right" vertical="top"/>
    </xf>
    <xf numFmtId="0" fontId="4" fillId="6" borderId="11" xfId="0" applyFont="1" applyFill="1" applyBorder="1" applyAlignment="1">
      <alignment vertical="top" wrapText="1"/>
    </xf>
    <xf numFmtId="49" fontId="6" fillId="5" borderId="3" xfId="0" applyNumberFormat="1" applyFont="1" applyFill="1" applyBorder="1" applyAlignment="1">
      <alignment horizontal="center" vertical="top"/>
    </xf>
    <xf numFmtId="49" fontId="6" fillId="4" borderId="2" xfId="0" applyNumberFormat="1" applyFont="1" applyFill="1" applyBorder="1" applyAlignment="1">
      <alignment horizontal="center" vertical="top"/>
    </xf>
    <xf numFmtId="3" fontId="4" fillId="6" borderId="4"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0" fontId="4" fillId="0" borderId="0" xfId="0" applyFont="1" applyFill="1" applyAlignment="1">
      <alignment horizontal="left" vertical="top"/>
    </xf>
    <xf numFmtId="3" fontId="4" fillId="0" borderId="0" xfId="0" applyNumberFormat="1" applyFont="1" applyFill="1" applyBorder="1" applyAlignment="1">
      <alignment horizontal="left" vertical="top"/>
    </xf>
    <xf numFmtId="165" fontId="4" fillId="6" borderId="40" xfId="0" applyNumberFormat="1" applyFont="1" applyFill="1" applyBorder="1" applyAlignment="1">
      <alignment horizontal="center" vertical="center" textRotation="90"/>
    </xf>
    <xf numFmtId="0" fontId="4" fillId="0" borderId="0" xfId="0" applyFont="1" applyFill="1" applyBorder="1" applyAlignment="1">
      <alignment horizontal="left" vertical="top"/>
    </xf>
    <xf numFmtId="165" fontId="4" fillId="6" borderId="12" xfId="0" applyNumberFormat="1" applyFont="1" applyFill="1" applyBorder="1" applyAlignment="1">
      <alignment horizontal="center" vertical="center" textRotation="90"/>
    </xf>
    <xf numFmtId="165" fontId="4" fillId="6" borderId="11" xfId="0" applyNumberFormat="1" applyFont="1" applyFill="1" applyBorder="1" applyAlignment="1">
      <alignment horizontal="center" vertical="center" textRotation="90"/>
    </xf>
    <xf numFmtId="3" fontId="4" fillId="6" borderId="21" xfId="0" applyNumberFormat="1" applyFont="1" applyFill="1" applyBorder="1" applyAlignment="1">
      <alignment vertical="top" wrapText="1"/>
    </xf>
    <xf numFmtId="166" fontId="4" fillId="6" borderId="69" xfId="0" applyNumberFormat="1" applyFont="1" applyFill="1" applyBorder="1" applyAlignment="1">
      <alignment horizontal="center" vertical="top"/>
    </xf>
    <xf numFmtId="0" fontId="9" fillId="6" borderId="40" xfId="0" applyFont="1" applyFill="1" applyBorder="1" applyAlignment="1">
      <alignment horizontal="center" vertical="top"/>
    </xf>
    <xf numFmtId="0" fontId="9" fillId="6" borderId="57" xfId="0" applyFont="1" applyFill="1" applyBorder="1" applyAlignment="1">
      <alignment horizontal="center" vertical="top"/>
    </xf>
    <xf numFmtId="3" fontId="10" fillId="6" borderId="57" xfId="0" applyNumberFormat="1" applyFont="1" applyFill="1" applyBorder="1" applyAlignment="1">
      <alignment horizontal="left" vertical="top" wrapText="1"/>
    </xf>
    <xf numFmtId="166" fontId="13" fillId="6" borderId="38" xfId="0" applyNumberFormat="1" applyFont="1" applyFill="1" applyBorder="1" applyAlignment="1">
      <alignment horizontal="center" vertical="top"/>
    </xf>
    <xf numFmtId="0" fontId="10" fillId="6" borderId="35" xfId="0" applyFont="1" applyFill="1" applyBorder="1" applyAlignment="1">
      <alignment horizontal="left" vertical="top" wrapText="1"/>
    </xf>
    <xf numFmtId="3" fontId="10" fillId="6" borderId="57" xfId="0" applyNumberFormat="1" applyFont="1" applyFill="1" applyBorder="1" applyAlignment="1">
      <alignment horizontal="center" vertical="top"/>
    </xf>
    <xf numFmtId="3" fontId="12" fillId="6" borderId="1" xfId="0" applyNumberFormat="1" applyFont="1" applyFill="1" applyBorder="1" applyAlignment="1">
      <alignment horizontal="center" vertical="top" wrapText="1"/>
    </xf>
    <xf numFmtId="3" fontId="6" fillId="9" borderId="26" xfId="0" applyNumberFormat="1" applyFont="1" applyFill="1" applyBorder="1" applyAlignment="1">
      <alignment horizontal="right" vertical="top" wrapText="1"/>
    </xf>
    <xf numFmtId="3" fontId="4" fillId="0" borderId="7" xfId="0" applyNumberFormat="1" applyFont="1" applyFill="1" applyBorder="1" applyAlignment="1">
      <alignment horizontal="center" vertical="top"/>
    </xf>
    <xf numFmtId="3" fontId="4" fillId="0" borderId="14" xfId="0" applyNumberFormat="1" applyFont="1" applyFill="1" applyBorder="1" applyAlignment="1">
      <alignment horizontal="center" vertical="top"/>
    </xf>
    <xf numFmtId="3" fontId="22" fillId="6" borderId="35" xfId="0" applyNumberFormat="1" applyFont="1" applyFill="1" applyBorder="1" applyAlignment="1">
      <alignment vertical="top" wrapText="1"/>
    </xf>
    <xf numFmtId="3" fontId="4" fillId="0" borderId="94" xfId="0" applyNumberFormat="1" applyFont="1" applyBorder="1" applyAlignment="1">
      <alignment horizontal="center" vertical="top"/>
    </xf>
    <xf numFmtId="0" fontId="27" fillId="0" borderId="0" xfId="0" applyFont="1" applyAlignment="1">
      <alignment vertical="top" wrapText="1"/>
    </xf>
    <xf numFmtId="0" fontId="4" fillId="0" borderId="0" xfId="0" applyFont="1" applyAlignment="1">
      <alignment horizontal="left"/>
    </xf>
    <xf numFmtId="0" fontId="9" fillId="0" borderId="0" xfId="0" applyFont="1" applyFill="1" applyBorder="1" applyAlignment="1">
      <alignment horizontal="left" vertical="top"/>
    </xf>
    <xf numFmtId="166" fontId="20" fillId="6" borderId="7" xfId="0" applyNumberFormat="1" applyFont="1" applyFill="1" applyBorder="1" applyAlignment="1">
      <alignment horizontal="center" vertical="top"/>
    </xf>
    <xf numFmtId="0" fontId="4" fillId="6" borderId="7" xfId="0" applyFont="1" applyFill="1" applyBorder="1" applyAlignment="1">
      <alignment horizontal="center" vertical="top"/>
    </xf>
    <xf numFmtId="3" fontId="4" fillId="6" borderId="5" xfId="0" applyNumberFormat="1" applyFont="1" applyFill="1" applyBorder="1" applyAlignment="1">
      <alignment vertical="top"/>
    </xf>
    <xf numFmtId="3" fontId="4" fillId="6" borderId="6" xfId="0" applyNumberFormat="1" applyFont="1" applyFill="1" applyBorder="1" applyAlignment="1">
      <alignment horizontal="center" vertical="top"/>
    </xf>
    <xf numFmtId="166" fontId="4" fillId="6" borderId="13" xfId="0" applyNumberFormat="1" applyFont="1" applyFill="1" applyBorder="1" applyAlignment="1">
      <alignment vertical="top"/>
    </xf>
    <xf numFmtId="3" fontId="4" fillId="6" borderId="10" xfId="0" applyNumberFormat="1" applyFont="1" applyFill="1" applyBorder="1" applyAlignment="1">
      <alignment vertical="top"/>
    </xf>
    <xf numFmtId="3" fontId="5" fillId="6" borderId="58" xfId="0" applyNumberFormat="1" applyFont="1" applyFill="1" applyBorder="1" applyAlignment="1">
      <alignment horizontal="center" vertical="center" textRotation="90" wrapText="1"/>
    </xf>
    <xf numFmtId="0" fontId="19" fillId="0" borderId="0" xfId="0" applyFont="1" applyFill="1" applyBorder="1" applyAlignment="1">
      <alignment horizontal="left" vertical="top"/>
    </xf>
    <xf numFmtId="166" fontId="23" fillId="6" borderId="14" xfId="0" applyNumberFormat="1" applyFont="1" applyFill="1" applyBorder="1" applyAlignment="1">
      <alignment horizontal="right" vertical="top"/>
    </xf>
    <xf numFmtId="0" fontId="4" fillId="6" borderId="42" xfId="0" applyFont="1" applyFill="1" applyBorder="1" applyAlignment="1">
      <alignment vertical="top" wrapText="1"/>
    </xf>
    <xf numFmtId="0" fontId="0" fillId="0" borderId="0" xfId="0" applyFill="1" applyAlignment="1">
      <alignment horizontal="left"/>
    </xf>
    <xf numFmtId="0" fontId="4" fillId="6" borderId="0" xfId="0" applyFont="1" applyFill="1" applyAlignment="1">
      <alignment horizontal="left" vertical="top"/>
    </xf>
    <xf numFmtId="166" fontId="6" fillId="0" borderId="0" xfId="0" applyNumberFormat="1" applyFont="1" applyFill="1" applyBorder="1" applyAlignment="1">
      <alignment horizontal="center" vertical="top" wrapText="1"/>
    </xf>
    <xf numFmtId="0" fontId="9" fillId="0" borderId="0" xfId="0" applyFont="1" applyFill="1" applyAlignment="1">
      <alignment horizontal="left" vertical="top"/>
    </xf>
    <xf numFmtId="0" fontId="16" fillId="0" borderId="0" xfId="0" applyFont="1" applyFill="1" applyAlignment="1">
      <alignment horizontal="left"/>
    </xf>
    <xf numFmtId="0" fontId="36" fillId="6" borderId="95" xfId="0" applyFont="1" applyFill="1" applyBorder="1" applyAlignment="1">
      <alignment horizontal="center" vertical="top"/>
    </xf>
    <xf numFmtId="165" fontId="4" fillId="6" borderId="67" xfId="0" applyNumberFormat="1" applyFont="1" applyFill="1" applyBorder="1" applyAlignment="1">
      <alignment horizontal="center" vertical="center" textRotation="90"/>
    </xf>
    <xf numFmtId="165" fontId="4" fillId="6" borderId="87" xfId="0" applyNumberFormat="1" applyFont="1" applyFill="1" applyBorder="1" applyAlignment="1">
      <alignment horizontal="center" vertical="center" textRotation="90"/>
    </xf>
    <xf numFmtId="3" fontId="4" fillId="0" borderId="25" xfId="0" applyNumberFormat="1" applyFont="1" applyBorder="1" applyAlignment="1">
      <alignment horizontal="center" vertical="top"/>
    </xf>
    <xf numFmtId="3" fontId="4" fillId="0" borderId="6" xfId="0" applyNumberFormat="1" applyFont="1" applyBorder="1" applyAlignment="1">
      <alignment horizontal="center" vertical="top"/>
    </xf>
    <xf numFmtId="3" fontId="4" fillId="6" borderId="67" xfId="0" applyNumberFormat="1" applyFont="1" applyFill="1" applyBorder="1" applyAlignment="1">
      <alignment horizontal="center" vertical="top"/>
    </xf>
    <xf numFmtId="3" fontId="4" fillId="0" borderId="114" xfId="0" applyNumberFormat="1" applyFont="1" applyBorder="1" applyAlignment="1">
      <alignment horizontal="center" vertical="top"/>
    </xf>
    <xf numFmtId="3" fontId="4" fillId="6" borderId="37" xfId="0" applyNumberFormat="1" applyFont="1" applyFill="1" applyBorder="1" applyAlignment="1">
      <alignment horizontal="center" vertical="top"/>
    </xf>
    <xf numFmtId="3" fontId="5" fillId="6" borderId="37" xfId="0" applyNumberFormat="1" applyFont="1" applyFill="1" applyBorder="1" applyAlignment="1">
      <alignment horizontal="center" vertical="top"/>
    </xf>
    <xf numFmtId="3" fontId="4" fillId="0" borderId="37" xfId="0" applyNumberFormat="1" applyFont="1" applyBorder="1" applyAlignment="1">
      <alignment horizontal="center" vertical="top"/>
    </xf>
    <xf numFmtId="3" fontId="5" fillId="6" borderId="87" xfId="0" applyNumberFormat="1" applyFont="1" applyFill="1" applyBorder="1" applyAlignment="1">
      <alignment horizontal="center" vertical="top"/>
    </xf>
    <xf numFmtId="0" fontId="19" fillId="6" borderId="113" xfId="0" applyNumberFormat="1" applyFont="1" applyFill="1" applyBorder="1" applyAlignment="1">
      <alignment horizontal="center" vertical="top"/>
    </xf>
    <xf numFmtId="0" fontId="4" fillId="6" borderId="97" xfId="0" applyNumberFormat="1" applyFont="1" applyFill="1" applyBorder="1" applyAlignment="1">
      <alignment horizontal="center" vertical="top"/>
    </xf>
    <xf numFmtId="0" fontId="9" fillId="6" borderId="11" xfId="0" applyFont="1" applyFill="1" applyBorder="1" applyAlignment="1">
      <alignment horizontal="center" vertical="top"/>
    </xf>
    <xf numFmtId="0" fontId="12" fillId="6" borderId="87" xfId="0" applyFont="1" applyFill="1" applyBorder="1" applyAlignment="1">
      <alignment horizontal="center" vertical="top"/>
    </xf>
    <xf numFmtId="3" fontId="4" fillId="0" borderId="87" xfId="0" applyNumberFormat="1" applyFont="1" applyBorder="1" applyAlignment="1">
      <alignment horizontal="center" vertical="top"/>
    </xf>
    <xf numFmtId="0" fontId="4" fillId="0" borderId="39" xfId="0" applyFont="1" applyFill="1" applyBorder="1" applyAlignment="1">
      <alignment horizontal="center" vertical="top"/>
    </xf>
    <xf numFmtId="166" fontId="4" fillId="6" borderId="58" xfId="0" applyNumberFormat="1" applyFont="1" applyFill="1" applyBorder="1" applyAlignment="1">
      <alignment horizontal="center" vertical="top"/>
    </xf>
    <xf numFmtId="166" fontId="6" fillId="9" borderId="24" xfId="0" applyNumberFormat="1" applyFont="1" applyFill="1" applyBorder="1" applyAlignment="1">
      <alignment horizontal="center" vertical="top"/>
    </xf>
    <xf numFmtId="0" fontId="10" fillId="6" borderId="15" xfId="0" applyFont="1" applyFill="1" applyBorder="1" applyAlignment="1">
      <alignment horizontal="left" vertical="top" wrapText="1"/>
    </xf>
    <xf numFmtId="0" fontId="4" fillId="0" borderId="0" xfId="0" applyNumberFormat="1" applyFont="1" applyFill="1" applyBorder="1" applyAlignment="1">
      <alignment horizontal="left" vertical="top" wrapText="1"/>
    </xf>
    <xf numFmtId="166" fontId="4" fillId="8" borderId="50" xfId="0" applyNumberFormat="1" applyFont="1" applyFill="1" applyBorder="1" applyAlignment="1">
      <alignment horizontal="center" vertical="top"/>
    </xf>
    <xf numFmtId="0" fontId="4" fillId="0" borderId="13" xfId="0" applyFont="1" applyBorder="1" applyAlignment="1">
      <alignment horizontal="center" vertical="top"/>
    </xf>
    <xf numFmtId="3" fontId="4" fillId="6" borderId="31" xfId="0" applyNumberFormat="1" applyFont="1" applyFill="1" applyBorder="1" applyAlignment="1">
      <alignment horizontal="center" vertical="top"/>
    </xf>
    <xf numFmtId="0" fontId="4" fillId="6" borderId="55" xfId="0" applyFont="1" applyFill="1" applyBorder="1" applyAlignment="1">
      <alignment horizontal="left" vertical="top" wrapText="1"/>
    </xf>
    <xf numFmtId="3" fontId="4" fillId="0" borderId="94" xfId="0" applyNumberFormat="1" applyFont="1" applyFill="1" applyBorder="1" applyAlignment="1">
      <alignment horizontal="center" vertical="top"/>
    </xf>
    <xf numFmtId="0" fontId="19" fillId="6" borderId="87" xfId="0" applyNumberFormat="1" applyFont="1" applyFill="1" applyBorder="1" applyAlignment="1">
      <alignment horizontal="center" vertical="top"/>
    </xf>
    <xf numFmtId="3" fontId="4" fillId="6" borderId="42" xfId="0" applyNumberFormat="1" applyFont="1" applyFill="1" applyBorder="1" applyAlignment="1">
      <alignment horizontal="center" vertical="top"/>
    </xf>
    <xf numFmtId="166" fontId="5" fillId="6" borderId="67" xfId="0" applyNumberFormat="1" applyFont="1" applyFill="1" applyBorder="1" applyAlignment="1">
      <alignment horizontal="center" vertical="top"/>
    </xf>
    <xf numFmtId="166" fontId="5" fillId="6" borderId="37" xfId="0" applyNumberFormat="1" applyFont="1" applyFill="1" applyBorder="1" applyAlignment="1">
      <alignment horizontal="center" vertical="top"/>
    </xf>
    <xf numFmtId="0" fontId="6" fillId="6" borderId="11" xfId="0" applyFont="1" applyFill="1" applyBorder="1" applyAlignment="1">
      <alignment horizontal="left" vertical="top" wrapText="1"/>
    </xf>
    <xf numFmtId="3" fontId="6" fillId="4" borderId="10" xfId="0" applyNumberFormat="1" applyFont="1" applyFill="1" applyBorder="1" applyAlignment="1">
      <alignment horizontal="center" vertical="top"/>
    </xf>
    <xf numFmtId="3" fontId="6" fillId="5" borderId="12"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4" fillId="6" borderId="83" xfId="0" applyNumberFormat="1" applyFont="1" applyFill="1" applyBorder="1" applyAlignment="1">
      <alignment horizontal="left" vertical="top" wrapText="1"/>
    </xf>
    <xf numFmtId="3" fontId="6" fillId="4" borderId="2" xfId="0" applyNumberFormat="1" applyFont="1" applyFill="1" applyBorder="1" applyAlignment="1">
      <alignment horizontal="center" vertical="top"/>
    </xf>
    <xf numFmtId="3" fontId="6" fillId="5" borderId="23" xfId="0" applyNumberFormat="1" applyFont="1" applyFill="1" applyBorder="1" applyAlignment="1">
      <alignment horizontal="center" vertical="top"/>
    </xf>
    <xf numFmtId="3" fontId="4" fillId="6" borderId="22" xfId="0" applyNumberFormat="1" applyFont="1" applyFill="1" applyBorder="1" applyAlignment="1">
      <alignment horizontal="left" vertical="top" wrapText="1"/>
    </xf>
    <xf numFmtId="3" fontId="4" fillId="6" borderId="2" xfId="0" applyNumberFormat="1" applyFont="1" applyFill="1" applyBorder="1" applyAlignment="1">
      <alignment horizontal="left" vertical="top" wrapText="1"/>
    </xf>
    <xf numFmtId="3" fontId="4" fillId="6" borderId="10" xfId="0" applyNumberFormat="1" applyFont="1" applyFill="1" applyBorder="1" applyAlignment="1">
      <alignment horizontal="left" vertical="top" wrapText="1"/>
    </xf>
    <xf numFmtId="3" fontId="4" fillId="6" borderId="21" xfId="0" applyNumberFormat="1" applyFont="1" applyFill="1" applyBorder="1" applyAlignment="1">
      <alignment horizontal="left" vertical="top" wrapText="1"/>
    </xf>
    <xf numFmtId="3" fontId="4" fillId="6" borderId="10" xfId="0" applyNumberFormat="1" applyFont="1" applyFill="1" applyBorder="1" applyAlignment="1">
      <alignment vertical="top" wrapText="1"/>
    </xf>
    <xf numFmtId="3" fontId="6" fillId="5" borderId="11" xfId="0" applyNumberFormat="1" applyFont="1" applyFill="1" applyBorder="1" applyAlignment="1">
      <alignment horizontal="center" vertical="top"/>
    </xf>
    <xf numFmtId="3" fontId="6" fillId="0" borderId="12" xfId="0" applyNumberFormat="1" applyFont="1" applyFill="1" applyBorder="1" applyAlignment="1">
      <alignment horizontal="center" vertical="top"/>
    </xf>
    <xf numFmtId="3" fontId="10" fillId="6" borderId="40" xfId="0" applyNumberFormat="1" applyFont="1" applyFill="1" applyBorder="1" applyAlignment="1">
      <alignment horizontal="left" vertical="top" wrapText="1"/>
    </xf>
    <xf numFmtId="0" fontId="16" fillId="0" borderId="57" xfId="0" applyFont="1" applyBorder="1" applyAlignment="1">
      <alignment horizontal="left" vertical="top" wrapText="1"/>
    </xf>
    <xf numFmtId="3" fontId="4" fillId="6" borderId="15" xfId="0" applyNumberFormat="1"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66" xfId="0" applyFont="1" applyFill="1" applyBorder="1" applyAlignment="1">
      <alignment horizontal="left" vertical="top" wrapText="1"/>
    </xf>
    <xf numFmtId="3" fontId="6" fillId="9" borderId="24" xfId="0" applyNumberFormat="1" applyFont="1" applyFill="1" applyBorder="1" applyAlignment="1">
      <alignment horizontal="right" vertical="top" wrapText="1"/>
    </xf>
    <xf numFmtId="3" fontId="4" fillId="6" borderId="15" xfId="0" applyNumberFormat="1" applyFont="1" applyFill="1" applyBorder="1" applyAlignment="1">
      <alignment vertical="top" wrapText="1"/>
    </xf>
    <xf numFmtId="3" fontId="4" fillId="6" borderId="23" xfId="0" applyNumberFormat="1" applyFont="1" applyFill="1" applyBorder="1" applyAlignment="1">
      <alignment horizontal="center" vertical="top"/>
    </xf>
    <xf numFmtId="3" fontId="4" fillId="6" borderId="0"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6" fillId="6" borderId="58" xfId="0" applyNumberFormat="1" applyFont="1" applyFill="1" applyBorder="1" applyAlignment="1">
      <alignment horizontal="center" vertical="top"/>
    </xf>
    <xf numFmtId="3" fontId="4" fillId="6" borderId="14" xfId="0" applyNumberFormat="1" applyFont="1" applyFill="1" applyBorder="1" applyAlignment="1">
      <alignment vertical="top"/>
    </xf>
    <xf numFmtId="3" fontId="4" fillId="6" borderId="51" xfId="0" applyNumberFormat="1" applyFont="1" applyFill="1" applyBorder="1" applyAlignment="1">
      <alignment horizontal="center" vertical="top"/>
    </xf>
    <xf numFmtId="166" fontId="4" fillId="6" borderId="127" xfId="0" applyNumberFormat="1" applyFont="1" applyFill="1" applyBorder="1" applyAlignment="1">
      <alignment horizontal="center" vertical="top"/>
    </xf>
    <xf numFmtId="166" fontId="20" fillId="6" borderId="48" xfId="0" applyNumberFormat="1" applyFont="1" applyFill="1" applyBorder="1" applyAlignment="1">
      <alignment horizontal="center" vertical="top"/>
    </xf>
    <xf numFmtId="166" fontId="20" fillId="6" borderId="14" xfId="0" applyNumberFormat="1" applyFont="1" applyFill="1" applyBorder="1" applyAlignment="1">
      <alignment horizontal="center" vertical="top"/>
    </xf>
    <xf numFmtId="166" fontId="20" fillId="6" borderId="38" xfId="0" applyNumberFormat="1" applyFont="1" applyFill="1" applyBorder="1" applyAlignment="1">
      <alignment horizontal="center" vertical="top"/>
    </xf>
    <xf numFmtId="166" fontId="20" fillId="0" borderId="48" xfId="0" applyNumberFormat="1" applyFont="1" applyBorder="1" applyAlignment="1">
      <alignment horizontal="center" vertical="top"/>
    </xf>
    <xf numFmtId="166" fontId="20" fillId="6" borderId="50" xfId="0" applyNumberFormat="1" applyFont="1" applyFill="1" applyBorder="1" applyAlignment="1">
      <alignment horizontal="center" vertical="top"/>
    </xf>
    <xf numFmtId="3" fontId="4" fillId="6" borderId="109" xfId="0" applyNumberFormat="1" applyFont="1" applyFill="1" applyBorder="1" applyAlignment="1">
      <alignment horizontal="left" vertical="top" wrapText="1"/>
    </xf>
    <xf numFmtId="3" fontId="5" fillId="6" borderId="40" xfId="0" applyNumberFormat="1" applyFont="1" applyFill="1" applyBorder="1" applyAlignment="1">
      <alignment vertical="top" wrapText="1"/>
    </xf>
    <xf numFmtId="49" fontId="4" fillId="6" borderId="94" xfId="0" applyNumberFormat="1" applyFont="1" applyFill="1" applyBorder="1" applyAlignment="1">
      <alignment horizontal="center" vertical="top" wrapText="1"/>
    </xf>
    <xf numFmtId="49" fontId="5" fillId="0" borderId="12" xfId="0" applyNumberFormat="1" applyFont="1" applyBorder="1" applyAlignment="1">
      <alignment horizontal="center" vertical="top" wrapText="1"/>
    </xf>
    <xf numFmtId="3" fontId="10" fillId="8" borderId="12" xfId="0" applyNumberFormat="1" applyFont="1" applyFill="1" applyBorder="1" applyAlignment="1">
      <alignment horizontal="center" vertical="top"/>
    </xf>
    <xf numFmtId="3" fontId="4" fillId="6" borderId="96" xfId="0" applyNumberFormat="1" applyFont="1" applyFill="1" applyBorder="1" applyAlignment="1">
      <alignment horizontal="center" vertical="top"/>
    </xf>
    <xf numFmtId="49" fontId="4" fillId="6" borderId="51" xfId="0" applyNumberFormat="1" applyFont="1" applyFill="1" applyBorder="1" applyAlignment="1">
      <alignment wrapText="1"/>
    </xf>
    <xf numFmtId="3" fontId="16" fillId="6" borderId="35" xfId="0" applyNumberFormat="1" applyFont="1" applyFill="1" applyBorder="1" applyAlignment="1">
      <alignment horizontal="left" vertical="top" wrapText="1"/>
    </xf>
    <xf numFmtId="165" fontId="4" fillId="6" borderId="57" xfId="0" applyNumberFormat="1" applyFont="1" applyFill="1" applyBorder="1" applyAlignment="1">
      <alignment horizontal="center" vertical="center" textRotation="90"/>
    </xf>
    <xf numFmtId="3" fontId="12" fillId="6" borderId="40" xfId="0" applyNumberFormat="1" applyFont="1" applyFill="1" applyBorder="1" applyAlignment="1">
      <alignment horizontal="center" vertical="top" wrapText="1"/>
    </xf>
    <xf numFmtId="3" fontId="20" fillId="6" borderId="92" xfId="0" applyNumberFormat="1" applyFont="1" applyFill="1" applyBorder="1" applyAlignment="1">
      <alignment horizontal="center" vertical="top"/>
    </xf>
    <xf numFmtId="3" fontId="4" fillId="0" borderId="35" xfId="0" applyNumberFormat="1" applyFont="1" applyFill="1" applyBorder="1" applyAlignment="1">
      <alignment vertical="top" wrapText="1"/>
    </xf>
    <xf numFmtId="165" fontId="4" fillId="6" borderId="20" xfId="0" applyNumberFormat="1" applyFont="1" applyFill="1" applyBorder="1" applyAlignment="1">
      <alignment horizontal="center" vertical="center" textRotation="90"/>
    </xf>
    <xf numFmtId="165" fontId="4" fillId="6" borderId="37" xfId="0" applyNumberFormat="1" applyFont="1" applyFill="1" applyBorder="1" applyAlignment="1">
      <alignment horizontal="center" vertical="center" textRotation="90"/>
    </xf>
    <xf numFmtId="3" fontId="4" fillId="0" borderId="58" xfId="0" applyNumberFormat="1" applyFont="1" applyFill="1" applyBorder="1" applyAlignment="1">
      <alignment horizontal="center" vertical="top" wrapText="1"/>
    </xf>
    <xf numFmtId="3" fontId="20" fillId="6" borderId="39" xfId="0" applyNumberFormat="1" applyFont="1" applyFill="1" applyBorder="1" applyAlignment="1">
      <alignment horizontal="center" vertical="top"/>
    </xf>
    <xf numFmtId="49" fontId="4" fillId="6" borderId="58" xfId="0" applyNumberFormat="1" applyFont="1" applyFill="1" applyBorder="1" applyAlignment="1">
      <alignment vertical="top"/>
    </xf>
    <xf numFmtId="0" fontId="38" fillId="0" borderId="115" xfId="0" applyNumberFormat="1" applyFont="1" applyFill="1" applyBorder="1" applyAlignment="1" applyProtection="1">
      <alignment horizontal="center" wrapText="1" readingOrder="1"/>
    </xf>
    <xf numFmtId="0" fontId="38" fillId="0" borderId="116" xfId="0" applyNumberFormat="1" applyFont="1" applyFill="1" applyBorder="1" applyAlignment="1" applyProtection="1">
      <alignment horizontal="center" wrapText="1" readingOrder="1"/>
    </xf>
    <xf numFmtId="0" fontId="39" fillId="0" borderId="116" xfId="0" applyNumberFormat="1" applyFont="1" applyFill="1" applyBorder="1" applyAlignment="1" applyProtection="1">
      <alignment horizontal="center" wrapText="1" readingOrder="1"/>
    </xf>
    <xf numFmtId="0" fontId="40" fillId="0" borderId="116" xfId="0" applyNumberFormat="1" applyFont="1" applyFill="1" applyBorder="1" applyAlignment="1" applyProtection="1">
      <alignment horizontal="center" wrapText="1" readingOrder="1"/>
    </xf>
    <xf numFmtId="0" fontId="40" fillId="0" borderId="117" xfId="0" applyNumberFormat="1" applyFont="1" applyFill="1" applyBorder="1" applyAlignment="1" applyProtection="1">
      <alignment horizontal="center" wrapText="1" readingOrder="1"/>
    </xf>
    <xf numFmtId="0" fontId="41" fillId="0" borderId="0" xfId="0" applyNumberFormat="1" applyFont="1" applyFill="1" applyAlignment="1" applyProtection="1">
      <alignment wrapText="1" readingOrder="1"/>
    </xf>
    <xf numFmtId="0" fontId="38" fillId="0" borderId="118" xfId="0" applyNumberFormat="1" applyFont="1" applyFill="1" applyBorder="1" applyAlignment="1" applyProtection="1">
      <alignment horizontal="center" wrapText="1" readingOrder="1"/>
    </xf>
    <xf numFmtId="0" fontId="38" fillId="0" borderId="119" xfId="0" applyNumberFormat="1" applyFont="1" applyFill="1" applyBorder="1" applyAlignment="1" applyProtection="1">
      <alignment horizontal="center" wrapText="1" readingOrder="1"/>
    </xf>
    <xf numFmtId="0" fontId="39" fillId="0" borderId="119" xfId="0" applyNumberFormat="1" applyFont="1" applyFill="1" applyBorder="1" applyAlignment="1" applyProtection="1">
      <alignment horizontal="center" wrapText="1" readingOrder="1"/>
    </xf>
    <xf numFmtId="0" fontId="40" fillId="0" borderId="119" xfId="0" applyNumberFormat="1" applyFont="1" applyFill="1" applyBorder="1" applyAlignment="1" applyProtection="1">
      <alignment horizontal="center" wrapText="1" readingOrder="1"/>
    </xf>
    <xf numFmtId="0" fontId="42" fillId="0" borderId="119" xfId="0" applyNumberFormat="1" applyFont="1" applyFill="1" applyBorder="1" applyAlignment="1" applyProtection="1">
      <alignment horizontal="center" wrapText="1" readingOrder="1"/>
    </xf>
    <xf numFmtId="0" fontId="38" fillId="0" borderId="120" xfId="0" applyNumberFormat="1" applyFont="1" applyFill="1" applyBorder="1" applyAlignment="1" applyProtection="1">
      <alignment horizontal="center" wrapText="1" readingOrder="1"/>
    </xf>
    <xf numFmtId="0" fontId="38" fillId="0" borderId="121" xfId="0" applyNumberFormat="1" applyFont="1" applyFill="1" applyBorder="1" applyAlignment="1" applyProtection="1">
      <alignment horizontal="center" wrapText="1" readingOrder="1"/>
    </xf>
    <xf numFmtId="0" fontId="38" fillId="0" borderId="122" xfId="0" applyNumberFormat="1" applyFont="1" applyFill="1" applyBorder="1" applyAlignment="1" applyProtection="1">
      <alignment horizontal="center" wrapText="1" readingOrder="1"/>
    </xf>
    <xf numFmtId="0" fontId="39" fillId="0" borderId="122" xfId="0" applyNumberFormat="1" applyFont="1" applyFill="1" applyBorder="1" applyAlignment="1" applyProtection="1">
      <alignment horizontal="center" wrapText="1" readingOrder="1"/>
    </xf>
    <xf numFmtId="0" fontId="42" fillId="0" borderId="122" xfId="0" applyNumberFormat="1" applyFont="1" applyFill="1" applyBorder="1" applyAlignment="1" applyProtection="1">
      <alignment horizontal="center" wrapText="1" readingOrder="1"/>
    </xf>
    <xf numFmtId="0" fontId="38" fillId="0" borderId="123" xfId="0" applyNumberFormat="1" applyFont="1" applyFill="1" applyBorder="1" applyAlignment="1" applyProtection="1">
      <alignment horizontal="center" wrapText="1" readingOrder="1"/>
    </xf>
    <xf numFmtId="0" fontId="43" fillId="12" borderId="115" xfId="0" applyNumberFormat="1" applyFont="1" applyFill="1" applyBorder="1" applyAlignment="1" applyProtection="1">
      <alignment vertical="top" wrapText="1" readingOrder="1"/>
      <protection locked="0"/>
    </xf>
    <xf numFmtId="0" fontId="43" fillId="12" borderId="116" xfId="0" applyNumberFormat="1" applyFont="1" applyFill="1" applyBorder="1" applyAlignment="1" applyProtection="1">
      <alignment vertical="top" wrapText="1" readingOrder="1"/>
      <protection locked="0"/>
    </xf>
    <xf numFmtId="0" fontId="43" fillId="12" borderId="116" xfId="0" applyNumberFormat="1" applyFont="1" applyFill="1" applyBorder="1" applyAlignment="1" applyProtection="1">
      <alignment horizontal="left" vertical="top" wrapText="1" readingOrder="1"/>
      <protection locked="0"/>
    </xf>
    <xf numFmtId="0" fontId="44" fillId="12" borderId="116" xfId="0" applyNumberFormat="1" applyFont="1" applyFill="1" applyBorder="1" applyAlignment="1" applyProtection="1">
      <alignment horizontal="center" vertical="top" wrapText="1" readingOrder="1"/>
      <protection locked="0"/>
    </xf>
    <xf numFmtId="167" fontId="44" fillId="12" borderId="116" xfId="0" applyNumberFormat="1" applyFont="1" applyFill="1" applyBorder="1" applyAlignment="1" applyProtection="1">
      <alignment horizontal="right" vertical="top" wrapText="1" readingOrder="1"/>
    </xf>
    <xf numFmtId="0" fontId="43" fillId="12" borderId="116" xfId="0" applyNumberFormat="1" applyFont="1" applyFill="1" applyBorder="1" applyAlignment="1" applyProtection="1">
      <alignment horizontal="center" vertical="top" wrapText="1" readingOrder="1"/>
      <protection locked="0"/>
    </xf>
    <xf numFmtId="0" fontId="43" fillId="12" borderId="116" xfId="0" applyNumberFormat="1" applyFont="1" applyFill="1" applyBorder="1" applyAlignment="1" applyProtection="1">
      <alignment horizontal="right" vertical="top" wrapText="1" readingOrder="1"/>
      <protection locked="0"/>
    </xf>
    <xf numFmtId="0" fontId="45" fillId="12" borderId="116" xfId="0" applyNumberFormat="1" applyFont="1" applyFill="1" applyBorder="1" applyAlignment="1" applyProtection="1">
      <alignment horizontal="left" vertical="top" wrapText="1" readingOrder="1"/>
      <protection locked="0"/>
    </xf>
    <xf numFmtId="0" fontId="43" fillId="12" borderId="117" xfId="0" applyNumberFormat="1" applyFont="1" applyFill="1" applyBorder="1" applyAlignment="1" applyProtection="1">
      <alignment horizontal="left" vertical="top" wrapText="1" readingOrder="1"/>
      <protection locked="0"/>
    </xf>
    <xf numFmtId="0" fontId="43" fillId="13" borderId="115" xfId="0" applyNumberFormat="1" applyFont="1" applyFill="1" applyBorder="1" applyAlignment="1" applyProtection="1">
      <alignment vertical="top" wrapText="1" readingOrder="1"/>
      <protection locked="0"/>
    </xf>
    <xf numFmtId="0" fontId="43" fillId="13" borderId="116" xfId="0" applyNumberFormat="1" applyFont="1" applyFill="1" applyBorder="1" applyAlignment="1" applyProtection="1">
      <alignment vertical="top" wrapText="1" readingOrder="1"/>
      <protection locked="0"/>
    </xf>
    <xf numFmtId="0" fontId="43" fillId="13" borderId="116" xfId="0" applyNumberFormat="1" applyFont="1" applyFill="1" applyBorder="1" applyAlignment="1" applyProtection="1">
      <alignment horizontal="left" vertical="top" wrapText="1" readingOrder="1"/>
      <protection locked="0"/>
    </xf>
    <xf numFmtId="0" fontId="44" fillId="13" borderId="116" xfId="0" applyNumberFormat="1" applyFont="1" applyFill="1" applyBorder="1" applyAlignment="1" applyProtection="1">
      <alignment horizontal="center" vertical="top" wrapText="1" readingOrder="1"/>
      <protection locked="0"/>
    </xf>
    <xf numFmtId="167" fontId="44" fillId="13" borderId="116" xfId="0" applyNumberFormat="1" applyFont="1" applyFill="1" applyBorder="1" applyAlignment="1" applyProtection="1">
      <alignment horizontal="right" vertical="top" wrapText="1" readingOrder="1"/>
    </xf>
    <xf numFmtId="0" fontId="43" fillId="13" borderId="116" xfId="0" applyNumberFormat="1" applyFont="1" applyFill="1" applyBorder="1" applyAlignment="1" applyProtection="1">
      <alignment horizontal="center" vertical="top" wrapText="1" readingOrder="1"/>
      <protection locked="0"/>
    </xf>
    <xf numFmtId="0" fontId="43" fillId="13" borderId="116" xfId="0" applyNumberFormat="1" applyFont="1" applyFill="1" applyBorder="1" applyAlignment="1" applyProtection="1">
      <alignment horizontal="right" vertical="top" wrapText="1" readingOrder="1"/>
      <protection locked="0"/>
    </xf>
    <xf numFmtId="0" fontId="45" fillId="13" borderId="116" xfId="0" applyNumberFormat="1" applyFont="1" applyFill="1" applyBorder="1" applyAlignment="1" applyProtection="1">
      <alignment horizontal="left" vertical="top" wrapText="1" readingOrder="1"/>
      <protection locked="0"/>
    </xf>
    <xf numFmtId="0" fontId="43" fillId="13" borderId="117" xfId="0" applyNumberFormat="1" applyFont="1" applyFill="1" applyBorder="1" applyAlignment="1" applyProtection="1">
      <alignment horizontal="left" vertical="top" wrapText="1" readingOrder="1"/>
      <protection locked="0"/>
    </xf>
    <xf numFmtId="0" fontId="43" fillId="14" borderId="115" xfId="0" applyNumberFormat="1" applyFont="1" applyFill="1" applyBorder="1" applyAlignment="1" applyProtection="1">
      <alignment vertical="top" wrapText="1" readingOrder="1"/>
      <protection locked="0"/>
    </xf>
    <xf numFmtId="0" fontId="43" fillId="14" borderId="116" xfId="0" applyNumberFormat="1" applyFont="1" applyFill="1" applyBorder="1" applyAlignment="1" applyProtection="1">
      <alignment vertical="top" wrapText="1" readingOrder="1"/>
      <protection locked="0"/>
    </xf>
    <xf numFmtId="0" fontId="43" fillId="14" borderId="116" xfId="0" applyNumberFormat="1" applyFont="1" applyFill="1" applyBorder="1" applyAlignment="1" applyProtection="1">
      <alignment horizontal="left" vertical="top" wrapText="1" readingOrder="1"/>
      <protection locked="0"/>
    </xf>
    <xf numFmtId="0" fontId="44" fillId="14" borderId="116" xfId="0" applyNumberFormat="1" applyFont="1" applyFill="1" applyBorder="1" applyAlignment="1" applyProtection="1">
      <alignment horizontal="center" vertical="top" wrapText="1" readingOrder="1"/>
      <protection locked="0"/>
    </xf>
    <xf numFmtId="167" fontId="44" fillId="14" borderId="116" xfId="0" applyNumberFormat="1" applyFont="1" applyFill="1" applyBorder="1" applyAlignment="1" applyProtection="1">
      <alignment horizontal="right" vertical="top" wrapText="1" readingOrder="1"/>
    </xf>
    <xf numFmtId="0" fontId="43" fillId="14" borderId="116" xfId="0" applyNumberFormat="1" applyFont="1" applyFill="1" applyBorder="1" applyAlignment="1" applyProtection="1">
      <alignment horizontal="center" vertical="top" wrapText="1" readingOrder="1"/>
      <protection locked="0"/>
    </xf>
    <xf numFmtId="0" fontId="43" fillId="14" borderId="116" xfId="0" applyNumberFormat="1" applyFont="1" applyFill="1" applyBorder="1" applyAlignment="1" applyProtection="1">
      <alignment horizontal="right" vertical="top" wrapText="1" readingOrder="1"/>
      <protection locked="0"/>
    </xf>
    <xf numFmtId="0" fontId="45" fillId="14" borderId="116" xfId="0" applyNumberFormat="1" applyFont="1" applyFill="1" applyBorder="1" applyAlignment="1" applyProtection="1">
      <alignment horizontal="left" vertical="top" wrapText="1" readingOrder="1"/>
      <protection locked="0"/>
    </xf>
    <xf numFmtId="0" fontId="43" fillId="14" borderId="117" xfId="0" applyNumberFormat="1" applyFont="1" applyFill="1" applyBorder="1" applyAlignment="1" applyProtection="1">
      <alignment horizontal="left" vertical="top" wrapText="1" readingOrder="1"/>
      <protection locked="0"/>
    </xf>
    <xf numFmtId="0" fontId="46" fillId="0" borderId="115" xfId="0" applyNumberFormat="1" applyFont="1" applyFill="1" applyBorder="1" applyAlignment="1" applyProtection="1">
      <alignment vertical="top" wrapText="1" readingOrder="1"/>
      <protection locked="0"/>
    </xf>
    <xf numFmtId="0" fontId="46" fillId="0" borderId="116" xfId="0" applyNumberFormat="1" applyFont="1" applyFill="1" applyBorder="1" applyAlignment="1" applyProtection="1">
      <alignment vertical="top" wrapText="1" readingOrder="1"/>
      <protection locked="0"/>
    </xf>
    <xf numFmtId="0" fontId="46" fillId="0" borderId="116" xfId="0" applyNumberFormat="1" applyFont="1" applyFill="1" applyBorder="1" applyAlignment="1" applyProtection="1">
      <alignment horizontal="left" vertical="top" wrapText="1" readingOrder="1"/>
      <protection locked="0"/>
    </xf>
    <xf numFmtId="0" fontId="47" fillId="0" borderId="116" xfId="0" applyNumberFormat="1" applyFont="1" applyFill="1" applyBorder="1" applyAlignment="1" applyProtection="1">
      <alignment horizontal="center" vertical="top" wrapText="1" readingOrder="1"/>
      <protection locked="0"/>
    </xf>
    <xf numFmtId="167" fontId="47" fillId="0" borderId="116" xfId="0" applyNumberFormat="1" applyFont="1" applyFill="1" applyBorder="1" applyAlignment="1" applyProtection="1">
      <alignment horizontal="right" vertical="top" wrapText="1" readingOrder="1"/>
    </xf>
    <xf numFmtId="0" fontId="46" fillId="0" borderId="116" xfId="0" applyNumberFormat="1" applyFont="1" applyFill="1" applyBorder="1" applyAlignment="1" applyProtection="1">
      <alignment horizontal="center" vertical="top" wrapText="1" readingOrder="1"/>
      <protection locked="0"/>
    </xf>
    <xf numFmtId="0" fontId="46" fillId="0" borderId="116" xfId="0" applyNumberFormat="1" applyFont="1" applyFill="1" applyBorder="1" applyAlignment="1" applyProtection="1">
      <alignment horizontal="right" vertical="top" wrapText="1" readingOrder="1"/>
      <protection locked="0"/>
    </xf>
    <xf numFmtId="0" fontId="48" fillId="0" borderId="116" xfId="0" applyNumberFormat="1" applyFont="1" applyFill="1" applyBorder="1" applyAlignment="1" applyProtection="1">
      <alignment horizontal="left" vertical="top" wrapText="1" readingOrder="1"/>
      <protection locked="0"/>
    </xf>
    <xf numFmtId="0" fontId="46" fillId="0" borderId="117" xfId="0" applyNumberFormat="1" applyFont="1" applyFill="1" applyBorder="1" applyAlignment="1" applyProtection="1">
      <alignment horizontal="left" vertical="top" wrapText="1" readingOrder="1"/>
      <protection locked="0"/>
    </xf>
    <xf numFmtId="167" fontId="47" fillId="0" borderId="116" xfId="0" applyNumberFormat="1" applyFont="1" applyFill="1" applyBorder="1" applyAlignment="1" applyProtection="1">
      <alignment horizontal="right" vertical="top" wrapText="1" readingOrder="1"/>
      <protection locked="0"/>
    </xf>
    <xf numFmtId="0" fontId="46" fillId="0" borderId="118" xfId="0" applyNumberFormat="1" applyFont="1" applyFill="1" applyBorder="1" applyAlignment="1" applyProtection="1">
      <alignment vertical="top" wrapText="1" readingOrder="1"/>
      <protection locked="0"/>
    </xf>
    <xf numFmtId="0" fontId="46" fillId="0" borderId="119" xfId="0" applyNumberFormat="1" applyFont="1" applyFill="1" applyBorder="1" applyAlignment="1" applyProtection="1">
      <alignment vertical="top" wrapText="1" readingOrder="1"/>
      <protection locked="0"/>
    </xf>
    <xf numFmtId="0" fontId="46" fillId="0" borderId="119" xfId="0" applyNumberFormat="1" applyFont="1" applyFill="1" applyBorder="1" applyAlignment="1" applyProtection="1">
      <alignment horizontal="left" vertical="top" wrapText="1" readingOrder="1"/>
      <protection locked="0"/>
    </xf>
    <xf numFmtId="0" fontId="47" fillId="0" borderId="119" xfId="0" applyNumberFormat="1" applyFont="1" applyFill="1" applyBorder="1" applyAlignment="1" applyProtection="1">
      <alignment horizontal="center" vertical="top" wrapText="1" readingOrder="1"/>
      <protection locked="0"/>
    </xf>
    <xf numFmtId="167" fontId="47" fillId="0" borderId="119" xfId="0" applyNumberFormat="1" applyFont="1" applyFill="1" applyBorder="1" applyAlignment="1" applyProtection="1">
      <alignment horizontal="right" vertical="top" wrapText="1" readingOrder="1"/>
      <protection locked="0"/>
    </xf>
    <xf numFmtId="0" fontId="46" fillId="0" borderId="119" xfId="0" applyNumberFormat="1" applyFont="1" applyFill="1" applyBorder="1" applyAlignment="1" applyProtection="1">
      <alignment horizontal="center" vertical="top" wrapText="1" readingOrder="1"/>
      <protection locked="0"/>
    </xf>
    <xf numFmtId="0" fontId="46" fillId="0" borderId="119" xfId="0" applyNumberFormat="1" applyFont="1" applyFill="1" applyBorder="1" applyAlignment="1" applyProtection="1">
      <alignment horizontal="right" vertical="top" wrapText="1" readingOrder="1"/>
      <protection locked="0"/>
    </xf>
    <xf numFmtId="0" fontId="48" fillId="0" borderId="119" xfId="0" applyNumberFormat="1" applyFont="1" applyFill="1" applyBorder="1" applyAlignment="1" applyProtection="1">
      <alignment horizontal="left" vertical="top" wrapText="1" readingOrder="1"/>
      <protection locked="0"/>
    </xf>
    <xf numFmtId="0" fontId="46" fillId="0" borderId="120" xfId="0" applyNumberFormat="1" applyFont="1" applyFill="1" applyBorder="1" applyAlignment="1" applyProtection="1">
      <alignment horizontal="left" vertical="top" wrapText="1" readingOrder="1"/>
      <protection locked="0"/>
    </xf>
    <xf numFmtId="0" fontId="46" fillId="0" borderId="124" xfId="0" applyNumberFormat="1" applyFont="1" applyFill="1" applyBorder="1" applyAlignment="1" applyProtection="1">
      <alignment vertical="top" wrapText="1" readingOrder="1"/>
      <protection locked="0"/>
    </xf>
    <xf numFmtId="0" fontId="46" fillId="0" borderId="125" xfId="0" applyNumberFormat="1" applyFont="1" applyFill="1" applyBorder="1" applyAlignment="1" applyProtection="1">
      <alignment vertical="top" wrapText="1" readingOrder="1"/>
      <protection locked="0"/>
    </xf>
    <xf numFmtId="0" fontId="46" fillId="0" borderId="125" xfId="0" applyNumberFormat="1" applyFont="1" applyFill="1" applyBorder="1" applyAlignment="1" applyProtection="1">
      <alignment horizontal="left" vertical="top" wrapText="1" readingOrder="1"/>
      <protection locked="0"/>
    </xf>
    <xf numFmtId="0" fontId="47" fillId="0" borderId="125" xfId="0" applyNumberFormat="1" applyFont="1" applyFill="1" applyBorder="1" applyAlignment="1" applyProtection="1">
      <alignment horizontal="center" vertical="top" wrapText="1" readingOrder="1"/>
      <protection locked="0"/>
    </xf>
    <xf numFmtId="167" fontId="47" fillId="0" borderId="125" xfId="0" applyNumberFormat="1" applyFont="1" applyFill="1" applyBorder="1" applyAlignment="1" applyProtection="1">
      <alignment horizontal="right" vertical="top" wrapText="1" readingOrder="1"/>
      <protection locked="0"/>
    </xf>
    <xf numFmtId="0" fontId="46" fillId="0" borderId="125" xfId="0" applyNumberFormat="1" applyFont="1" applyFill="1" applyBorder="1" applyAlignment="1" applyProtection="1">
      <alignment horizontal="center" vertical="top" wrapText="1" readingOrder="1"/>
      <protection locked="0"/>
    </xf>
    <xf numFmtId="0" fontId="46" fillId="0" borderId="125" xfId="0" applyNumberFormat="1" applyFont="1" applyFill="1" applyBorder="1" applyAlignment="1" applyProtection="1">
      <alignment horizontal="right" vertical="top" wrapText="1" readingOrder="1"/>
      <protection locked="0"/>
    </xf>
    <xf numFmtId="0" fontId="48" fillId="0" borderId="125" xfId="0" applyNumberFormat="1" applyFont="1" applyFill="1" applyBorder="1" applyAlignment="1" applyProtection="1">
      <alignment horizontal="left" vertical="top" wrapText="1" readingOrder="1"/>
      <protection locked="0"/>
    </xf>
    <xf numFmtId="0" fontId="46" fillId="0" borderId="126" xfId="0" applyNumberFormat="1" applyFont="1" applyFill="1" applyBorder="1" applyAlignment="1" applyProtection="1">
      <alignment horizontal="left" vertical="top" wrapText="1" readingOrder="1"/>
      <protection locked="0"/>
    </xf>
    <xf numFmtId="0" fontId="46" fillId="0" borderId="0" xfId="0" applyNumberFormat="1" applyFont="1" applyFill="1" applyAlignment="1" applyProtection="1">
      <alignment vertical="top" wrapText="1" readingOrder="1"/>
      <protection locked="0"/>
    </xf>
    <xf numFmtId="0" fontId="46" fillId="0" borderId="0" xfId="0" applyNumberFormat="1" applyFont="1" applyFill="1" applyAlignment="1" applyProtection="1">
      <alignment horizontal="left" vertical="top" wrapText="1" readingOrder="1"/>
      <protection locked="0"/>
    </xf>
    <xf numFmtId="0" fontId="47" fillId="0" borderId="0" xfId="0" applyNumberFormat="1" applyFont="1" applyFill="1" applyAlignment="1" applyProtection="1">
      <alignment horizontal="center" vertical="top" wrapText="1" readingOrder="1"/>
      <protection locked="0"/>
    </xf>
    <xf numFmtId="167" fontId="47" fillId="0" borderId="0" xfId="0" applyNumberFormat="1" applyFont="1" applyFill="1" applyAlignment="1" applyProtection="1">
      <alignment horizontal="right" vertical="top" wrapText="1" readingOrder="1"/>
      <protection locked="0"/>
    </xf>
    <xf numFmtId="0" fontId="46" fillId="0" borderId="0" xfId="0" applyNumberFormat="1" applyFont="1" applyFill="1" applyAlignment="1" applyProtection="1">
      <alignment horizontal="center" vertical="top" wrapText="1" readingOrder="1"/>
      <protection locked="0"/>
    </xf>
    <xf numFmtId="0" fontId="46" fillId="0" borderId="0" xfId="0" applyNumberFormat="1" applyFont="1" applyFill="1" applyAlignment="1" applyProtection="1">
      <alignment horizontal="right" vertical="top" wrapText="1" readingOrder="1"/>
      <protection locked="0"/>
    </xf>
    <xf numFmtId="0" fontId="48" fillId="0" borderId="0" xfId="0" applyNumberFormat="1" applyFont="1" applyFill="1" applyAlignment="1" applyProtection="1">
      <alignment horizontal="left" vertical="top" wrapText="1" readingOrder="1"/>
      <protection locked="0"/>
    </xf>
    <xf numFmtId="0" fontId="49" fillId="0" borderId="0" xfId="0" applyNumberFormat="1" applyFont="1" applyFill="1" applyAlignment="1" applyProtection="1">
      <alignment wrapText="1" readingOrder="1"/>
    </xf>
    <xf numFmtId="0" fontId="50" fillId="0" borderId="0" xfId="0" applyNumberFormat="1" applyFont="1" applyFill="1" applyAlignment="1" applyProtection="1">
      <alignment wrapText="1" readingOrder="1"/>
    </xf>
    <xf numFmtId="167" fontId="46" fillId="0" borderId="119" xfId="0" applyNumberFormat="1" applyFont="1" applyFill="1" applyBorder="1" applyAlignment="1" applyProtection="1">
      <alignment horizontal="right" vertical="top" wrapText="1" readingOrder="1"/>
      <protection locked="0"/>
    </xf>
    <xf numFmtId="167" fontId="47" fillId="0" borderId="119" xfId="0" applyNumberFormat="1" applyFont="1" applyFill="1" applyBorder="1" applyAlignment="1" applyProtection="1">
      <alignment horizontal="center" vertical="top" wrapText="1" readingOrder="1"/>
      <protection locked="0"/>
    </xf>
    <xf numFmtId="0" fontId="43" fillId="15" borderId="119" xfId="0" applyNumberFormat="1" applyFont="1" applyFill="1" applyBorder="1" applyAlignment="1" applyProtection="1">
      <alignment vertical="top" wrapText="1" readingOrder="1"/>
      <protection locked="0"/>
    </xf>
    <xf numFmtId="0" fontId="43" fillId="15" borderId="119" xfId="0" applyNumberFormat="1" applyFont="1" applyFill="1" applyBorder="1" applyAlignment="1" applyProtection="1">
      <alignment horizontal="right" vertical="top" wrapText="1" readingOrder="1"/>
      <protection locked="0"/>
    </xf>
    <xf numFmtId="167" fontId="43" fillId="15" borderId="119" xfId="0" applyNumberFormat="1" applyFont="1" applyFill="1" applyBorder="1" applyAlignment="1" applyProtection="1">
      <alignment horizontal="right" vertical="top" wrapText="1" readingOrder="1"/>
    </xf>
    <xf numFmtId="167" fontId="44" fillId="15" borderId="119" xfId="0" applyNumberFormat="1" applyFont="1" applyFill="1" applyBorder="1" applyAlignment="1" applyProtection="1">
      <alignment horizontal="center" vertical="top" wrapText="1" readingOrder="1"/>
    </xf>
    <xf numFmtId="167" fontId="44" fillId="15" borderId="119" xfId="0" applyNumberFormat="1" applyFont="1" applyFill="1" applyBorder="1" applyAlignment="1" applyProtection="1">
      <alignment horizontal="right" vertical="top" wrapText="1" readingOrder="1"/>
    </xf>
    <xf numFmtId="0" fontId="49" fillId="0" borderId="0" xfId="0" applyNumberFormat="1" applyFont="1" applyFill="1" applyAlignment="1" applyProtection="1">
      <alignment horizontal="center" wrapText="1" readingOrder="1"/>
    </xf>
    <xf numFmtId="3" fontId="4" fillId="6" borderId="40" xfId="0" applyNumberFormat="1" applyFont="1" applyFill="1" applyBorder="1" applyAlignment="1">
      <alignment horizontal="left" vertical="top" wrapText="1"/>
    </xf>
    <xf numFmtId="3" fontId="4" fillId="6" borderId="11" xfId="0" applyNumberFormat="1" applyFont="1" applyFill="1" applyBorder="1" applyAlignment="1">
      <alignment horizontal="left" vertical="top" wrapText="1"/>
    </xf>
    <xf numFmtId="3" fontId="16" fillId="6" borderId="11" xfId="0" applyNumberFormat="1" applyFont="1" applyFill="1" applyBorder="1" applyAlignment="1">
      <alignment horizontal="left" vertical="top" wrapText="1"/>
    </xf>
    <xf numFmtId="0" fontId="4" fillId="6" borderId="40" xfId="0" applyFont="1" applyFill="1" applyBorder="1" applyAlignment="1">
      <alignment vertical="top" wrapText="1"/>
    </xf>
    <xf numFmtId="49" fontId="6" fillId="6" borderId="11" xfId="0" applyNumberFormat="1" applyFont="1" applyFill="1" applyBorder="1" applyAlignment="1">
      <alignment horizontal="center" vertical="top"/>
    </xf>
    <xf numFmtId="3" fontId="4" fillId="6" borderId="15" xfId="0" applyNumberFormat="1" applyFont="1" applyFill="1" applyBorder="1" applyAlignment="1">
      <alignment horizontal="left" vertical="top" wrapText="1"/>
    </xf>
    <xf numFmtId="3" fontId="4" fillId="6" borderId="35" xfId="0" applyNumberFormat="1" applyFont="1" applyFill="1" applyBorder="1" applyAlignment="1">
      <alignment horizontal="left" vertical="top" wrapText="1"/>
    </xf>
    <xf numFmtId="3" fontId="4" fillId="6" borderId="12" xfId="0" applyNumberFormat="1" applyFont="1" applyFill="1" applyBorder="1" applyAlignment="1">
      <alignment vertical="top" wrapText="1"/>
    </xf>
    <xf numFmtId="49" fontId="6" fillId="6" borderId="12" xfId="0" applyNumberFormat="1" applyFont="1" applyFill="1" applyBorder="1" applyAlignment="1">
      <alignment horizontal="center" vertical="top"/>
    </xf>
    <xf numFmtId="49" fontId="6" fillId="6" borderId="23" xfId="0" applyNumberFormat="1" applyFont="1" applyFill="1" applyBorder="1" applyAlignment="1">
      <alignment horizontal="center" vertical="top"/>
    </xf>
    <xf numFmtId="3" fontId="6" fillId="9" borderId="24" xfId="0" applyNumberFormat="1" applyFont="1" applyFill="1" applyBorder="1" applyAlignment="1">
      <alignment horizontal="right" vertical="top" wrapText="1"/>
    </xf>
    <xf numFmtId="0" fontId="4" fillId="6" borderId="10" xfId="0" applyFont="1" applyFill="1" applyBorder="1" applyAlignment="1">
      <alignment vertical="top" wrapText="1"/>
    </xf>
    <xf numFmtId="3" fontId="4" fillId="6" borderId="52" xfId="0" applyNumberFormat="1" applyFont="1" applyFill="1" applyBorder="1" applyAlignment="1">
      <alignment vertical="top" wrapText="1"/>
    </xf>
    <xf numFmtId="49" fontId="6" fillId="6" borderId="4" xfId="0" applyNumberFormat="1" applyFont="1" applyFill="1" applyBorder="1" applyAlignment="1">
      <alignment horizontal="center" vertical="top"/>
    </xf>
    <xf numFmtId="3" fontId="4" fillId="6" borderId="52" xfId="0" applyNumberFormat="1" applyFont="1" applyFill="1" applyBorder="1" applyAlignment="1">
      <alignment horizontal="left" vertical="top" wrapText="1"/>
    </xf>
    <xf numFmtId="3" fontId="4" fillId="6" borderId="33" xfId="0" applyNumberFormat="1" applyFont="1" applyFill="1" applyBorder="1" applyAlignment="1">
      <alignment horizontal="center" vertical="top"/>
    </xf>
    <xf numFmtId="49" fontId="4" fillId="6" borderId="40" xfId="0" applyNumberFormat="1" applyFont="1" applyFill="1" applyBorder="1" applyAlignment="1">
      <alignment horizontal="center" vertical="top" wrapText="1"/>
    </xf>
    <xf numFmtId="49" fontId="4" fillId="6" borderId="22" xfId="0" applyNumberFormat="1" applyFont="1" applyFill="1" applyBorder="1" applyAlignment="1">
      <alignment horizontal="center" vertical="top"/>
    </xf>
    <xf numFmtId="49" fontId="4" fillId="0" borderId="1" xfId="0" applyNumberFormat="1" applyFont="1" applyBorder="1" applyAlignment="1">
      <alignment horizontal="center" vertical="top"/>
    </xf>
    <xf numFmtId="49" fontId="4" fillId="6" borderId="30" xfId="0" applyNumberFormat="1" applyFont="1" applyFill="1" applyBorder="1" applyAlignment="1">
      <alignment horizontal="center" vertical="top"/>
    </xf>
    <xf numFmtId="49" fontId="4" fillId="6" borderId="0" xfId="0" applyNumberFormat="1" applyFont="1" applyFill="1" applyBorder="1" applyAlignment="1">
      <alignment horizontal="center" vertical="top"/>
    </xf>
    <xf numFmtId="49" fontId="4" fillId="0" borderId="30" xfId="0" applyNumberFormat="1" applyFont="1" applyBorder="1" applyAlignment="1">
      <alignment horizontal="center" vertical="top"/>
    </xf>
    <xf numFmtId="49" fontId="4" fillId="6" borderId="1" xfId="0" applyNumberFormat="1" applyFont="1" applyFill="1" applyBorder="1" applyAlignment="1">
      <alignment horizontal="center" vertical="top"/>
    </xf>
    <xf numFmtId="49" fontId="4" fillId="6" borderId="41" xfId="0" applyNumberFormat="1" applyFont="1" applyFill="1" applyBorder="1" applyAlignment="1">
      <alignment horizontal="center" vertical="top"/>
    </xf>
    <xf numFmtId="49" fontId="9" fillId="6" borderId="41" xfId="0" applyNumberFormat="1" applyFont="1" applyFill="1" applyBorder="1" applyAlignment="1">
      <alignment horizontal="center" vertical="top"/>
    </xf>
    <xf numFmtId="49" fontId="9" fillId="6" borderId="59" xfId="0" applyNumberFormat="1" applyFont="1" applyFill="1" applyBorder="1" applyAlignment="1">
      <alignment horizontal="center" vertical="top"/>
    </xf>
    <xf numFmtId="49" fontId="4" fillId="6" borderId="107" xfId="0" applyNumberFormat="1" applyFont="1" applyFill="1" applyBorder="1" applyAlignment="1">
      <alignment horizontal="center" vertical="top"/>
    </xf>
    <xf numFmtId="49" fontId="4" fillId="6" borderId="80" xfId="0" applyNumberFormat="1" applyFont="1" applyFill="1" applyBorder="1" applyAlignment="1">
      <alignment horizontal="center" vertical="top"/>
    </xf>
    <xf numFmtId="49" fontId="4" fillId="6" borderId="59" xfId="0" applyNumberFormat="1" applyFont="1" applyFill="1" applyBorder="1" applyAlignment="1">
      <alignment horizontal="center" vertical="top"/>
    </xf>
    <xf numFmtId="49" fontId="10" fillId="6" borderId="41" xfId="0" applyNumberFormat="1" applyFont="1" applyFill="1" applyBorder="1" applyAlignment="1">
      <alignment horizontal="center" vertical="top"/>
    </xf>
    <xf numFmtId="49" fontId="10" fillId="6" borderId="59" xfId="0" applyNumberFormat="1" applyFont="1" applyFill="1" applyBorder="1" applyAlignment="1">
      <alignment horizontal="center" vertical="top"/>
    </xf>
    <xf numFmtId="49" fontId="4" fillId="6" borderId="4" xfId="0" applyNumberFormat="1" applyFont="1" applyFill="1" applyBorder="1" applyAlignment="1">
      <alignment horizontal="center" vertical="top"/>
    </xf>
    <xf numFmtId="49" fontId="4" fillId="6" borderId="12" xfId="0" applyNumberFormat="1" applyFont="1" applyFill="1" applyBorder="1" applyAlignment="1">
      <alignment horizontal="center" vertical="top"/>
    </xf>
    <xf numFmtId="49" fontId="4" fillId="6" borderId="39" xfId="0" applyNumberFormat="1" applyFont="1" applyFill="1" applyBorder="1" applyAlignment="1">
      <alignment horizontal="center" vertical="top"/>
    </xf>
    <xf numFmtId="49" fontId="4" fillId="6" borderId="58" xfId="0" applyNumberFormat="1" applyFont="1" applyFill="1" applyBorder="1" applyAlignment="1">
      <alignment horizontal="center" vertical="top"/>
    </xf>
    <xf numFmtId="49" fontId="5" fillId="6" borderId="39" xfId="0" applyNumberFormat="1" applyFont="1" applyFill="1" applyBorder="1" applyAlignment="1">
      <alignment horizontal="center" vertical="top"/>
    </xf>
    <xf numFmtId="49" fontId="5" fillId="6" borderId="58" xfId="0" applyNumberFormat="1" applyFont="1" applyFill="1" applyBorder="1" applyAlignment="1">
      <alignment horizontal="center" vertical="top"/>
    </xf>
    <xf numFmtId="49" fontId="4" fillId="0" borderId="58" xfId="0" applyNumberFormat="1" applyFont="1" applyBorder="1" applyAlignment="1">
      <alignment horizontal="center" vertical="top"/>
    </xf>
    <xf numFmtId="49" fontId="5" fillId="6" borderId="12" xfId="0" applyNumberFormat="1" applyFont="1" applyFill="1" applyBorder="1" applyAlignment="1">
      <alignment horizontal="center" vertical="top"/>
    </xf>
    <xf numFmtId="49" fontId="4" fillId="0" borderId="52" xfId="0" applyNumberFormat="1" applyFont="1" applyBorder="1" applyAlignment="1">
      <alignment horizontal="center" vertical="top"/>
    </xf>
    <xf numFmtId="49" fontId="4" fillId="0" borderId="90" xfId="0" applyNumberFormat="1" applyFont="1" applyBorder="1" applyAlignment="1">
      <alignment horizontal="center" vertical="top"/>
    </xf>
    <xf numFmtId="49" fontId="4" fillId="6" borderId="40" xfId="0" applyNumberFormat="1" applyFont="1" applyFill="1" applyBorder="1" applyAlignment="1">
      <alignment horizontal="center" vertical="top"/>
    </xf>
    <xf numFmtId="49" fontId="4" fillId="6" borderId="97" xfId="0" applyNumberFormat="1" applyFont="1" applyFill="1" applyBorder="1" applyAlignment="1">
      <alignment horizontal="center" vertical="top"/>
    </xf>
    <xf numFmtId="49" fontId="4" fillId="6" borderId="57" xfId="0" applyNumberFormat="1" applyFont="1" applyFill="1" applyBorder="1" applyAlignment="1">
      <alignment horizontal="center" vertical="top"/>
    </xf>
    <xf numFmtId="49" fontId="4" fillId="6" borderId="45" xfId="0" applyNumberFormat="1" applyFont="1" applyFill="1" applyBorder="1" applyAlignment="1">
      <alignment horizontal="center" vertical="top"/>
    </xf>
    <xf numFmtId="49" fontId="4" fillId="6" borderId="23" xfId="0" applyNumberFormat="1" applyFont="1" applyFill="1" applyBorder="1" applyAlignment="1">
      <alignment horizontal="center" vertical="top"/>
    </xf>
    <xf numFmtId="49" fontId="4" fillId="7" borderId="73" xfId="0" applyNumberFormat="1" applyFont="1" applyFill="1" applyBorder="1" applyAlignment="1">
      <alignment horizontal="center" vertical="top"/>
    </xf>
    <xf numFmtId="49" fontId="4" fillId="7" borderId="104" xfId="0" applyNumberFormat="1" applyFont="1" applyFill="1" applyBorder="1" applyAlignment="1">
      <alignment horizontal="center" vertical="top"/>
    </xf>
    <xf numFmtId="49" fontId="4" fillId="6" borderId="3" xfId="0" applyNumberFormat="1" applyFont="1" applyFill="1" applyBorder="1" applyAlignment="1">
      <alignment horizontal="center" vertical="top"/>
    </xf>
    <xf numFmtId="49" fontId="4" fillId="7" borderId="1" xfId="0" applyNumberFormat="1" applyFont="1" applyFill="1" applyBorder="1" applyAlignment="1">
      <alignment horizontal="center" vertical="top"/>
    </xf>
    <xf numFmtId="49" fontId="4"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center" vertical="top"/>
    </xf>
    <xf numFmtId="49" fontId="4" fillId="0" borderId="0" xfId="0" applyNumberFormat="1" applyFont="1" applyBorder="1" applyAlignment="1">
      <alignment horizontal="center" vertical="top"/>
    </xf>
    <xf numFmtId="49" fontId="4" fillId="0" borderId="0" xfId="0" applyNumberFormat="1" applyFont="1" applyFill="1" applyBorder="1" applyAlignment="1">
      <alignment horizontal="center" vertical="top"/>
    </xf>
    <xf numFmtId="49" fontId="4" fillId="0" borderId="0" xfId="0" applyNumberFormat="1" applyFont="1" applyAlignment="1">
      <alignment horizontal="center" vertical="top"/>
    </xf>
    <xf numFmtId="49" fontId="4" fillId="0" borderId="0" xfId="0" applyNumberFormat="1" applyFont="1" applyAlignment="1">
      <alignment vertical="top"/>
    </xf>
    <xf numFmtId="49" fontId="9" fillId="0" borderId="0" xfId="0" applyNumberFormat="1" applyFont="1" applyAlignment="1">
      <alignment vertical="top"/>
    </xf>
    <xf numFmtId="49" fontId="9" fillId="0" borderId="0" xfId="0" applyNumberFormat="1" applyFont="1" applyAlignment="1">
      <alignment horizontal="center" vertical="top"/>
    </xf>
    <xf numFmtId="3" fontId="4" fillId="6" borderId="13" xfId="0" applyNumberFormat="1" applyFont="1" applyFill="1" applyBorder="1" applyAlignment="1">
      <alignment vertical="top" wrapText="1"/>
    </xf>
    <xf numFmtId="49" fontId="4" fillId="6" borderId="11" xfId="0" applyNumberFormat="1" applyFont="1" applyFill="1" applyBorder="1" applyAlignment="1">
      <alignment horizontal="center" vertical="top" wrapText="1"/>
    </xf>
    <xf numFmtId="166" fontId="5" fillId="6" borderId="14" xfId="0" applyNumberFormat="1" applyFont="1" applyFill="1" applyBorder="1" applyAlignment="1">
      <alignment horizontal="right" vertical="top"/>
    </xf>
    <xf numFmtId="166" fontId="5" fillId="6" borderId="53" xfId="0" applyNumberFormat="1" applyFont="1" applyFill="1" applyBorder="1" applyAlignment="1">
      <alignment horizontal="center" vertical="top"/>
    </xf>
    <xf numFmtId="165" fontId="4" fillId="6" borderId="11" xfId="0" applyNumberFormat="1" applyFont="1" applyFill="1" applyBorder="1" applyAlignment="1">
      <alignment horizontal="center" vertical="center"/>
    </xf>
    <xf numFmtId="165" fontId="4" fillId="6" borderId="40" xfId="0" applyNumberFormat="1" applyFont="1" applyFill="1" applyBorder="1" applyAlignment="1">
      <alignment horizontal="center" vertical="center"/>
    </xf>
    <xf numFmtId="165" fontId="4" fillId="6" borderId="57" xfId="0" applyNumberFormat="1" applyFont="1" applyFill="1" applyBorder="1" applyAlignment="1">
      <alignment horizontal="center" vertical="center"/>
    </xf>
    <xf numFmtId="165" fontId="4" fillId="6" borderId="90" xfId="0" applyNumberFormat="1" applyFont="1" applyFill="1" applyBorder="1" applyAlignment="1">
      <alignment horizontal="left" vertical="center" wrapText="1"/>
    </xf>
    <xf numFmtId="49" fontId="4" fillId="6" borderId="90" xfId="0" applyNumberFormat="1" applyFont="1" applyFill="1" applyBorder="1" applyAlignment="1">
      <alignment horizontal="center" vertical="top"/>
    </xf>
    <xf numFmtId="165" fontId="4" fillId="6" borderId="97" xfId="0" applyNumberFormat="1" applyFont="1" applyFill="1" applyBorder="1" applyAlignment="1">
      <alignment horizontal="left" vertical="top" wrapText="1"/>
    </xf>
    <xf numFmtId="165" fontId="4" fillId="6" borderId="11" xfId="0" applyNumberFormat="1" applyFont="1" applyFill="1" applyBorder="1" applyAlignment="1">
      <alignment horizontal="center" vertical="top"/>
    </xf>
    <xf numFmtId="3" fontId="4" fillId="6" borderId="66" xfId="0" applyNumberFormat="1" applyFont="1" applyFill="1" applyBorder="1" applyAlignment="1">
      <alignment vertical="top"/>
    </xf>
    <xf numFmtId="165" fontId="4" fillId="6" borderId="98" xfId="0" applyNumberFormat="1" applyFont="1" applyFill="1" applyBorder="1" applyAlignment="1">
      <alignment horizontal="left" vertical="top" wrapText="1"/>
    </xf>
    <xf numFmtId="49" fontId="4" fillId="4" borderId="12" xfId="0" applyNumberFormat="1" applyFont="1" applyFill="1" applyBorder="1" applyAlignment="1">
      <alignment horizontal="center" vertical="top" wrapText="1"/>
    </xf>
    <xf numFmtId="49" fontId="4" fillId="4" borderId="52" xfId="0" applyNumberFormat="1" applyFont="1" applyFill="1" applyBorder="1" applyAlignment="1">
      <alignment horizontal="center" vertical="top" wrapText="1"/>
    </xf>
    <xf numFmtId="49" fontId="20" fillId="11" borderId="52" xfId="0" applyNumberFormat="1" applyFont="1" applyFill="1" applyBorder="1" applyAlignment="1">
      <alignment horizontal="center" vertical="top" wrapText="1"/>
    </xf>
    <xf numFmtId="49" fontId="4" fillId="6" borderId="52" xfId="0" applyNumberFormat="1" applyFont="1" applyFill="1" applyBorder="1" applyAlignment="1">
      <alignment horizontal="center" vertical="top"/>
    </xf>
    <xf numFmtId="49" fontId="16" fillId="0" borderId="0" xfId="0" applyNumberFormat="1" applyFont="1" applyAlignment="1">
      <alignment vertical="top"/>
    </xf>
    <xf numFmtId="167" fontId="46" fillId="16" borderId="116" xfId="0" applyNumberFormat="1" applyFont="1" applyFill="1" applyBorder="1" applyAlignment="1" applyProtection="1">
      <alignment horizontal="left" vertical="top" wrapText="1" readingOrder="1"/>
      <protection locked="0"/>
    </xf>
    <xf numFmtId="49" fontId="4" fillId="6" borderId="1" xfId="0" applyNumberFormat="1" applyFont="1" applyFill="1" applyBorder="1" applyAlignment="1">
      <alignment vertical="top"/>
    </xf>
    <xf numFmtId="3" fontId="4" fillId="17" borderId="97" xfId="0" applyNumberFormat="1" applyFont="1" applyFill="1" applyBorder="1" applyAlignment="1">
      <alignment vertical="top" wrapText="1"/>
    </xf>
    <xf numFmtId="3" fontId="4" fillId="17" borderId="97" xfId="0" applyNumberFormat="1" applyFont="1" applyFill="1" applyBorder="1" applyAlignment="1">
      <alignment horizontal="center" vertical="top"/>
    </xf>
    <xf numFmtId="49" fontId="4" fillId="17" borderId="80" xfId="0" applyNumberFormat="1" applyFont="1" applyFill="1" applyBorder="1" applyAlignment="1">
      <alignment horizontal="center" vertical="top"/>
    </xf>
    <xf numFmtId="49" fontId="30" fillId="0" borderId="0" xfId="0" applyNumberFormat="1" applyFont="1" applyAlignment="1">
      <alignment horizontal="center" vertical="top"/>
    </xf>
    <xf numFmtId="49" fontId="2" fillId="0" borderId="0" xfId="0" applyNumberFormat="1" applyFont="1" applyAlignment="1">
      <alignment horizontal="center" vertical="top" wrapText="1"/>
    </xf>
    <xf numFmtId="49" fontId="4" fillId="4" borderId="0" xfId="0" applyNumberFormat="1" applyFont="1" applyFill="1" applyBorder="1" applyAlignment="1">
      <alignment horizontal="center" vertical="center" textRotation="90" wrapText="1"/>
    </xf>
    <xf numFmtId="49" fontId="4" fillId="4" borderId="59" xfId="0" applyNumberFormat="1" applyFont="1" applyFill="1" applyBorder="1" applyAlignment="1">
      <alignment horizontal="center" vertical="center" textRotation="90" wrapText="1"/>
    </xf>
    <xf numFmtId="49" fontId="6" fillId="6" borderId="69" xfId="0" applyNumberFormat="1" applyFont="1" applyFill="1" applyBorder="1" applyAlignment="1">
      <alignment horizontal="center" vertical="top"/>
    </xf>
    <xf numFmtId="49" fontId="6" fillId="6" borderId="66" xfId="0" applyNumberFormat="1" applyFont="1" applyFill="1" applyBorder="1" applyAlignment="1">
      <alignment horizontal="center" vertical="top"/>
    </xf>
    <xf numFmtId="49" fontId="6" fillId="6" borderId="0"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6" borderId="27" xfId="0" applyNumberFormat="1" applyFont="1" applyFill="1" applyBorder="1" applyAlignment="1">
      <alignment horizontal="center" vertical="top"/>
    </xf>
    <xf numFmtId="167" fontId="47" fillId="16" borderId="116" xfId="0" applyNumberFormat="1" applyFont="1" applyFill="1" applyBorder="1" applyAlignment="1" applyProtection="1">
      <alignment horizontal="right" vertical="top" wrapText="1" readingOrder="1"/>
    </xf>
    <xf numFmtId="3" fontId="4" fillId="17" borderId="97" xfId="0" applyNumberFormat="1" applyFont="1" applyFill="1" applyBorder="1" applyAlignment="1">
      <alignment horizontal="left" vertical="top" wrapText="1"/>
    </xf>
    <xf numFmtId="49" fontId="4" fillId="6" borderId="66" xfId="0" applyNumberFormat="1" applyFont="1" applyFill="1" applyBorder="1" applyAlignment="1">
      <alignment horizontal="center" vertical="top"/>
    </xf>
    <xf numFmtId="3" fontId="13" fillId="6" borderId="31" xfId="0" applyNumberFormat="1" applyFont="1" applyFill="1" applyBorder="1" applyAlignment="1">
      <alignment horizontal="center" vertical="top" wrapText="1"/>
    </xf>
    <xf numFmtId="166" fontId="13" fillId="6" borderId="53" xfId="0" applyNumberFormat="1" applyFont="1" applyFill="1" applyBorder="1" applyAlignment="1">
      <alignment horizontal="center" vertical="top"/>
    </xf>
    <xf numFmtId="0" fontId="10" fillId="6" borderId="32" xfId="0" applyFont="1" applyFill="1" applyBorder="1" applyAlignment="1">
      <alignment horizontal="left" vertical="top" wrapText="1"/>
    </xf>
    <xf numFmtId="3" fontId="10" fillId="0" borderId="52" xfId="0" applyNumberFormat="1" applyFont="1" applyFill="1" applyBorder="1" applyAlignment="1">
      <alignment horizontal="center" vertical="top"/>
    </xf>
    <xf numFmtId="49" fontId="10" fillId="0" borderId="19" xfId="0" applyNumberFormat="1" applyFont="1" applyFill="1" applyBorder="1" applyAlignment="1">
      <alignment horizontal="center" vertical="top"/>
    </xf>
    <xf numFmtId="3" fontId="10" fillId="6" borderId="20" xfId="0" applyNumberFormat="1" applyFont="1" applyFill="1" applyBorder="1" applyAlignment="1">
      <alignment horizontal="center" vertical="top"/>
    </xf>
    <xf numFmtId="3" fontId="5" fillId="6" borderId="58" xfId="0" applyNumberFormat="1" applyFont="1" applyFill="1" applyBorder="1" applyAlignment="1">
      <alignment vertical="top" wrapText="1"/>
    </xf>
    <xf numFmtId="3" fontId="5" fillId="6" borderId="39" xfId="0" applyNumberFormat="1" applyFont="1" applyFill="1" applyBorder="1" applyAlignment="1">
      <alignment vertical="top" wrapText="1"/>
    </xf>
    <xf numFmtId="3" fontId="5" fillId="6" borderId="16" xfId="0" applyNumberFormat="1" applyFont="1" applyFill="1" applyBorder="1" applyAlignment="1">
      <alignment vertical="top" wrapText="1"/>
    </xf>
    <xf numFmtId="3" fontId="4" fillId="6" borderId="18" xfId="0" applyNumberFormat="1" applyFont="1" applyFill="1" applyBorder="1" applyAlignment="1">
      <alignment vertical="top" wrapText="1"/>
    </xf>
    <xf numFmtId="3" fontId="4" fillId="6" borderId="100" xfId="0" applyNumberFormat="1" applyFont="1" applyFill="1" applyBorder="1" applyAlignment="1">
      <alignment vertical="top" wrapText="1"/>
    </xf>
    <xf numFmtId="3" fontId="4" fillId="17" borderId="32" xfId="0" applyNumberFormat="1" applyFont="1" applyFill="1" applyBorder="1" applyAlignment="1">
      <alignment vertical="top" wrapText="1"/>
    </xf>
    <xf numFmtId="3" fontId="4" fillId="17" borderId="58" xfId="0" applyNumberFormat="1" applyFont="1" applyFill="1" applyBorder="1" applyAlignment="1">
      <alignment horizontal="center" vertical="top"/>
    </xf>
    <xf numFmtId="49" fontId="4" fillId="17" borderId="16" xfId="0" applyNumberFormat="1" applyFont="1" applyFill="1" applyBorder="1" applyAlignment="1">
      <alignment horizontal="center" vertical="top"/>
    </xf>
    <xf numFmtId="3" fontId="4" fillId="17" borderId="52" xfId="0" applyNumberFormat="1" applyFont="1" applyFill="1" applyBorder="1" applyAlignment="1">
      <alignment horizontal="center" vertical="top"/>
    </xf>
    <xf numFmtId="3" fontId="4" fillId="17" borderId="20" xfId="0" applyNumberFormat="1" applyFont="1" applyFill="1" applyBorder="1" applyAlignment="1">
      <alignment horizontal="left" vertical="top" wrapText="1"/>
    </xf>
    <xf numFmtId="3" fontId="4" fillId="17" borderId="52" xfId="0" applyNumberFormat="1" applyFont="1" applyFill="1" applyBorder="1" applyAlignment="1">
      <alignment vertical="top" wrapText="1"/>
    </xf>
    <xf numFmtId="0" fontId="4" fillId="17" borderId="40" xfId="0" applyNumberFormat="1" applyFont="1" applyFill="1" applyBorder="1" applyAlignment="1">
      <alignment horizontal="left" vertical="top" wrapText="1"/>
    </xf>
    <xf numFmtId="0" fontId="4" fillId="17" borderId="54" xfId="0" applyFont="1" applyFill="1" applyBorder="1" applyAlignment="1">
      <alignment horizontal="left" vertical="top" wrapText="1"/>
    </xf>
    <xf numFmtId="3" fontId="4" fillId="17" borderId="39" xfId="0" applyNumberFormat="1" applyFont="1" applyFill="1" applyBorder="1" applyAlignment="1">
      <alignment horizontal="center" vertical="top"/>
    </xf>
    <xf numFmtId="49" fontId="4" fillId="17" borderId="40" xfId="0" applyNumberFormat="1" applyFont="1" applyFill="1" applyBorder="1" applyAlignment="1">
      <alignment horizontal="center" vertical="top"/>
    </xf>
    <xf numFmtId="0" fontId="4" fillId="17" borderId="67" xfId="0" applyNumberFormat="1" applyFont="1" applyFill="1" applyBorder="1" applyAlignment="1">
      <alignment horizontal="left" vertical="top" wrapText="1"/>
    </xf>
    <xf numFmtId="0" fontId="4" fillId="6" borderId="113" xfId="0" applyNumberFormat="1" applyFont="1" applyFill="1" applyBorder="1" applyAlignment="1">
      <alignment horizontal="left" vertical="top" wrapText="1"/>
    </xf>
    <xf numFmtId="3" fontId="4" fillId="2" borderId="93" xfId="0" applyNumberFormat="1" applyFont="1" applyFill="1" applyBorder="1" applyAlignment="1">
      <alignment horizontal="center" vertical="top"/>
    </xf>
    <xf numFmtId="49" fontId="4" fillId="2" borderId="45" xfId="0" applyNumberFormat="1" applyFont="1" applyFill="1" applyBorder="1" applyAlignment="1">
      <alignment horizontal="center" vertical="top"/>
    </xf>
    <xf numFmtId="0" fontId="4" fillId="2" borderId="45" xfId="0" applyNumberFormat="1" applyFont="1" applyFill="1" applyBorder="1" applyAlignment="1">
      <alignment horizontal="center" vertical="top"/>
    </xf>
    <xf numFmtId="49" fontId="4" fillId="2" borderId="57" xfId="0" applyNumberFormat="1" applyFont="1" applyFill="1" applyBorder="1" applyAlignment="1">
      <alignment horizontal="center" vertical="top"/>
    </xf>
    <xf numFmtId="3" fontId="4" fillId="2" borderId="92" xfId="0" applyNumberFormat="1" applyFont="1" applyFill="1" applyBorder="1" applyAlignment="1">
      <alignment horizontal="center" vertical="top"/>
    </xf>
    <xf numFmtId="49" fontId="4" fillId="2" borderId="91" xfId="0" applyNumberFormat="1" applyFont="1" applyFill="1" applyBorder="1" applyAlignment="1">
      <alignment horizontal="center" vertical="top"/>
    </xf>
    <xf numFmtId="0" fontId="4" fillId="2" borderId="91" xfId="0" applyNumberFormat="1" applyFont="1" applyFill="1" applyBorder="1" applyAlignment="1">
      <alignment horizontal="center" vertical="top"/>
    </xf>
    <xf numFmtId="3" fontId="10" fillId="6" borderId="52" xfId="0" applyNumberFormat="1" applyFont="1" applyFill="1" applyBorder="1" applyAlignment="1">
      <alignment horizontal="left" vertical="top" wrapText="1"/>
    </xf>
    <xf numFmtId="3" fontId="12" fillId="6" borderId="17" xfId="0" applyNumberFormat="1" applyFont="1" applyFill="1" applyBorder="1" applyAlignment="1">
      <alignment horizontal="center" vertical="top" wrapText="1"/>
    </xf>
    <xf numFmtId="3" fontId="6" fillId="6" borderId="101" xfId="0" applyNumberFormat="1" applyFont="1" applyFill="1" applyBorder="1" applyAlignment="1">
      <alignment horizontal="center" vertical="top"/>
    </xf>
    <xf numFmtId="49" fontId="16" fillId="0" borderId="0" xfId="0" applyNumberFormat="1" applyFont="1" applyAlignment="1">
      <alignment horizontal="center"/>
    </xf>
    <xf numFmtId="0" fontId="4" fillId="6" borderId="52" xfId="0" applyFont="1" applyFill="1" applyBorder="1" applyAlignment="1">
      <alignment horizontal="left" vertical="top" wrapText="1"/>
    </xf>
    <xf numFmtId="0" fontId="4" fillId="10" borderId="32" xfId="0" applyFont="1" applyFill="1" applyBorder="1" applyAlignment="1">
      <alignment vertical="top" wrapText="1"/>
    </xf>
    <xf numFmtId="0" fontId="4" fillId="10" borderId="52" xfId="0" applyFont="1" applyFill="1" applyBorder="1" applyAlignment="1">
      <alignment horizontal="center" vertical="top"/>
    </xf>
    <xf numFmtId="49" fontId="4" fillId="10" borderId="52" xfId="0" applyNumberFormat="1" applyFont="1" applyFill="1" applyBorder="1" applyAlignment="1">
      <alignment horizontal="center" vertical="top"/>
    </xf>
    <xf numFmtId="0" fontId="4" fillId="10" borderId="16" xfId="0" applyFont="1" applyFill="1" applyBorder="1" applyAlignment="1">
      <alignment horizontal="left" vertical="top" wrapText="1"/>
    </xf>
    <xf numFmtId="3" fontId="4" fillId="6" borderId="101" xfId="0" applyNumberFormat="1" applyFont="1" applyFill="1" applyBorder="1" applyAlignment="1">
      <alignment horizontal="center" vertical="top"/>
    </xf>
    <xf numFmtId="49" fontId="6" fillId="6" borderId="23" xfId="0" applyNumberFormat="1" applyFont="1" applyFill="1" applyBorder="1" applyAlignment="1">
      <alignment vertical="top"/>
    </xf>
    <xf numFmtId="3" fontId="4" fillId="2" borderId="12" xfId="0" applyNumberFormat="1" applyFont="1" applyFill="1" applyBorder="1" applyAlignment="1">
      <alignment horizontal="left" vertical="top"/>
    </xf>
    <xf numFmtId="0" fontId="4" fillId="2" borderId="57" xfId="0" applyFont="1" applyFill="1" applyBorder="1" applyAlignment="1">
      <alignment horizontal="center" vertical="center"/>
    </xf>
    <xf numFmtId="0" fontId="4" fillId="2" borderId="12" xfId="0" applyFont="1" applyFill="1" applyBorder="1" applyAlignment="1">
      <alignment horizontal="center" vertical="center"/>
    </xf>
    <xf numFmtId="0" fontId="4" fillId="17" borderId="84" xfId="0" applyFont="1" applyFill="1" applyBorder="1" applyAlignment="1">
      <alignment horizontal="left" vertical="top" wrapText="1"/>
    </xf>
    <xf numFmtId="0" fontId="4" fillId="17" borderId="91" xfId="0" applyFont="1" applyFill="1" applyBorder="1" applyAlignment="1">
      <alignment horizontal="center" vertical="top"/>
    </xf>
    <xf numFmtId="49" fontId="4" fillId="17" borderId="91" xfId="0" applyNumberFormat="1" applyFont="1" applyFill="1" applyBorder="1" applyAlignment="1">
      <alignment horizontal="center" vertical="top"/>
    </xf>
    <xf numFmtId="0" fontId="4" fillId="17" borderId="34" xfId="0" applyFont="1" applyFill="1" applyBorder="1" applyAlignment="1">
      <alignment horizontal="left" vertical="top" wrapText="1"/>
    </xf>
    <xf numFmtId="0" fontId="4" fillId="17" borderId="57" xfId="0" applyFont="1" applyFill="1" applyBorder="1" applyAlignment="1">
      <alignment horizontal="center" vertical="top"/>
    </xf>
    <xf numFmtId="49" fontId="4" fillId="17" borderId="57" xfId="0" applyNumberFormat="1" applyFont="1" applyFill="1" applyBorder="1" applyAlignment="1">
      <alignment horizontal="center" vertical="top"/>
    </xf>
    <xf numFmtId="0" fontId="4" fillId="6" borderId="39" xfId="0" applyFont="1" applyFill="1" applyBorder="1" applyAlignment="1">
      <alignment horizontal="left" vertical="top"/>
    </xf>
    <xf numFmtId="3" fontId="6" fillId="9" borderId="24" xfId="0" applyNumberFormat="1" applyFont="1" applyFill="1" applyBorder="1" applyAlignment="1">
      <alignment horizontal="center" vertical="top"/>
    </xf>
    <xf numFmtId="49" fontId="6" fillId="0" borderId="100" xfId="0" applyNumberFormat="1" applyFont="1" applyBorder="1" applyAlignment="1">
      <alignment horizontal="center" vertical="top"/>
    </xf>
    <xf numFmtId="0" fontId="4" fillId="6" borderId="58" xfId="0" applyFont="1" applyFill="1" applyBorder="1" applyAlignment="1">
      <alignment horizontal="left" vertical="top"/>
    </xf>
    <xf numFmtId="0" fontId="36" fillId="6" borderId="33" xfId="0" applyFont="1" applyFill="1" applyBorder="1" applyAlignment="1">
      <alignment horizontal="center" vertical="top"/>
    </xf>
    <xf numFmtId="3" fontId="4" fillId="6" borderId="2" xfId="0" applyNumberFormat="1" applyFont="1" applyFill="1" applyBorder="1" applyAlignment="1">
      <alignment horizontal="left" vertical="top" wrapText="1"/>
    </xf>
    <xf numFmtId="3" fontId="4" fillId="6" borderId="10" xfId="0" applyNumberFormat="1" applyFont="1" applyFill="1" applyBorder="1" applyAlignment="1">
      <alignment horizontal="left" vertical="top" wrapText="1"/>
    </xf>
    <xf numFmtId="3" fontId="4" fillId="6" borderId="6" xfId="0" applyNumberFormat="1" applyFont="1" applyFill="1" applyBorder="1" applyAlignment="1">
      <alignment horizontal="center" vertical="top"/>
    </xf>
    <xf numFmtId="3" fontId="4" fillId="6" borderId="87" xfId="0" applyNumberFormat="1" applyFont="1" applyFill="1" applyBorder="1" applyAlignment="1">
      <alignment horizontal="center" vertical="top"/>
    </xf>
    <xf numFmtId="3" fontId="4" fillId="6" borderId="21" xfId="0" applyNumberFormat="1" applyFont="1" applyFill="1" applyBorder="1" applyAlignment="1">
      <alignment horizontal="left" vertical="top" wrapText="1"/>
    </xf>
    <xf numFmtId="49" fontId="4" fillId="6" borderId="40" xfId="0" applyNumberFormat="1" applyFont="1" applyFill="1" applyBorder="1" applyAlignment="1">
      <alignment horizontal="center" vertical="top"/>
    </xf>
    <xf numFmtId="49" fontId="4" fillId="6" borderId="11" xfId="0" applyNumberFormat="1" applyFont="1" applyFill="1" applyBorder="1" applyAlignment="1">
      <alignment horizontal="center" vertical="top"/>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62"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0" fontId="4" fillId="4" borderId="40" xfId="0" applyFont="1" applyFill="1" applyBorder="1" applyAlignment="1">
      <alignment horizontal="center" vertical="top" wrapText="1"/>
    </xf>
    <xf numFmtId="0" fontId="4" fillId="4" borderId="52" xfId="0" applyFont="1" applyFill="1" applyBorder="1" applyAlignment="1">
      <alignment horizontal="center" vertical="top" wrapText="1"/>
    </xf>
    <xf numFmtId="0" fontId="20" fillId="11" borderId="52" xfId="0" applyFont="1" applyFill="1" applyBorder="1" applyAlignment="1">
      <alignment horizontal="center" vertical="top" wrapText="1"/>
    </xf>
    <xf numFmtId="0" fontId="20" fillId="11" borderId="16" xfId="0" applyFont="1" applyFill="1" applyBorder="1" applyAlignment="1">
      <alignment vertical="top" wrapText="1"/>
    </xf>
    <xf numFmtId="0" fontId="4" fillId="17" borderId="15" xfId="0" applyFont="1" applyFill="1" applyBorder="1" applyAlignment="1">
      <alignment horizontal="left" vertical="top" wrapText="1"/>
    </xf>
    <xf numFmtId="0" fontId="4" fillId="17" borderId="40" xfId="0" applyFont="1" applyFill="1" applyBorder="1" applyAlignment="1">
      <alignment horizontal="center" vertical="top"/>
    </xf>
    <xf numFmtId="0" fontId="4" fillId="17" borderId="39" xfId="0" applyFont="1" applyFill="1" applyBorder="1" applyAlignment="1">
      <alignment horizontal="center" vertical="top"/>
    </xf>
    <xf numFmtId="49" fontId="4" fillId="17" borderId="18" xfId="0" applyNumberFormat="1" applyFont="1" applyFill="1" applyBorder="1" applyAlignment="1">
      <alignment horizontal="center" vertical="top"/>
    </xf>
    <xf numFmtId="0" fontId="4" fillId="17" borderId="49" xfId="0" applyFont="1" applyFill="1" applyBorder="1" applyAlignment="1">
      <alignment vertical="top" wrapText="1"/>
    </xf>
    <xf numFmtId="0" fontId="4" fillId="17" borderId="33" xfId="0" applyFont="1" applyFill="1" applyBorder="1" applyAlignment="1">
      <alignment horizontal="center" vertical="top"/>
    </xf>
    <xf numFmtId="0" fontId="4" fillId="2" borderId="110" xfId="0" applyFont="1" applyFill="1" applyBorder="1" applyAlignment="1">
      <alignment vertical="top" wrapText="1"/>
    </xf>
    <xf numFmtId="0" fontId="4" fillId="2" borderId="98" xfId="0" applyFont="1" applyFill="1" applyBorder="1" applyAlignment="1">
      <alignment horizontal="center" vertical="top"/>
    </xf>
    <xf numFmtId="49" fontId="4" fillId="2" borderId="98" xfId="0" applyNumberFormat="1" applyFont="1" applyFill="1" applyBorder="1" applyAlignment="1">
      <alignment horizontal="center" vertical="top"/>
    </xf>
    <xf numFmtId="3" fontId="4" fillId="2" borderId="96" xfId="0" applyNumberFormat="1" applyFont="1" applyFill="1" applyBorder="1" applyAlignment="1">
      <alignment horizontal="left" vertical="top"/>
    </xf>
    <xf numFmtId="0" fontId="4" fillId="2" borderId="111" xfId="0" applyFont="1" applyFill="1" applyBorder="1" applyAlignment="1">
      <alignment horizontal="left" vertical="top" wrapText="1"/>
    </xf>
    <xf numFmtId="3" fontId="4" fillId="6" borderId="6" xfId="0" applyNumberFormat="1" applyFont="1" applyFill="1" applyBorder="1" applyAlignment="1">
      <alignment vertical="top"/>
    </xf>
    <xf numFmtId="3" fontId="4" fillId="6" borderId="25" xfId="0" applyNumberFormat="1" applyFont="1" applyFill="1" applyBorder="1" applyAlignment="1">
      <alignment vertical="top"/>
    </xf>
    <xf numFmtId="3" fontId="4" fillId="17" borderId="99" xfId="0" applyNumberFormat="1" applyFont="1" applyFill="1" applyBorder="1" applyAlignment="1">
      <alignment horizontal="left" vertical="top" wrapText="1"/>
    </xf>
    <xf numFmtId="0" fontId="4" fillId="6" borderId="128" xfId="0" applyFont="1" applyFill="1" applyBorder="1" applyAlignment="1">
      <alignment horizontal="center" vertical="top"/>
    </xf>
    <xf numFmtId="166" fontId="4" fillId="6" borderId="128" xfId="0" applyNumberFormat="1" applyFont="1" applyFill="1" applyBorder="1" applyAlignment="1">
      <alignment horizontal="center" vertical="top"/>
    </xf>
    <xf numFmtId="0" fontId="33" fillId="0" borderId="0" xfId="0" applyFont="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0" xfId="0" applyFont="1" applyAlignment="1">
      <alignment horizontal="left" vertical="center" wrapText="1"/>
    </xf>
    <xf numFmtId="0" fontId="32" fillId="0" borderId="0" xfId="0" applyFont="1" applyAlignment="1">
      <alignment horizontal="center" wrapText="1"/>
    </xf>
    <xf numFmtId="0" fontId="0" fillId="0" borderId="0" xfId="0" applyAlignment="1">
      <alignment wrapText="1"/>
    </xf>
    <xf numFmtId="0" fontId="33" fillId="0" borderId="0" xfId="0" applyFont="1" applyAlignment="1">
      <alignment horizontal="left"/>
    </xf>
    <xf numFmtId="0" fontId="33" fillId="0" borderId="0" xfId="0" applyFont="1" applyAlignment="1">
      <alignment horizontal="left" vertical="top"/>
    </xf>
    <xf numFmtId="0" fontId="32" fillId="0" borderId="0" xfId="4" applyFont="1" applyAlignment="1">
      <alignment horizontal="center" wrapText="1"/>
    </xf>
    <xf numFmtId="0" fontId="35" fillId="0" borderId="0" xfId="0" applyFont="1" applyAlignment="1">
      <alignment horizontal="center" wrapText="1"/>
    </xf>
    <xf numFmtId="0" fontId="0" fillId="0" borderId="0" xfId="0" applyAlignment="1"/>
    <xf numFmtId="0" fontId="33" fillId="0" borderId="0" xfId="0" applyFont="1" applyBorder="1" applyAlignment="1">
      <alignment horizontal="left" vertical="top" wrapText="1"/>
    </xf>
    <xf numFmtId="0" fontId="2" fillId="0" borderId="0" xfId="0" applyFont="1" applyAlignment="1">
      <alignment horizontal="left" vertical="center" wrapText="1"/>
    </xf>
    <xf numFmtId="0" fontId="4" fillId="0" borderId="40" xfId="0" applyFont="1" applyFill="1" applyBorder="1" applyAlignment="1">
      <alignment vertical="top" wrapText="1"/>
    </xf>
    <xf numFmtId="0" fontId="4" fillId="0" borderId="57" xfId="0" applyFont="1" applyFill="1" applyBorder="1" applyAlignment="1">
      <alignment vertical="top" wrapText="1"/>
    </xf>
    <xf numFmtId="0" fontId="4" fillId="6" borderId="13" xfId="0" applyFont="1" applyFill="1" applyBorder="1" applyAlignment="1">
      <alignment vertical="top" wrapText="1"/>
    </xf>
    <xf numFmtId="0" fontId="0" fillId="6" borderId="34" xfId="0" applyFont="1" applyFill="1" applyBorder="1" applyAlignment="1">
      <alignment vertical="top" wrapText="1"/>
    </xf>
    <xf numFmtId="3" fontId="4" fillId="6" borderId="15" xfId="0" applyNumberFormat="1" applyFont="1" applyFill="1" applyBorder="1" applyAlignment="1">
      <alignment vertical="top" wrapText="1"/>
    </xf>
    <xf numFmtId="0" fontId="0" fillId="6" borderId="35" xfId="0" applyFill="1" applyBorder="1" applyAlignment="1">
      <alignment vertical="top" wrapText="1"/>
    </xf>
    <xf numFmtId="0" fontId="4" fillId="17" borderId="91" xfId="0" applyFont="1" applyFill="1" applyBorder="1" applyAlignment="1">
      <alignment horizontal="left" vertical="top" wrapText="1"/>
    </xf>
    <xf numFmtId="0" fontId="4" fillId="17" borderId="57" xfId="0" applyFont="1" applyFill="1" applyBorder="1" applyAlignment="1">
      <alignment horizontal="left" vertical="top" wrapText="1"/>
    </xf>
    <xf numFmtId="166" fontId="4" fillId="0" borderId="50" xfId="0" applyNumberFormat="1" applyFont="1" applyBorder="1" applyAlignment="1">
      <alignment horizontal="center" vertical="center" wrapText="1"/>
    </xf>
    <xf numFmtId="166" fontId="4" fillId="0" borderId="26" xfId="0" applyNumberFormat="1" applyFont="1" applyBorder="1" applyAlignment="1">
      <alignment horizontal="center" vertical="center" wrapText="1"/>
    </xf>
    <xf numFmtId="166" fontId="4" fillId="0" borderId="14" xfId="0" applyNumberFormat="1" applyFont="1" applyBorder="1" applyAlignment="1">
      <alignment horizontal="center" vertical="center" wrapText="1"/>
    </xf>
    <xf numFmtId="0" fontId="10" fillId="0" borderId="49" xfId="0" applyFont="1" applyBorder="1" applyAlignment="1">
      <alignment horizontal="center" vertical="center" wrapText="1"/>
    </xf>
    <xf numFmtId="0" fontId="10" fillId="0" borderId="24" xfId="0" applyFont="1" applyBorder="1" applyAlignment="1">
      <alignment horizontal="center" vertical="center" wrapText="1"/>
    </xf>
    <xf numFmtId="0" fontId="20" fillId="4" borderId="39" xfId="0" applyFont="1" applyFill="1" applyBorder="1" applyAlignment="1">
      <alignment horizontal="left" vertical="center" wrapText="1"/>
    </xf>
    <xf numFmtId="0" fontId="0" fillId="0" borderId="41" xfId="0" applyBorder="1" applyAlignment="1">
      <alignment horizontal="left" wrapText="1"/>
    </xf>
    <xf numFmtId="0" fontId="0" fillId="0" borderId="54" xfId="0" applyBorder="1" applyAlignment="1">
      <alignment horizontal="left" wrapText="1"/>
    </xf>
    <xf numFmtId="0" fontId="20" fillId="4" borderId="16" xfId="0" applyFont="1" applyFill="1" applyBorder="1" applyAlignment="1">
      <alignment horizontal="left" vertical="center" wrapText="1"/>
    </xf>
    <xf numFmtId="0" fontId="0" fillId="0" borderId="19" xfId="0" applyBorder="1" applyAlignment="1">
      <alignment horizontal="left" wrapText="1"/>
    </xf>
    <xf numFmtId="0" fontId="0" fillId="0" borderId="17" xfId="0" applyBorder="1" applyAlignment="1">
      <alignment horizontal="left" wrapText="1"/>
    </xf>
    <xf numFmtId="0" fontId="4" fillId="4" borderId="58" xfId="0" applyFont="1" applyFill="1" applyBorder="1" applyAlignment="1">
      <alignment horizontal="left" vertical="center" wrapText="1"/>
    </xf>
    <xf numFmtId="0" fontId="0" fillId="0" borderId="59" xfId="0" applyBorder="1" applyAlignment="1">
      <alignment horizontal="left" wrapText="1"/>
    </xf>
    <xf numFmtId="0" fontId="0" fillId="0" borderId="36" xfId="0" applyBorder="1" applyAlignment="1">
      <alignment horizontal="left" wrapText="1"/>
    </xf>
    <xf numFmtId="49" fontId="5" fillId="0" borderId="57" xfId="0" applyNumberFormat="1" applyFont="1" applyFill="1" applyBorder="1" applyAlignment="1">
      <alignment horizontal="center" vertical="center" wrapText="1"/>
    </xf>
    <xf numFmtId="49" fontId="6" fillId="6" borderId="100" xfId="0" applyNumberFormat="1" applyFont="1" applyFill="1" applyBorder="1" applyAlignment="1">
      <alignment horizontal="center" vertical="top"/>
    </xf>
    <xf numFmtId="49" fontId="6" fillId="6" borderId="33" xfId="0" applyNumberFormat="1" applyFont="1" applyFill="1" applyBorder="1" applyAlignment="1">
      <alignment horizontal="center" vertical="top"/>
    </xf>
    <xf numFmtId="3" fontId="6" fillId="5" borderId="23" xfId="0" applyNumberFormat="1" applyFont="1" applyFill="1" applyBorder="1" applyAlignment="1">
      <alignment horizontal="right" vertical="top"/>
    </xf>
    <xf numFmtId="3" fontId="6" fillId="5" borderId="1" xfId="0" applyNumberFormat="1" applyFont="1" applyFill="1" applyBorder="1" applyAlignment="1">
      <alignment horizontal="right" vertical="top"/>
    </xf>
    <xf numFmtId="3" fontId="6" fillId="5" borderId="25" xfId="0" applyNumberFormat="1" applyFont="1" applyFill="1" applyBorder="1" applyAlignment="1">
      <alignment horizontal="right" vertical="top"/>
    </xf>
    <xf numFmtId="3" fontId="6" fillId="5" borderId="72" xfId="0" applyNumberFormat="1" applyFont="1" applyFill="1" applyBorder="1" applyAlignment="1">
      <alignment horizontal="left" vertical="top"/>
    </xf>
    <xf numFmtId="3" fontId="6" fillId="5" borderId="73" xfId="0" applyNumberFormat="1" applyFont="1" applyFill="1" applyBorder="1" applyAlignment="1">
      <alignment horizontal="left" vertical="top"/>
    </xf>
    <xf numFmtId="3" fontId="6" fillId="5" borderId="74" xfId="0" applyNumberFormat="1" applyFont="1" applyFill="1" applyBorder="1" applyAlignment="1">
      <alignment horizontal="left" vertical="top"/>
    </xf>
    <xf numFmtId="0" fontId="6" fillId="5" borderId="16" xfId="0" applyFont="1" applyFill="1" applyBorder="1" applyAlignment="1">
      <alignment horizontal="left" vertical="top" wrapText="1"/>
    </xf>
    <xf numFmtId="0" fontId="6" fillId="5" borderId="19" xfId="0" applyFont="1" applyFill="1" applyBorder="1" applyAlignment="1">
      <alignment horizontal="left" vertical="top" wrapText="1"/>
    </xf>
    <xf numFmtId="0" fontId="6" fillId="5" borderId="20" xfId="0" applyFont="1" applyFill="1" applyBorder="1" applyAlignment="1">
      <alignment horizontal="left" vertical="top" wrapText="1"/>
    </xf>
    <xf numFmtId="49" fontId="4" fillId="0" borderId="30" xfId="0" applyNumberFormat="1" applyFont="1" applyBorder="1" applyAlignment="1">
      <alignment horizontal="center" vertical="top"/>
    </xf>
    <xf numFmtId="49" fontId="4" fillId="0" borderId="0" xfId="0" applyNumberFormat="1" applyFont="1" applyBorder="1" applyAlignment="1">
      <alignment horizontal="center" vertical="top"/>
    </xf>
    <xf numFmtId="49" fontId="4" fillId="0" borderId="1" xfId="0" applyNumberFormat="1" applyFont="1" applyBorder="1" applyAlignment="1">
      <alignment horizontal="center" vertical="top"/>
    </xf>
    <xf numFmtId="3" fontId="4" fillId="6" borderId="6" xfId="0" applyNumberFormat="1" applyFont="1" applyFill="1" applyBorder="1" applyAlignment="1">
      <alignment horizontal="center" vertical="top"/>
    </xf>
    <xf numFmtId="3" fontId="4" fillId="6" borderId="87" xfId="0" applyNumberFormat="1" applyFont="1" applyFill="1" applyBorder="1" applyAlignment="1">
      <alignment horizontal="center" vertical="top"/>
    </xf>
    <xf numFmtId="3" fontId="4" fillId="6" borderId="25" xfId="0" applyNumberFormat="1" applyFont="1" applyFill="1" applyBorder="1" applyAlignment="1">
      <alignment horizontal="center" vertical="top"/>
    </xf>
    <xf numFmtId="3" fontId="4" fillId="6" borderId="2" xfId="0" applyNumberFormat="1" applyFont="1" applyFill="1" applyBorder="1" applyAlignment="1">
      <alignment horizontal="left" vertical="top" wrapText="1"/>
    </xf>
    <xf numFmtId="3" fontId="4" fillId="6" borderId="10" xfId="0" applyNumberFormat="1" applyFont="1" applyFill="1" applyBorder="1" applyAlignment="1">
      <alignment horizontal="left" vertical="top" wrapText="1"/>
    </xf>
    <xf numFmtId="3" fontId="4" fillId="6" borderId="21" xfId="0" applyNumberFormat="1" applyFont="1" applyFill="1" applyBorder="1" applyAlignment="1">
      <alignment horizontal="left" vertical="top" wrapText="1"/>
    </xf>
    <xf numFmtId="165" fontId="4" fillId="6" borderId="40" xfId="0" applyNumberFormat="1" applyFont="1" applyFill="1" applyBorder="1" applyAlignment="1">
      <alignment horizontal="left" vertical="top" wrapText="1"/>
    </xf>
    <xf numFmtId="165" fontId="4" fillId="6" borderId="45" xfId="0" applyNumberFormat="1" applyFont="1" applyFill="1" applyBorder="1" applyAlignment="1">
      <alignment horizontal="left" vertical="top" wrapText="1"/>
    </xf>
    <xf numFmtId="0" fontId="4" fillId="2" borderId="105" xfId="0" applyNumberFormat="1" applyFont="1" applyFill="1" applyBorder="1" applyAlignment="1">
      <alignment horizontal="left" vertical="top" wrapText="1"/>
    </xf>
    <xf numFmtId="0" fontId="4" fillId="2" borderId="106" xfId="0" applyNumberFormat="1" applyFont="1" applyFill="1" applyBorder="1" applyAlignment="1">
      <alignment horizontal="left" vertical="top" wrapText="1"/>
    </xf>
    <xf numFmtId="3" fontId="4" fillId="2" borderId="18" xfId="0" applyNumberFormat="1" applyFont="1" applyFill="1" applyBorder="1" applyAlignment="1">
      <alignment horizontal="left" vertical="top" wrapText="1"/>
    </xf>
    <xf numFmtId="3" fontId="4" fillId="2" borderId="100" xfId="0" applyNumberFormat="1" applyFont="1" applyFill="1" applyBorder="1" applyAlignment="1">
      <alignment horizontal="left" vertical="top" wrapText="1"/>
    </xf>
    <xf numFmtId="3" fontId="4" fillId="6" borderId="40" xfId="0" applyNumberFormat="1" applyFont="1" applyFill="1" applyBorder="1" applyAlignment="1">
      <alignment horizontal="left" vertical="top" wrapText="1"/>
    </xf>
    <xf numFmtId="3" fontId="4" fillId="6" borderId="11" xfId="0" applyNumberFormat="1" applyFont="1" applyFill="1" applyBorder="1" applyAlignment="1">
      <alignment horizontal="left" vertical="top" wrapText="1"/>
    </xf>
    <xf numFmtId="3" fontId="16" fillId="6" borderId="11" xfId="0" applyNumberFormat="1" applyFont="1" applyFill="1" applyBorder="1" applyAlignment="1">
      <alignment horizontal="left" vertical="top" wrapText="1"/>
    </xf>
    <xf numFmtId="3" fontId="4" fillId="6" borderId="40" xfId="0" applyNumberFormat="1" applyFont="1" applyFill="1" applyBorder="1" applyAlignment="1">
      <alignment horizontal="center" vertical="top" wrapText="1"/>
    </xf>
    <xf numFmtId="3" fontId="4" fillId="6" borderId="11" xfId="0" applyNumberFormat="1" applyFont="1" applyFill="1" applyBorder="1" applyAlignment="1">
      <alignment horizontal="center" vertical="top" wrapText="1"/>
    </xf>
    <xf numFmtId="3" fontId="6" fillId="6" borderId="3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31" fillId="0" borderId="8" xfId="0" applyNumberFormat="1" applyFont="1" applyBorder="1" applyAlignment="1">
      <alignment horizontal="center" vertical="center" wrapText="1"/>
    </xf>
    <xf numFmtId="3" fontId="31" fillId="0" borderId="85" xfId="0" applyNumberFormat="1" applyFont="1" applyBorder="1" applyAlignment="1">
      <alignment horizontal="center" vertical="center" wrapText="1"/>
    </xf>
    <xf numFmtId="3" fontId="31" fillId="0" borderId="9"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30"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3" fontId="10" fillId="0" borderId="7" xfId="0" applyNumberFormat="1" applyFont="1" applyBorder="1" applyAlignment="1">
      <alignment horizontal="center" vertical="center" wrapText="1"/>
    </xf>
    <xf numFmtId="0" fontId="0" fillId="0" borderId="26" xfId="0" applyBorder="1" applyAlignment="1">
      <alignment horizontal="center" vertical="center" wrapText="1"/>
    </xf>
    <xf numFmtId="166" fontId="4" fillId="0" borderId="7" xfId="0" applyNumberFormat="1" applyFont="1" applyBorder="1" applyAlignment="1">
      <alignment horizontal="center" vertical="center" wrapText="1"/>
    </xf>
    <xf numFmtId="0" fontId="8" fillId="3" borderId="31"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6" fillId="4" borderId="39" xfId="0" applyFont="1" applyFill="1" applyBorder="1" applyAlignment="1">
      <alignment horizontal="left" vertical="top" wrapText="1"/>
    </xf>
    <xf numFmtId="0" fontId="0" fillId="0" borderId="41" xfId="0" applyBorder="1" applyAlignment="1">
      <alignment wrapText="1"/>
    </xf>
    <xf numFmtId="0" fontId="0" fillId="0" borderId="12" xfId="0" applyBorder="1" applyAlignment="1">
      <alignment wrapText="1"/>
    </xf>
    <xf numFmtId="3" fontId="6" fillId="0" borderId="0" xfId="0" applyNumberFormat="1" applyFont="1" applyFill="1" applyBorder="1" applyAlignment="1">
      <alignment horizontal="center" vertical="top" wrapText="1"/>
    </xf>
    <xf numFmtId="0" fontId="4" fillId="17" borderId="40" xfId="0" applyFont="1" applyFill="1" applyBorder="1" applyAlignment="1">
      <alignment vertical="top" wrapText="1"/>
    </xf>
    <xf numFmtId="0" fontId="4" fillId="17" borderId="57" xfId="0" applyFont="1" applyFill="1" applyBorder="1" applyAlignment="1">
      <alignment vertical="top" wrapText="1"/>
    </xf>
    <xf numFmtId="0" fontId="4" fillId="6" borderId="40" xfId="0" applyFont="1" applyFill="1" applyBorder="1" applyAlignment="1">
      <alignment vertical="top" wrapText="1"/>
    </xf>
    <xf numFmtId="0" fontId="0" fillId="0" borderId="57" xfId="0" applyFont="1" applyBorder="1" applyAlignment="1">
      <alignment vertical="top" wrapText="1"/>
    </xf>
    <xf numFmtId="0" fontId="4" fillId="6" borderId="15" xfId="0" applyFont="1" applyFill="1" applyBorder="1" applyAlignment="1">
      <alignment vertical="top" wrapText="1"/>
    </xf>
    <xf numFmtId="3" fontId="6" fillId="5" borderId="0" xfId="0" applyNumberFormat="1" applyFont="1" applyFill="1" applyBorder="1" applyAlignment="1">
      <alignment horizontal="left" vertical="top"/>
    </xf>
    <xf numFmtId="3" fontId="6" fillId="6" borderId="3" xfId="0" applyNumberFormat="1" applyFont="1" applyFill="1" applyBorder="1" applyAlignment="1">
      <alignment vertical="top" wrapText="1"/>
    </xf>
    <xf numFmtId="0" fontId="0" fillId="0" borderId="57" xfId="0" applyBorder="1" applyAlignment="1">
      <alignment vertical="top" wrapText="1"/>
    </xf>
    <xf numFmtId="3" fontId="4" fillId="17" borderId="40" xfId="0" applyNumberFormat="1" applyFont="1" applyFill="1" applyBorder="1" applyAlignment="1">
      <alignment vertical="top" wrapText="1"/>
    </xf>
    <xf numFmtId="3" fontId="4" fillId="17" borderId="11" xfId="0" applyNumberFormat="1" applyFont="1" applyFill="1" applyBorder="1" applyAlignment="1">
      <alignment vertical="top" wrapText="1"/>
    </xf>
    <xf numFmtId="49" fontId="6" fillId="5" borderId="11" xfId="0" applyNumberFormat="1" applyFont="1" applyFill="1" applyBorder="1" applyAlignment="1">
      <alignment horizontal="center" vertical="top"/>
    </xf>
    <xf numFmtId="49" fontId="6" fillId="5" borderId="22" xfId="0" applyNumberFormat="1" applyFont="1" applyFill="1" applyBorder="1" applyAlignment="1">
      <alignment horizontal="center" vertical="top"/>
    </xf>
    <xf numFmtId="0" fontId="4" fillId="2" borderId="40" xfId="0" applyFont="1" applyFill="1" applyBorder="1" applyAlignment="1">
      <alignment horizontal="left" vertical="top" wrapText="1"/>
    </xf>
    <xf numFmtId="0" fontId="0" fillId="2" borderId="11" xfId="0" applyFill="1" applyBorder="1" applyAlignment="1">
      <alignment wrapText="1"/>
    </xf>
    <xf numFmtId="49" fontId="5" fillId="6" borderId="40" xfId="0" applyNumberFormat="1" applyFont="1" applyFill="1" applyBorder="1" applyAlignment="1">
      <alignment horizontal="center" vertical="top" textRotation="90" wrapText="1"/>
    </xf>
    <xf numFmtId="0" fontId="0" fillId="6" borderId="57" xfId="0" applyFill="1" applyBorder="1" applyAlignment="1">
      <alignment vertical="top" wrapText="1"/>
    </xf>
    <xf numFmtId="3" fontId="6" fillId="4" borderId="10" xfId="0" applyNumberFormat="1" applyFont="1" applyFill="1" applyBorder="1" applyAlignment="1">
      <alignment horizontal="center" vertical="top"/>
    </xf>
    <xf numFmtId="3" fontId="6" fillId="5" borderId="11" xfId="0" applyNumberFormat="1" applyFont="1" applyFill="1" applyBorder="1" applyAlignment="1">
      <alignment horizontal="center" vertical="top"/>
    </xf>
    <xf numFmtId="3" fontId="4" fillId="0" borderId="57" xfId="0" applyNumberFormat="1" applyFont="1" applyFill="1" applyBorder="1" applyAlignment="1">
      <alignment horizontal="left" vertical="top" wrapText="1"/>
    </xf>
    <xf numFmtId="3" fontId="6" fillId="9" borderId="31" xfId="0" applyNumberFormat="1" applyFont="1" applyFill="1" applyBorder="1" applyAlignment="1">
      <alignment horizontal="right" vertical="top" wrapText="1"/>
    </xf>
    <xf numFmtId="3" fontId="6" fillId="9" borderId="19" xfId="0" applyNumberFormat="1" applyFont="1" applyFill="1" applyBorder="1" applyAlignment="1">
      <alignment horizontal="right" vertical="top" wrapText="1"/>
    </xf>
    <xf numFmtId="3" fontId="6" fillId="9" borderId="20" xfId="0" applyNumberFormat="1" applyFont="1" applyFill="1" applyBorder="1" applyAlignment="1">
      <alignment horizontal="right" vertical="top" wrapText="1"/>
    </xf>
    <xf numFmtId="3" fontId="4" fillId="0" borderId="35" xfId="0" applyNumberFormat="1" applyFont="1" applyBorder="1" applyAlignment="1">
      <alignment horizontal="left" vertical="top" wrapText="1"/>
    </xf>
    <xf numFmtId="3" fontId="4" fillId="0" borderId="57" xfId="0" applyNumberFormat="1" applyFont="1" applyBorder="1" applyAlignment="1">
      <alignment vertical="top" wrapText="1"/>
    </xf>
    <xf numFmtId="3" fontId="4" fillId="0" borderId="58" xfId="0" applyNumberFormat="1" applyFont="1" applyBorder="1" applyAlignment="1">
      <alignment vertical="top" wrapText="1"/>
    </xf>
    <xf numFmtId="3" fontId="4" fillId="6" borderId="31" xfId="0" applyNumberFormat="1" applyFont="1" applyFill="1" applyBorder="1" applyAlignment="1">
      <alignment horizontal="left" vertical="top" wrapText="1"/>
    </xf>
    <xf numFmtId="3" fontId="4" fillId="6" borderId="19" xfId="0" applyNumberFormat="1" applyFont="1" applyFill="1" applyBorder="1" applyAlignment="1">
      <alignment horizontal="left" vertical="top" wrapText="1"/>
    </xf>
    <xf numFmtId="3" fontId="4" fillId="6" borderId="20" xfId="0" applyNumberFormat="1" applyFont="1" applyFill="1" applyBorder="1" applyAlignment="1">
      <alignment horizontal="left" vertical="top" wrapText="1"/>
    </xf>
    <xf numFmtId="3" fontId="6" fillId="5" borderId="72" xfId="0" applyNumberFormat="1" applyFont="1" applyFill="1" applyBorder="1" applyAlignment="1">
      <alignment horizontal="right" vertical="top"/>
    </xf>
    <xf numFmtId="3" fontId="6" fillId="5" borderId="73" xfId="0" applyNumberFormat="1" applyFont="1" applyFill="1" applyBorder="1" applyAlignment="1">
      <alignment horizontal="right" vertical="top"/>
    </xf>
    <xf numFmtId="3" fontId="6" fillId="5" borderId="74" xfId="0" applyNumberFormat="1" applyFont="1" applyFill="1" applyBorder="1" applyAlignment="1">
      <alignment horizontal="right" vertical="top"/>
    </xf>
    <xf numFmtId="3" fontId="6" fillId="5" borderId="76" xfId="0" applyNumberFormat="1" applyFont="1" applyFill="1" applyBorder="1" applyAlignment="1">
      <alignment horizontal="center" vertical="top"/>
    </xf>
    <xf numFmtId="3" fontId="6" fillId="5" borderId="73" xfId="0" applyNumberFormat="1" applyFont="1" applyFill="1" applyBorder="1" applyAlignment="1">
      <alignment horizontal="center" vertical="top"/>
    </xf>
    <xf numFmtId="3" fontId="6" fillId="5" borderId="74" xfId="0" applyNumberFormat="1" applyFont="1" applyFill="1" applyBorder="1" applyAlignment="1">
      <alignment horizontal="center" vertical="top"/>
    </xf>
    <xf numFmtId="3" fontId="6" fillId="4" borderId="72" xfId="0" applyNumberFormat="1" applyFont="1" applyFill="1" applyBorder="1" applyAlignment="1">
      <alignment horizontal="right" vertical="top"/>
    </xf>
    <xf numFmtId="3" fontId="6" fillId="4" borderId="73" xfId="0" applyNumberFormat="1" applyFont="1" applyFill="1" applyBorder="1" applyAlignment="1">
      <alignment horizontal="right" vertical="top"/>
    </xf>
    <xf numFmtId="3" fontId="6" fillId="4" borderId="74" xfId="0" applyNumberFormat="1" applyFont="1" applyFill="1" applyBorder="1" applyAlignment="1">
      <alignment horizontal="right" vertical="top"/>
    </xf>
    <xf numFmtId="3" fontId="6" fillId="4" borderId="76" xfId="0" applyNumberFormat="1" applyFont="1" applyFill="1" applyBorder="1" applyAlignment="1">
      <alignment horizontal="center" vertical="top"/>
    </xf>
    <xf numFmtId="3" fontId="6" fillId="4" borderId="73" xfId="0" applyNumberFormat="1" applyFont="1" applyFill="1" applyBorder="1" applyAlignment="1">
      <alignment horizontal="center" vertical="top"/>
    </xf>
    <xf numFmtId="3" fontId="6" fillId="4" borderId="74" xfId="0" applyNumberFormat="1" applyFont="1" applyFill="1" applyBorder="1" applyAlignment="1">
      <alignment horizontal="center" vertical="top"/>
    </xf>
    <xf numFmtId="0" fontId="30" fillId="0" borderId="0" xfId="0" applyFont="1" applyAlignment="1">
      <alignment horizontal="center" vertical="top" wrapText="1"/>
    </xf>
    <xf numFmtId="0" fontId="0" fillId="0" borderId="0" xfId="0" applyAlignment="1">
      <alignment horizontal="center" vertical="top" wrapText="1"/>
    </xf>
    <xf numFmtId="0" fontId="3" fillId="0" borderId="0" xfId="0" applyFont="1" applyAlignment="1">
      <alignment horizontal="center" vertical="top" wrapText="1"/>
    </xf>
    <xf numFmtId="0" fontId="29" fillId="0" borderId="0" xfId="0" applyFont="1" applyAlignment="1">
      <alignment horizontal="center" wrapText="1"/>
    </xf>
    <xf numFmtId="0" fontId="0" fillId="0" borderId="0" xfId="0" applyAlignment="1">
      <alignment horizontal="center" wrapText="1"/>
    </xf>
    <xf numFmtId="0" fontId="4" fillId="0" borderId="1" xfId="0" applyFont="1" applyBorder="1" applyAlignment="1">
      <alignment horizontal="right" vertical="top" wrapText="1"/>
    </xf>
    <xf numFmtId="0" fontId="0" fillId="0" borderId="1" xfId="0" applyBorder="1" applyAlignment="1">
      <alignment horizontal="right" vertical="top" wrapTex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 xfId="0" applyFont="1" applyBorder="1" applyAlignment="1">
      <alignment horizontal="center" vertical="center" textRotation="90" shrinkToFit="1"/>
    </xf>
    <xf numFmtId="0" fontId="4" fillId="0" borderId="11" xfId="0" applyFont="1" applyBorder="1" applyAlignment="1">
      <alignment horizontal="center" vertical="center" textRotation="90" shrinkToFit="1"/>
    </xf>
    <xf numFmtId="0" fontId="4" fillId="0" borderId="22" xfId="0" applyFont="1" applyBorder="1" applyAlignment="1">
      <alignment horizontal="center" vertical="center" textRotation="90" shrinkToFit="1"/>
    </xf>
    <xf numFmtId="3" fontId="10" fillId="0" borderId="50" xfId="0" applyNumberFormat="1" applyFont="1" applyBorder="1" applyAlignment="1">
      <alignment horizontal="center" vertical="center" wrapText="1"/>
    </xf>
    <xf numFmtId="0" fontId="4" fillId="0" borderId="40" xfId="0" applyFont="1" applyBorder="1" applyAlignment="1">
      <alignment horizontal="center" vertical="center" textRotation="90" wrapText="1"/>
    </xf>
    <xf numFmtId="0" fontId="4" fillId="0" borderId="22" xfId="0" applyFont="1" applyBorder="1" applyAlignment="1">
      <alignment horizontal="center" vertical="center" textRotation="90" wrapText="1"/>
    </xf>
    <xf numFmtId="49" fontId="4" fillId="0" borderId="40" xfId="0" applyNumberFormat="1" applyFont="1" applyBorder="1" applyAlignment="1">
      <alignment horizontal="center" vertical="top" textRotation="90" wrapText="1"/>
    </xf>
    <xf numFmtId="49" fontId="4" fillId="0" borderId="22" xfId="0" applyNumberFormat="1" applyFont="1" applyBorder="1" applyAlignment="1">
      <alignment horizontal="center" vertical="top" textRotation="90" wrapText="1"/>
    </xf>
    <xf numFmtId="49" fontId="6" fillId="2" borderId="5" xfId="0" applyNumberFormat="1" applyFont="1" applyFill="1" applyBorder="1" applyAlignment="1">
      <alignment horizontal="left" vertical="top" wrapText="1"/>
    </xf>
    <xf numFmtId="49" fontId="6" fillId="2" borderId="30"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wrapText="1"/>
    </xf>
    <xf numFmtId="0" fontId="4" fillId="0" borderId="2" xfId="0" applyFont="1" applyBorder="1" applyAlignment="1">
      <alignment horizontal="center" vertical="center" textRotation="90" shrinkToFit="1"/>
    </xf>
    <xf numFmtId="0" fontId="4" fillId="0" borderId="10" xfId="0" applyFont="1" applyBorder="1" applyAlignment="1">
      <alignment horizontal="center" vertical="center" textRotation="90" shrinkToFit="1"/>
    </xf>
    <xf numFmtId="0" fontId="4" fillId="0" borderId="21" xfId="0" applyFont="1" applyBorder="1" applyAlignment="1">
      <alignment horizontal="center" vertical="center" textRotation="90" shrinkToFit="1"/>
    </xf>
    <xf numFmtId="49" fontId="4" fillId="0" borderId="3" xfId="0" applyNumberFormat="1" applyFont="1" applyBorder="1" applyAlignment="1">
      <alignment horizontal="center" vertical="center" textRotation="90" shrinkToFit="1"/>
    </xf>
    <xf numFmtId="49" fontId="4" fillId="0" borderId="11" xfId="0" applyNumberFormat="1" applyFont="1" applyBorder="1" applyAlignment="1">
      <alignment horizontal="center" vertical="center" textRotation="90" shrinkToFit="1"/>
    </xf>
    <xf numFmtId="49" fontId="4" fillId="0" borderId="22" xfId="0" applyNumberFormat="1" applyFont="1" applyBorder="1" applyAlignment="1">
      <alignment horizontal="center" vertical="center" textRotation="90" shrinkToFit="1"/>
    </xf>
    <xf numFmtId="0" fontId="4" fillId="0" borderId="62" xfId="0" applyNumberFormat="1" applyFont="1" applyBorder="1" applyAlignment="1">
      <alignment horizontal="center" vertical="center" textRotation="90" shrinkToFit="1"/>
    </xf>
    <xf numFmtId="0" fontId="4" fillId="0" borderId="33" xfId="0" applyNumberFormat="1" applyFont="1" applyBorder="1" applyAlignment="1">
      <alignment horizontal="center" vertical="center" textRotation="90" shrinkToFit="1"/>
    </xf>
    <xf numFmtId="0" fontId="4" fillId="0" borderId="28" xfId="0" applyNumberFormat="1" applyFont="1" applyBorder="1" applyAlignment="1">
      <alignment horizontal="center" vertical="center" textRotation="90" shrinkToFit="1"/>
    </xf>
    <xf numFmtId="0" fontId="4" fillId="0" borderId="7" xfId="0" applyFont="1" applyBorder="1" applyAlignment="1">
      <alignment horizontal="center" vertical="center" textRotation="90" shrinkToFit="1"/>
    </xf>
    <xf numFmtId="0" fontId="4" fillId="0" borderId="14" xfId="0" applyFont="1" applyBorder="1" applyAlignment="1">
      <alignment horizontal="center" vertical="center" textRotation="90" shrinkToFit="1"/>
    </xf>
    <xf numFmtId="0" fontId="4" fillId="0" borderId="26" xfId="0" applyFont="1" applyBorder="1" applyAlignment="1">
      <alignment horizontal="center" vertical="center" textRotation="90" shrinkToFit="1"/>
    </xf>
    <xf numFmtId="0" fontId="10" fillId="0" borderId="5" xfId="0" applyFont="1" applyBorder="1" applyAlignment="1">
      <alignment horizontal="center" vertical="center" wrapText="1"/>
    </xf>
    <xf numFmtId="0" fontId="10"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wrapText="1"/>
    </xf>
    <xf numFmtId="3" fontId="6" fillId="9" borderId="24" xfId="0" applyNumberFormat="1" applyFont="1" applyFill="1" applyBorder="1" applyAlignment="1">
      <alignment horizontal="right" vertical="top" wrapText="1"/>
    </xf>
    <xf numFmtId="3" fontId="6" fillId="9" borderId="1" xfId="0" applyNumberFormat="1" applyFont="1" applyFill="1" applyBorder="1" applyAlignment="1">
      <alignment horizontal="right" vertical="top" wrapText="1"/>
    </xf>
    <xf numFmtId="3" fontId="6" fillId="9" borderId="25" xfId="0" applyNumberFormat="1" applyFont="1" applyFill="1" applyBorder="1" applyAlignment="1">
      <alignment horizontal="right" vertical="top" wrapText="1"/>
    </xf>
    <xf numFmtId="3" fontId="5" fillId="0" borderId="0" xfId="0" applyNumberFormat="1" applyFont="1" applyAlignment="1">
      <alignment horizontal="center" vertical="top"/>
    </xf>
    <xf numFmtId="3" fontId="4" fillId="9" borderId="35" xfId="0" applyNumberFormat="1" applyFont="1" applyFill="1" applyBorder="1" applyAlignment="1">
      <alignment horizontal="left" vertical="top" wrapText="1"/>
    </xf>
    <xf numFmtId="3" fontId="4" fillId="9" borderId="57" xfId="0" applyNumberFormat="1" applyFont="1" applyFill="1" applyBorder="1" applyAlignment="1">
      <alignment vertical="top" wrapText="1"/>
    </xf>
    <xf numFmtId="3" fontId="4" fillId="9" borderId="58" xfId="0" applyNumberFormat="1" applyFont="1" applyFill="1" applyBorder="1" applyAlignment="1">
      <alignment vertical="top" wrapText="1"/>
    </xf>
    <xf numFmtId="3" fontId="6" fillId="3" borderId="32" xfId="0" applyNumberFormat="1" applyFont="1" applyFill="1" applyBorder="1" applyAlignment="1">
      <alignment horizontal="right" vertical="top" wrapText="1"/>
    </xf>
    <xf numFmtId="3" fontId="4" fillId="3" borderId="52" xfId="0" applyNumberFormat="1" applyFont="1" applyFill="1" applyBorder="1" applyAlignment="1">
      <alignment vertical="top" wrapText="1"/>
    </xf>
    <xf numFmtId="3" fontId="4" fillId="3" borderId="101" xfId="0" applyNumberFormat="1" applyFont="1" applyFill="1" applyBorder="1" applyAlignment="1">
      <alignment vertical="top" wrapText="1"/>
    </xf>
    <xf numFmtId="3" fontId="4" fillId="8" borderId="31" xfId="0" applyNumberFormat="1" applyFont="1"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3" fontId="4" fillId="0" borderId="31" xfId="0" applyNumberFormat="1" applyFont="1" applyBorder="1" applyAlignment="1">
      <alignment horizontal="left" vertical="top" wrapText="1"/>
    </xf>
    <xf numFmtId="3" fontId="4" fillId="0" borderId="19" xfId="0" applyNumberFormat="1" applyFont="1" applyBorder="1" applyAlignment="1">
      <alignment horizontal="left" vertical="top" wrapText="1"/>
    </xf>
    <xf numFmtId="3" fontId="4" fillId="0" borderId="20" xfId="0" applyNumberFormat="1" applyFont="1" applyBorder="1" applyAlignment="1">
      <alignment horizontal="left" vertical="top" wrapText="1"/>
    </xf>
    <xf numFmtId="3" fontId="4" fillId="0" borderId="32" xfId="0" applyNumberFormat="1" applyFont="1" applyBorder="1" applyAlignment="1">
      <alignment horizontal="left" vertical="top" wrapText="1"/>
    </xf>
    <xf numFmtId="3" fontId="4" fillId="0" borderId="52" xfId="0" applyNumberFormat="1" applyFont="1" applyBorder="1" applyAlignment="1">
      <alignment vertical="top" wrapText="1"/>
    </xf>
    <xf numFmtId="3" fontId="4" fillId="0" borderId="16" xfId="0" applyNumberFormat="1" applyFont="1" applyBorder="1" applyAlignment="1">
      <alignment vertical="top" wrapText="1"/>
    </xf>
    <xf numFmtId="3" fontId="4" fillId="8" borderId="19" xfId="0" applyNumberFormat="1" applyFont="1" applyFill="1" applyBorder="1" applyAlignment="1">
      <alignment horizontal="left" vertical="top" wrapText="1"/>
    </xf>
    <xf numFmtId="3" fontId="6" fillId="4" borderId="2" xfId="0" applyNumberFormat="1" applyFont="1" applyFill="1" applyBorder="1" applyAlignment="1">
      <alignment horizontal="center" vertical="top"/>
    </xf>
    <xf numFmtId="3" fontId="6" fillId="4" borderId="21" xfId="0" applyNumberFormat="1" applyFont="1" applyFill="1" applyBorder="1" applyAlignment="1">
      <alignment horizontal="center" vertical="top"/>
    </xf>
    <xf numFmtId="3" fontId="6" fillId="5" borderId="3" xfId="0" applyNumberFormat="1" applyFont="1" applyFill="1" applyBorder="1" applyAlignment="1">
      <alignment horizontal="center" vertical="top"/>
    </xf>
    <xf numFmtId="3" fontId="6" fillId="5" borderId="22"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6" borderId="11" xfId="0" applyNumberFormat="1" applyFont="1" applyFill="1" applyBorder="1" applyAlignment="1">
      <alignment horizontal="center" vertical="top"/>
    </xf>
    <xf numFmtId="49" fontId="6" fillId="6" borderId="22" xfId="0" applyNumberFormat="1" applyFont="1" applyFill="1" applyBorder="1" applyAlignment="1">
      <alignment horizontal="center" vertical="top"/>
    </xf>
    <xf numFmtId="3" fontId="4" fillId="6" borderId="4" xfId="0" applyNumberFormat="1" applyFont="1" applyFill="1" applyBorder="1" applyAlignment="1">
      <alignment vertical="top" wrapText="1"/>
    </xf>
    <xf numFmtId="3" fontId="4" fillId="6" borderId="12" xfId="0" applyNumberFormat="1" applyFont="1" applyFill="1" applyBorder="1" applyAlignment="1">
      <alignment vertical="top" wrapText="1"/>
    </xf>
    <xf numFmtId="3" fontId="4" fillId="6" borderId="23" xfId="0" applyNumberFormat="1" applyFont="1" applyFill="1" applyBorder="1" applyAlignment="1">
      <alignment vertical="top" wrapText="1"/>
    </xf>
    <xf numFmtId="3" fontId="5" fillId="0" borderId="3" xfId="0" applyNumberFormat="1" applyFont="1" applyFill="1" applyBorder="1" applyAlignment="1">
      <alignment horizontal="center" vertical="top" wrapText="1"/>
    </xf>
    <xf numFmtId="3" fontId="5" fillId="0" borderId="11"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0" fontId="16" fillId="6" borderId="11" xfId="0" applyFont="1" applyFill="1" applyBorder="1" applyAlignment="1">
      <alignment horizontal="left" vertical="top" wrapText="1"/>
    </xf>
    <xf numFmtId="3" fontId="4" fillId="6" borderId="16" xfId="0" applyNumberFormat="1" applyFont="1" applyFill="1" applyBorder="1" applyAlignment="1">
      <alignment horizontal="left" vertical="top" wrapText="1"/>
    </xf>
    <xf numFmtId="0" fontId="0" fillId="0" borderId="11" xfId="0" applyFont="1" applyBorder="1" applyAlignment="1">
      <alignment vertical="top" wrapText="1"/>
    </xf>
    <xf numFmtId="3" fontId="6" fillId="3" borderId="2" xfId="0" applyNumberFormat="1" applyFont="1" applyFill="1" applyBorder="1" applyAlignment="1">
      <alignment horizontal="right" vertical="top" wrapText="1"/>
    </xf>
    <xf numFmtId="3" fontId="4" fillId="3" borderId="3" xfId="0" applyNumberFormat="1" applyFont="1" applyFill="1" applyBorder="1" applyAlignment="1">
      <alignment vertical="top" wrapText="1"/>
    </xf>
    <xf numFmtId="3" fontId="4" fillId="3" borderId="4" xfId="0" applyNumberFormat="1" applyFont="1" applyFill="1" applyBorder="1" applyAlignment="1">
      <alignment vertical="top" wrapText="1"/>
    </xf>
    <xf numFmtId="3" fontId="4" fillId="6" borderId="3" xfId="0" applyNumberFormat="1" applyFont="1" applyFill="1" applyBorder="1" applyAlignment="1">
      <alignment vertical="top" wrapText="1"/>
    </xf>
    <xf numFmtId="3" fontId="4" fillId="6" borderId="11" xfId="0" applyNumberFormat="1" applyFont="1" applyFill="1" applyBorder="1" applyAlignment="1">
      <alignment vertical="top" wrapText="1"/>
    </xf>
    <xf numFmtId="3" fontId="5" fillId="6" borderId="40" xfId="0" applyNumberFormat="1" applyFont="1" applyFill="1" applyBorder="1" applyAlignment="1">
      <alignment horizontal="center" vertical="center" textRotation="90" wrapText="1"/>
    </xf>
    <xf numFmtId="0" fontId="16" fillId="6" borderId="11" xfId="0" applyFont="1" applyFill="1" applyBorder="1" applyAlignment="1">
      <alignment horizontal="center" wrapText="1"/>
    </xf>
    <xf numFmtId="3" fontId="6" fillId="0" borderId="4" xfId="1" applyNumberFormat="1" applyFont="1" applyBorder="1" applyAlignment="1">
      <alignment horizontal="center" vertical="top"/>
    </xf>
    <xf numFmtId="3" fontId="6" fillId="0" borderId="12" xfId="1" applyNumberFormat="1" applyFont="1" applyBorder="1" applyAlignment="1">
      <alignment horizontal="center" vertical="top"/>
    </xf>
    <xf numFmtId="3" fontId="6" fillId="0" borderId="23" xfId="1" applyNumberFormat="1" applyFont="1" applyBorder="1" applyAlignment="1">
      <alignment horizontal="center" vertical="top"/>
    </xf>
    <xf numFmtId="49" fontId="6" fillId="6" borderId="64" xfId="0" applyNumberFormat="1" applyFont="1" applyFill="1" applyBorder="1" applyAlignment="1">
      <alignment horizontal="center" vertical="top"/>
    </xf>
    <xf numFmtId="49" fontId="6" fillId="6" borderId="27" xfId="0" applyNumberFormat="1" applyFont="1" applyFill="1" applyBorder="1" applyAlignment="1">
      <alignment horizontal="center" vertical="top"/>
    </xf>
    <xf numFmtId="0" fontId="0" fillId="0" borderId="11" xfId="0" applyBorder="1" applyAlignment="1">
      <alignment vertical="top" wrapText="1"/>
    </xf>
    <xf numFmtId="0" fontId="0" fillId="0" borderId="10" xfId="0" applyBorder="1" applyAlignment="1">
      <alignment horizontal="left" vertical="top" wrapText="1"/>
    </xf>
    <xf numFmtId="3" fontId="6" fillId="3" borderId="72" xfId="0" applyNumberFormat="1" applyFont="1" applyFill="1" applyBorder="1" applyAlignment="1">
      <alignment horizontal="right" vertical="top"/>
    </xf>
    <xf numFmtId="3" fontId="6" fillId="3" borderId="73" xfId="0" applyNumberFormat="1" applyFont="1" applyFill="1" applyBorder="1" applyAlignment="1">
      <alignment horizontal="right" vertical="top"/>
    </xf>
    <xf numFmtId="3" fontId="6" fillId="3" borderId="74" xfId="0" applyNumberFormat="1" applyFont="1" applyFill="1" applyBorder="1" applyAlignment="1">
      <alignment horizontal="right" vertical="top"/>
    </xf>
    <xf numFmtId="3" fontId="6" fillId="3" borderId="76" xfId="0" applyNumberFormat="1" applyFont="1" applyFill="1" applyBorder="1" applyAlignment="1">
      <alignment horizontal="center" vertical="top"/>
    </xf>
    <xf numFmtId="3" fontId="6" fillId="3" borderId="73" xfId="0" applyNumberFormat="1" applyFont="1" applyFill="1" applyBorder="1" applyAlignment="1">
      <alignment horizontal="center" vertical="top"/>
    </xf>
    <xf numFmtId="3" fontId="6" fillId="3" borderId="74" xfId="0" applyNumberFormat="1" applyFont="1" applyFill="1" applyBorder="1" applyAlignment="1">
      <alignment horizontal="center" vertical="top"/>
    </xf>
    <xf numFmtId="0" fontId="4" fillId="0" borderId="0" xfId="0" applyNumberFormat="1" applyFont="1" applyFill="1" applyBorder="1" applyAlignment="1">
      <alignment horizontal="left" vertical="top" wrapText="1"/>
    </xf>
    <xf numFmtId="0" fontId="11" fillId="0" borderId="0" xfId="0" applyFont="1" applyBorder="1" applyAlignment="1">
      <alignment horizontal="left" vertical="top" wrapText="1"/>
    </xf>
    <xf numFmtId="49" fontId="6" fillId="4" borderId="10" xfId="0" applyNumberFormat="1" applyFont="1" applyFill="1" applyBorder="1" applyAlignment="1">
      <alignment horizontal="center" vertical="top"/>
    </xf>
    <xf numFmtId="49" fontId="6" fillId="4" borderId="21" xfId="0" applyNumberFormat="1" applyFont="1" applyFill="1" applyBorder="1" applyAlignment="1">
      <alignment horizontal="center" vertical="top"/>
    </xf>
    <xf numFmtId="3" fontId="4" fillId="6" borderId="3" xfId="0" applyNumberFormat="1" applyFont="1" applyFill="1" applyBorder="1" applyAlignment="1">
      <alignment horizontal="left" vertical="top" wrapText="1"/>
    </xf>
    <xf numFmtId="3" fontId="4" fillId="6" borderId="22" xfId="0" applyNumberFormat="1" applyFont="1" applyFill="1" applyBorder="1" applyAlignment="1">
      <alignment horizontal="left" vertical="top" wrapText="1"/>
    </xf>
    <xf numFmtId="3" fontId="5" fillId="0" borderId="11" xfId="0" applyNumberFormat="1" applyFont="1" applyFill="1" applyBorder="1" applyAlignment="1">
      <alignment horizontal="right" vertical="top"/>
    </xf>
    <xf numFmtId="3" fontId="5" fillId="0" borderId="22" xfId="0" applyNumberFormat="1" applyFont="1" applyFill="1" applyBorder="1" applyAlignment="1">
      <alignment horizontal="right" vertical="top"/>
    </xf>
    <xf numFmtId="3" fontId="6" fillId="0" borderId="4" xfId="0" applyNumberFormat="1" applyFont="1" applyFill="1" applyBorder="1" applyAlignment="1">
      <alignment horizontal="center" vertical="top"/>
    </xf>
    <xf numFmtId="3" fontId="6" fillId="0" borderId="23" xfId="0" applyNumberFormat="1" applyFont="1" applyFill="1" applyBorder="1" applyAlignment="1">
      <alignment horizontal="center" vertical="top"/>
    </xf>
    <xf numFmtId="3" fontId="6" fillId="0" borderId="62" xfId="0" applyNumberFormat="1" applyFont="1" applyBorder="1" applyAlignment="1">
      <alignment horizontal="center" vertical="top"/>
    </xf>
    <xf numFmtId="3" fontId="6" fillId="0" borderId="28" xfId="0" applyNumberFormat="1" applyFont="1" applyBorder="1" applyAlignment="1">
      <alignment horizontal="center" vertical="top"/>
    </xf>
    <xf numFmtId="3" fontId="6" fillId="0" borderId="33" xfId="0" applyNumberFormat="1" applyFont="1" applyBorder="1" applyAlignment="1">
      <alignment horizontal="center" vertical="top"/>
    </xf>
    <xf numFmtId="3" fontId="6" fillId="5" borderId="12" xfId="0" applyNumberFormat="1" applyFont="1" applyFill="1" applyBorder="1" applyAlignment="1">
      <alignment horizontal="center" vertical="top"/>
    </xf>
    <xf numFmtId="49" fontId="4" fillId="6" borderId="40" xfId="0" applyNumberFormat="1" applyFont="1" applyFill="1" applyBorder="1" applyAlignment="1">
      <alignment horizontal="center" vertical="top"/>
    </xf>
    <xf numFmtId="49" fontId="4" fillId="6" borderId="11" xfId="0" applyNumberFormat="1" applyFont="1" applyFill="1" applyBorder="1" applyAlignment="1">
      <alignment horizontal="center" vertical="top"/>
    </xf>
    <xf numFmtId="0" fontId="4" fillId="6" borderId="11" xfId="0" applyFont="1" applyFill="1" applyBorder="1" applyAlignment="1">
      <alignment vertical="top" wrapText="1"/>
    </xf>
    <xf numFmtId="0" fontId="16" fillId="6" borderId="57" xfId="0" applyFont="1" applyFill="1" applyBorder="1" applyAlignment="1">
      <alignment vertical="top" wrapText="1"/>
    </xf>
    <xf numFmtId="3" fontId="4" fillId="6" borderId="39" xfId="0" applyNumberFormat="1" applyFont="1" applyFill="1" applyBorder="1" applyAlignment="1">
      <alignment horizontal="left" vertical="top" wrapText="1"/>
    </xf>
    <xf numFmtId="3" fontId="4" fillId="6" borderId="58" xfId="0" applyNumberFormat="1" applyFont="1" applyFill="1" applyBorder="1" applyAlignment="1">
      <alignment horizontal="left" vertical="top" wrapText="1"/>
    </xf>
    <xf numFmtId="3" fontId="4" fillId="6" borderId="57" xfId="0" applyNumberFormat="1"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35" xfId="0" applyFont="1" applyFill="1" applyBorder="1" applyAlignment="1">
      <alignment horizontal="left" vertical="top" wrapText="1"/>
    </xf>
    <xf numFmtId="0" fontId="16" fillId="6" borderId="57" xfId="0" applyFont="1" applyFill="1" applyBorder="1" applyAlignment="1">
      <alignment horizontal="left" vertical="top" wrapText="1"/>
    </xf>
    <xf numFmtId="3" fontId="10" fillId="6" borderId="67" xfId="0" applyNumberFormat="1" applyFont="1" applyFill="1" applyBorder="1" applyAlignment="1">
      <alignment horizontal="left" vertical="top" wrapText="1"/>
    </xf>
    <xf numFmtId="3" fontId="10" fillId="6" borderId="58" xfId="0" applyNumberFormat="1" applyFont="1" applyFill="1" applyBorder="1" applyAlignment="1">
      <alignment horizontal="left" vertical="top" wrapText="1"/>
    </xf>
    <xf numFmtId="3" fontId="10" fillId="6" borderId="37" xfId="0" applyNumberFormat="1" applyFont="1" applyFill="1" applyBorder="1" applyAlignment="1">
      <alignment horizontal="left" vertical="top" wrapText="1"/>
    </xf>
    <xf numFmtId="3" fontId="6" fillId="0" borderId="12" xfId="0" applyNumberFormat="1" applyFont="1" applyFill="1" applyBorder="1" applyAlignment="1">
      <alignment horizontal="center" vertical="top"/>
    </xf>
    <xf numFmtId="3" fontId="4" fillId="0" borderId="10" xfId="0" applyNumberFormat="1" applyFont="1" applyBorder="1" applyAlignment="1">
      <alignment vertical="top" wrapText="1"/>
    </xf>
    <xf numFmtId="3" fontId="4" fillId="0" borderId="21" xfId="0" applyNumberFormat="1" applyFont="1" applyBorder="1" applyAlignment="1">
      <alignment vertical="top" wrapText="1"/>
    </xf>
    <xf numFmtId="0" fontId="0" fillId="0" borderId="57" xfId="0" applyFont="1" applyBorder="1" applyAlignment="1">
      <alignment horizontal="left" vertical="top" wrapText="1"/>
    </xf>
    <xf numFmtId="3" fontId="4" fillId="6" borderId="15" xfId="0" applyNumberFormat="1" applyFont="1" applyFill="1" applyBorder="1" applyAlignment="1">
      <alignment horizontal="left" vertical="top" wrapText="1"/>
    </xf>
    <xf numFmtId="0" fontId="0" fillId="0" borderId="35" xfId="0" applyBorder="1" applyAlignment="1">
      <alignment horizontal="left" vertical="top" wrapText="1"/>
    </xf>
    <xf numFmtId="3" fontId="4" fillId="6" borderId="57" xfId="0" applyNumberFormat="1" applyFont="1" applyFill="1" applyBorder="1" applyAlignment="1">
      <alignment vertical="top" wrapText="1"/>
    </xf>
    <xf numFmtId="3" fontId="11" fillId="6" borderId="40" xfId="0" applyNumberFormat="1" applyFont="1" applyFill="1" applyBorder="1" applyAlignment="1">
      <alignment vertical="top" wrapText="1"/>
    </xf>
    <xf numFmtId="3" fontId="4" fillId="6" borderId="40" xfId="0" applyNumberFormat="1" applyFont="1" applyFill="1" applyBorder="1" applyAlignment="1">
      <alignment vertical="top" wrapText="1"/>
    </xf>
    <xf numFmtId="0" fontId="4" fillId="6" borderId="10" xfId="0" applyFont="1" applyFill="1" applyBorder="1" applyAlignment="1">
      <alignment horizontal="left" vertical="top" wrapText="1"/>
    </xf>
    <xf numFmtId="0" fontId="4" fillId="2" borderId="84" xfId="0" applyFont="1" applyFill="1" applyBorder="1" applyAlignment="1">
      <alignment horizontal="left" vertical="top" wrapText="1"/>
    </xf>
    <xf numFmtId="0" fontId="16" fillId="2" borderId="47" xfId="0" applyFont="1" applyFill="1" applyBorder="1" applyAlignment="1">
      <alignment horizontal="left" vertical="top" wrapText="1"/>
    </xf>
    <xf numFmtId="3" fontId="6" fillId="6" borderId="58" xfId="0" applyNumberFormat="1" applyFont="1" applyFill="1" applyBorder="1" applyAlignment="1">
      <alignment horizontal="center" vertical="top"/>
    </xf>
    <xf numFmtId="0" fontId="16" fillId="6" borderId="47" xfId="0" applyFont="1" applyFill="1" applyBorder="1" applyAlignment="1">
      <alignment vertical="top" wrapText="1"/>
    </xf>
    <xf numFmtId="49" fontId="4" fillId="0" borderId="39" xfId="0" applyNumberFormat="1" applyFont="1" applyBorder="1" applyAlignment="1">
      <alignment horizontal="center" vertical="top" wrapText="1"/>
    </xf>
    <xf numFmtId="0" fontId="16" fillId="0" borderId="93" xfId="0" applyFont="1" applyBorder="1" applyAlignment="1">
      <alignment vertical="top" wrapText="1"/>
    </xf>
    <xf numFmtId="3" fontId="19" fillId="6" borderId="15" xfId="0" applyNumberFormat="1" applyFont="1" applyFill="1" applyBorder="1" applyAlignment="1">
      <alignment vertical="top" wrapText="1"/>
    </xf>
    <xf numFmtId="0" fontId="37" fillId="6" borderId="35" xfId="0" applyFont="1" applyFill="1" applyBorder="1" applyAlignment="1">
      <alignment vertical="top" wrapText="1"/>
    </xf>
    <xf numFmtId="3" fontId="6" fillId="6" borderId="3" xfId="0" applyNumberFormat="1" applyFont="1" applyFill="1" applyBorder="1" applyAlignment="1">
      <alignment horizontal="left" vertical="top" wrapText="1"/>
    </xf>
    <xf numFmtId="3" fontId="6" fillId="6" borderId="11" xfId="0" applyNumberFormat="1" applyFont="1" applyFill="1" applyBorder="1" applyAlignment="1">
      <alignment horizontal="left" vertical="top" wrapText="1"/>
    </xf>
    <xf numFmtId="3" fontId="6" fillId="6" borderId="57" xfId="0" applyNumberFormat="1" applyFont="1" applyFill="1" applyBorder="1" applyAlignment="1">
      <alignment horizontal="left" vertical="top" wrapText="1"/>
    </xf>
    <xf numFmtId="3" fontId="4" fillId="6" borderId="35" xfId="0" applyNumberFormat="1" applyFont="1" applyFill="1" applyBorder="1" applyAlignment="1">
      <alignment vertical="top" wrapText="1"/>
    </xf>
    <xf numFmtId="0" fontId="4" fillId="6" borderId="35" xfId="0" applyFont="1" applyFill="1" applyBorder="1" applyAlignment="1">
      <alignment vertical="top" wrapText="1"/>
    </xf>
    <xf numFmtId="3" fontId="5" fillId="0" borderId="40" xfId="0" applyNumberFormat="1" applyFont="1" applyFill="1" applyBorder="1" applyAlignment="1">
      <alignment horizontal="center" vertical="top" wrapText="1"/>
    </xf>
    <xf numFmtId="3" fontId="5" fillId="0" borderId="57" xfId="0" applyNumberFormat="1" applyFont="1" applyFill="1" applyBorder="1" applyAlignment="1">
      <alignment horizontal="center" vertical="top" wrapText="1"/>
    </xf>
    <xf numFmtId="3" fontId="6" fillId="5" borderId="4" xfId="0" applyNumberFormat="1" applyFont="1" applyFill="1" applyBorder="1" applyAlignment="1">
      <alignment horizontal="center" vertical="top"/>
    </xf>
    <xf numFmtId="3" fontId="6" fillId="5" borderId="23" xfId="0" applyNumberFormat="1" applyFont="1" applyFill="1" applyBorder="1" applyAlignment="1">
      <alignment horizontal="center" vertical="top"/>
    </xf>
    <xf numFmtId="3" fontId="6" fillId="6" borderId="3" xfId="0" applyNumberFormat="1" applyFont="1" applyFill="1" applyBorder="1" applyAlignment="1">
      <alignment horizontal="center" vertical="top"/>
    </xf>
    <xf numFmtId="3" fontId="6" fillId="6" borderId="22" xfId="0" applyNumberFormat="1" applyFont="1" applyFill="1" applyBorder="1" applyAlignment="1">
      <alignment horizontal="center" vertical="top"/>
    </xf>
    <xf numFmtId="3" fontId="4" fillId="0" borderId="30" xfId="0" applyNumberFormat="1" applyFont="1" applyBorder="1" applyAlignment="1">
      <alignment horizontal="center" vertical="top"/>
    </xf>
    <xf numFmtId="3" fontId="4" fillId="0" borderId="0" xfId="0" applyNumberFormat="1" applyFont="1" applyBorder="1" applyAlignment="1">
      <alignment horizontal="center" vertical="top"/>
    </xf>
    <xf numFmtId="3" fontId="4" fillId="0" borderId="1" xfId="0" applyNumberFormat="1" applyFont="1" applyBorder="1" applyAlignment="1">
      <alignment horizontal="center" vertical="top"/>
    </xf>
    <xf numFmtId="3" fontId="4" fillId="0" borderId="2" xfId="0" applyNumberFormat="1" applyFont="1" applyBorder="1" applyAlignment="1">
      <alignment horizontal="left" vertical="top" wrapText="1"/>
    </xf>
    <xf numFmtId="3" fontId="4" fillId="0" borderId="10" xfId="0" applyNumberFormat="1" applyFont="1" applyBorder="1" applyAlignment="1">
      <alignment horizontal="left" vertical="top" wrapText="1"/>
    </xf>
    <xf numFmtId="3" fontId="4" fillId="0" borderId="21" xfId="0" applyNumberFormat="1" applyFont="1" applyBorder="1" applyAlignment="1">
      <alignment horizontal="left" vertical="top" wrapText="1"/>
    </xf>
    <xf numFmtId="3" fontId="6" fillId="6" borderId="11" xfId="0" applyNumberFormat="1" applyFont="1" applyFill="1" applyBorder="1" applyAlignment="1">
      <alignment horizontal="center" vertical="top"/>
    </xf>
    <xf numFmtId="3" fontId="4" fillId="6" borderId="30"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49" fontId="4" fillId="6" borderId="40" xfId="0" applyNumberFormat="1" applyFont="1" applyFill="1" applyBorder="1" applyAlignment="1">
      <alignment horizontal="center" vertical="top" wrapText="1"/>
    </xf>
    <xf numFmtId="0" fontId="0" fillId="0" borderId="45" xfId="0" applyBorder="1" applyAlignment="1">
      <alignment vertical="top" wrapText="1"/>
    </xf>
    <xf numFmtId="3" fontId="4" fillId="0" borderId="7" xfId="0" applyNumberFormat="1" applyFont="1" applyBorder="1" applyAlignment="1">
      <alignment horizontal="center" vertical="top" wrapText="1"/>
    </xf>
    <xf numFmtId="0" fontId="0" fillId="0" borderId="38" xfId="0" applyBorder="1" applyAlignment="1">
      <alignment horizontal="center" vertical="top" wrapText="1"/>
    </xf>
    <xf numFmtId="0" fontId="4" fillId="0" borderId="15" xfId="0" applyFont="1" applyFill="1" applyBorder="1" applyAlignment="1">
      <alignment horizontal="left" vertical="top" wrapText="1"/>
    </xf>
    <xf numFmtId="0" fontId="4" fillId="0" borderId="47" xfId="0" applyFont="1" applyFill="1" applyBorder="1" applyAlignment="1">
      <alignment horizontal="left" vertical="top" wrapText="1"/>
    </xf>
    <xf numFmtId="3" fontId="16" fillId="6" borderId="22" xfId="0" applyNumberFormat="1" applyFont="1" applyFill="1" applyBorder="1" applyAlignment="1">
      <alignment horizontal="left" vertical="top" wrapText="1"/>
    </xf>
    <xf numFmtId="0" fontId="4" fillId="0" borderId="112" xfId="0" applyFont="1" applyFill="1" applyBorder="1" applyAlignment="1">
      <alignment horizontal="left" vertical="top" wrapText="1"/>
    </xf>
    <xf numFmtId="0" fontId="4" fillId="0" borderId="78" xfId="0" applyFont="1" applyFill="1" applyBorder="1" applyAlignment="1">
      <alignment horizontal="left" vertical="top" wrapText="1"/>
    </xf>
    <xf numFmtId="49" fontId="4" fillId="0" borderId="40" xfId="0" applyNumberFormat="1" applyFont="1" applyBorder="1" applyAlignment="1">
      <alignment horizontal="center" vertical="top" wrapText="1"/>
    </xf>
    <xf numFmtId="3" fontId="6" fillId="0" borderId="4" xfId="0" applyNumberFormat="1" applyFont="1" applyBorder="1" applyAlignment="1">
      <alignment horizontal="center" vertical="top"/>
    </xf>
    <xf numFmtId="3" fontId="6" fillId="0" borderId="12" xfId="0" applyNumberFormat="1" applyFont="1" applyBorder="1" applyAlignment="1">
      <alignment horizontal="center" vertical="top"/>
    </xf>
    <xf numFmtId="3" fontId="6" fillId="0" borderId="23" xfId="0" applyNumberFormat="1" applyFont="1" applyBorder="1" applyAlignment="1">
      <alignment horizontal="center" vertical="top"/>
    </xf>
    <xf numFmtId="3" fontId="4" fillId="6" borderId="50" xfId="0" applyNumberFormat="1" applyFont="1" applyFill="1" applyBorder="1" applyAlignment="1">
      <alignment horizontal="center" vertical="top" wrapText="1"/>
    </xf>
    <xf numFmtId="0" fontId="16" fillId="0" borderId="14" xfId="0" applyFont="1" applyBorder="1" applyAlignment="1">
      <alignment horizontal="center" vertical="top" wrapText="1"/>
    </xf>
    <xf numFmtId="3" fontId="4" fillId="0" borderId="50" xfId="0" applyNumberFormat="1" applyFont="1" applyBorder="1" applyAlignment="1">
      <alignment horizontal="center" vertical="top" wrapText="1"/>
    </xf>
    <xf numFmtId="3" fontId="4" fillId="0" borderId="14" xfId="0" applyNumberFormat="1" applyFont="1" applyBorder="1" applyAlignment="1">
      <alignment horizontal="center" vertical="top" wrapText="1"/>
    </xf>
    <xf numFmtId="3" fontId="16" fillId="0" borderId="38" xfId="0" applyNumberFormat="1" applyFont="1" applyBorder="1" applyAlignment="1">
      <alignment horizontal="center" vertical="top" wrapText="1"/>
    </xf>
    <xf numFmtId="3" fontId="4" fillId="0" borderId="26" xfId="0" applyNumberFormat="1" applyFont="1" applyBorder="1" applyAlignment="1">
      <alignment horizontal="center" vertical="top" wrapText="1"/>
    </xf>
    <xf numFmtId="0" fontId="0" fillId="0" borderId="35" xfId="0" applyBorder="1" applyAlignment="1">
      <alignment vertical="top" wrapText="1"/>
    </xf>
    <xf numFmtId="0" fontId="5" fillId="0" borderId="3" xfId="0" applyFont="1" applyFill="1" applyBorder="1" applyAlignment="1">
      <alignment horizontal="center" vertical="center" textRotation="90" wrapText="1"/>
    </xf>
    <xf numFmtId="0" fontId="5" fillId="0" borderId="11" xfId="0" applyFont="1" applyFill="1" applyBorder="1" applyAlignment="1">
      <alignment horizontal="center" vertical="center" textRotation="90" wrapText="1"/>
    </xf>
    <xf numFmtId="0" fontId="5" fillId="0" borderId="22" xfId="0" applyFont="1" applyFill="1" applyBorder="1" applyAlignment="1">
      <alignment horizontal="center" vertical="center" textRotation="90" wrapText="1"/>
    </xf>
    <xf numFmtId="49" fontId="6" fillId="0" borderId="81" xfId="0" applyNumberFormat="1" applyFont="1" applyBorder="1" applyAlignment="1">
      <alignment horizontal="center" vertical="top"/>
    </xf>
    <xf numFmtId="49" fontId="6" fillId="0" borderId="58" xfId="0" applyNumberFormat="1" applyFont="1" applyBorder="1" applyAlignment="1">
      <alignment horizontal="center" vertical="top"/>
    </xf>
    <xf numFmtId="49" fontId="6" fillId="0" borderId="82" xfId="0" applyNumberFormat="1" applyFont="1" applyBorder="1" applyAlignment="1">
      <alignment horizontal="center" vertical="top"/>
    </xf>
    <xf numFmtId="49" fontId="4" fillId="0" borderId="7" xfId="0" applyNumberFormat="1" applyFont="1" applyBorder="1" applyAlignment="1">
      <alignment horizontal="center" vertical="top" wrapText="1"/>
    </xf>
    <xf numFmtId="49" fontId="4" fillId="0" borderId="14" xfId="0" applyNumberFormat="1" applyFont="1" applyBorder="1" applyAlignment="1">
      <alignment horizontal="center" vertical="top" wrapText="1"/>
    </xf>
    <xf numFmtId="49" fontId="4" fillId="0" borderId="26" xfId="0" applyNumberFormat="1" applyFont="1" applyBorder="1" applyAlignment="1">
      <alignment horizontal="center" vertical="top" wrapText="1"/>
    </xf>
    <xf numFmtId="3" fontId="4" fillId="6" borderId="14" xfId="0" applyNumberFormat="1" applyFont="1" applyFill="1" applyBorder="1" applyAlignment="1">
      <alignment horizontal="center" vertical="top" wrapText="1"/>
    </xf>
    <xf numFmtId="0" fontId="16" fillId="0" borderId="38" xfId="0" applyFont="1" applyBorder="1" applyAlignment="1">
      <alignment vertical="top" wrapText="1"/>
    </xf>
    <xf numFmtId="0" fontId="0" fillId="0" borderId="14" xfId="0" applyBorder="1" applyAlignment="1">
      <alignment horizontal="center" vertical="top" wrapText="1"/>
    </xf>
    <xf numFmtId="3" fontId="4" fillId="0" borderId="15" xfId="0" applyNumberFormat="1" applyFont="1" applyBorder="1" applyAlignment="1">
      <alignment horizontal="left" vertical="top" wrapText="1"/>
    </xf>
    <xf numFmtId="0" fontId="0" fillId="0" borderId="47" xfId="0" applyBorder="1" applyAlignment="1">
      <alignment vertical="top" wrapText="1"/>
    </xf>
    <xf numFmtId="0" fontId="4" fillId="6" borderId="15" xfId="0" applyFont="1" applyFill="1" applyBorder="1" applyAlignment="1">
      <alignment horizontal="left" vertical="top" wrapText="1"/>
    </xf>
    <xf numFmtId="0" fontId="16" fillId="0" borderId="47" xfId="0" applyFont="1" applyBorder="1" applyAlignment="1">
      <alignment horizontal="left" vertical="top" wrapText="1"/>
    </xf>
    <xf numFmtId="0" fontId="4" fillId="10" borderId="40" xfId="0" applyFont="1" applyFill="1" applyBorder="1" applyAlignment="1">
      <alignment vertical="top" wrapText="1"/>
    </xf>
    <xf numFmtId="0" fontId="4" fillId="10" borderId="11" xfId="0" applyFont="1" applyFill="1" applyBorder="1" applyAlignment="1">
      <alignment vertical="top" wrapText="1"/>
    </xf>
    <xf numFmtId="0" fontId="0" fillId="0" borderId="57" xfId="0" applyBorder="1" applyAlignment="1">
      <alignment horizontal="left" vertical="top" wrapText="1"/>
    </xf>
    <xf numFmtId="0" fontId="0" fillId="0" borderId="38" xfId="0" applyBorder="1" applyAlignment="1">
      <alignment horizontal="center" wrapText="1"/>
    </xf>
    <xf numFmtId="49" fontId="6" fillId="6" borderId="101" xfId="0" applyNumberFormat="1" applyFont="1" applyFill="1" applyBorder="1" applyAlignment="1">
      <alignment horizontal="center" vertical="top"/>
    </xf>
    <xf numFmtId="3" fontId="4" fillId="6" borderId="41" xfId="0" applyNumberFormat="1" applyFont="1" applyFill="1" applyBorder="1" applyAlignment="1">
      <alignment horizontal="center" vertical="top" wrapText="1"/>
    </xf>
    <xf numFmtId="3" fontId="4" fillId="6" borderId="0" xfId="0" applyNumberFormat="1" applyFont="1" applyFill="1" applyBorder="1" applyAlignment="1">
      <alignment horizontal="center" vertical="top" wrapText="1"/>
    </xf>
    <xf numFmtId="3" fontId="6" fillId="9" borderId="12" xfId="0" applyNumberFormat="1" applyFont="1" applyFill="1" applyBorder="1" applyAlignment="1">
      <alignment horizontal="center" vertical="top"/>
    </xf>
    <xf numFmtId="3" fontId="6" fillId="6" borderId="64" xfId="0" applyNumberFormat="1" applyFont="1" applyFill="1" applyBorder="1" applyAlignment="1">
      <alignment horizontal="center" vertical="top"/>
    </xf>
    <xf numFmtId="3" fontId="6" fillId="6" borderId="27" xfId="0" applyNumberFormat="1" applyFont="1" applyFill="1" applyBorder="1" applyAlignment="1">
      <alignment horizontal="center" vertical="top"/>
    </xf>
    <xf numFmtId="3" fontId="4" fillId="0" borderId="64" xfId="0" applyNumberFormat="1" applyFont="1" applyBorder="1" applyAlignment="1">
      <alignment horizontal="center" vertical="top"/>
    </xf>
    <xf numFmtId="3" fontId="4" fillId="0" borderId="11" xfId="0" applyNumberFormat="1" applyFont="1" applyBorder="1" applyAlignment="1">
      <alignment horizontal="center" vertical="top"/>
    </xf>
    <xf numFmtId="3" fontId="4" fillId="0" borderId="27" xfId="0" applyNumberFormat="1" applyFont="1" applyBorder="1" applyAlignment="1">
      <alignment horizontal="center" vertical="top"/>
    </xf>
    <xf numFmtId="0" fontId="6" fillId="4" borderId="19" xfId="0" applyFont="1" applyFill="1" applyBorder="1" applyAlignment="1">
      <alignment horizontal="left" vertical="top" wrapText="1"/>
    </xf>
    <xf numFmtId="0" fontId="6" fillId="4" borderId="20" xfId="0" applyFont="1" applyFill="1" applyBorder="1" applyAlignment="1">
      <alignment horizontal="left" vertical="top" wrapText="1"/>
    </xf>
    <xf numFmtId="3" fontId="4" fillId="6" borderId="35" xfId="0" applyNumberFormat="1" applyFont="1" applyFill="1" applyBorder="1" applyAlignment="1">
      <alignment horizontal="left" vertical="top" wrapText="1"/>
    </xf>
    <xf numFmtId="3" fontId="10" fillId="6" borderId="40" xfId="0" applyNumberFormat="1" applyFont="1" applyFill="1" applyBorder="1" applyAlignment="1">
      <alignment horizontal="left" vertical="top" wrapText="1"/>
    </xf>
    <xf numFmtId="0" fontId="0" fillId="0" borderId="11" xfId="0" applyBorder="1" applyAlignment="1">
      <alignment horizontal="left" vertical="top" wrapText="1"/>
    </xf>
    <xf numFmtId="3" fontId="4" fillId="6" borderId="7" xfId="0" applyNumberFormat="1" applyFont="1" applyFill="1" applyBorder="1" applyAlignment="1">
      <alignment horizontal="center" vertical="top" wrapText="1"/>
    </xf>
    <xf numFmtId="3" fontId="4" fillId="6" borderId="26" xfId="0" applyNumberFormat="1" applyFont="1" applyFill="1" applyBorder="1" applyAlignment="1">
      <alignment horizontal="center" vertical="top" wrapText="1"/>
    </xf>
    <xf numFmtId="0" fontId="10" fillId="6" borderId="15" xfId="0" applyFont="1" applyFill="1" applyBorder="1" applyAlignment="1">
      <alignment horizontal="left" vertical="top" wrapText="1"/>
    </xf>
    <xf numFmtId="0" fontId="16" fillId="6" borderId="47" xfId="0" applyFont="1" applyFill="1" applyBorder="1" applyAlignment="1">
      <alignment horizontal="left" vertical="top" wrapText="1"/>
    </xf>
    <xf numFmtId="0" fontId="16" fillId="6" borderId="38" xfId="0" applyFont="1" applyFill="1" applyBorder="1" applyAlignment="1">
      <alignment horizontal="center" vertical="top" wrapText="1"/>
    </xf>
    <xf numFmtId="3" fontId="4" fillId="0" borderId="50" xfId="0" applyNumberFormat="1" applyFont="1" applyFill="1" applyBorder="1" applyAlignment="1">
      <alignment horizontal="center" vertical="top" wrapText="1"/>
    </xf>
    <xf numFmtId="0" fontId="16" fillId="0" borderId="14" xfId="0" applyFont="1" applyBorder="1" applyAlignment="1">
      <alignment vertical="top" wrapText="1"/>
    </xf>
    <xf numFmtId="0" fontId="0" fillId="0" borderId="14" xfId="0" applyBorder="1" applyAlignment="1">
      <alignment vertical="top" wrapText="1"/>
    </xf>
    <xf numFmtId="49" fontId="6" fillId="6" borderId="40" xfId="0" applyNumberFormat="1" applyFont="1" applyFill="1" applyBorder="1" applyAlignment="1">
      <alignment horizontal="center" vertical="top"/>
    </xf>
    <xf numFmtId="49" fontId="6" fillId="6" borderId="57" xfId="0" applyNumberFormat="1" applyFont="1" applyFill="1" applyBorder="1" applyAlignment="1">
      <alignment horizontal="center" vertical="top"/>
    </xf>
    <xf numFmtId="0" fontId="2" fillId="0" borderId="0" xfId="0" applyFont="1" applyAlignment="1">
      <alignment horizontal="center" vertical="top" wrapText="1"/>
    </xf>
    <xf numFmtId="3" fontId="6" fillId="9" borderId="11" xfId="0" applyNumberFormat="1" applyFont="1" applyFill="1" applyBorder="1" applyAlignment="1">
      <alignment horizontal="center" vertical="top"/>
    </xf>
    <xf numFmtId="49" fontId="4" fillId="0" borderId="18" xfId="0" applyNumberFormat="1" applyFont="1" applyBorder="1" applyAlignment="1">
      <alignment horizontal="center" vertical="top" wrapText="1"/>
    </xf>
    <xf numFmtId="0" fontId="0" fillId="0" borderId="106" xfId="0" applyBorder="1" applyAlignment="1">
      <alignment vertical="top" wrapText="1"/>
    </xf>
    <xf numFmtId="3" fontId="4" fillId="6" borderId="62" xfId="0" applyNumberFormat="1" applyFont="1" applyFill="1" applyBorder="1" applyAlignment="1">
      <alignment horizontal="center" vertical="top"/>
    </xf>
    <xf numFmtId="3" fontId="4" fillId="6" borderId="33" xfId="0" applyNumberFormat="1" applyFont="1" applyFill="1" applyBorder="1" applyAlignment="1">
      <alignment horizontal="center" vertical="top"/>
    </xf>
    <xf numFmtId="3" fontId="4" fillId="6" borderId="28" xfId="0" applyNumberFormat="1" applyFont="1" applyFill="1" applyBorder="1" applyAlignment="1">
      <alignment horizontal="center" vertical="top"/>
    </xf>
    <xf numFmtId="0" fontId="16" fillId="0" borderId="11" xfId="0" applyFont="1" applyBorder="1" applyAlignment="1">
      <alignment horizontal="left" vertical="top" wrapText="1"/>
    </xf>
    <xf numFmtId="0" fontId="16" fillId="0" borderId="57" xfId="0" applyFont="1" applyBorder="1" applyAlignment="1">
      <alignment horizontal="left" vertical="top" wrapText="1"/>
    </xf>
    <xf numFmtId="3" fontId="5" fillId="0" borderId="41" xfId="0" applyNumberFormat="1"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59" xfId="0" applyNumberFormat="1" applyFont="1" applyFill="1" applyBorder="1" applyAlignment="1">
      <alignment horizontal="center" vertical="top" wrapText="1"/>
    </xf>
    <xf numFmtId="3" fontId="4" fillId="0" borderId="62" xfId="0" applyNumberFormat="1" applyFont="1" applyBorder="1" applyAlignment="1">
      <alignment horizontal="center" vertical="top"/>
    </xf>
    <xf numFmtId="3" fontId="4" fillId="0" borderId="33" xfId="0" applyNumberFormat="1" applyFont="1" applyBorder="1" applyAlignment="1">
      <alignment horizontal="center" vertical="top"/>
    </xf>
    <xf numFmtId="3" fontId="4" fillId="0" borderId="28" xfId="0" applyNumberFormat="1" applyFont="1" applyBorder="1" applyAlignment="1">
      <alignment horizontal="center" vertical="top"/>
    </xf>
    <xf numFmtId="0" fontId="4" fillId="0" borderId="0" xfId="0" applyFont="1" applyAlignment="1">
      <alignment horizontal="right" wrapText="1"/>
    </xf>
    <xf numFmtId="0" fontId="17" fillId="0" borderId="0" xfId="0" applyFont="1" applyAlignment="1">
      <alignment horizontal="right"/>
    </xf>
    <xf numFmtId="0" fontId="2" fillId="0" borderId="0" xfId="0" applyFont="1" applyAlignment="1">
      <alignment horizontal="center" vertical="top"/>
    </xf>
    <xf numFmtId="0" fontId="4" fillId="0" borderId="1" xfId="0" applyFont="1" applyBorder="1" applyAlignment="1">
      <alignment horizontal="right" vertical="top"/>
    </xf>
    <xf numFmtId="3" fontId="4" fillId="0" borderId="2" xfId="0" applyNumberFormat="1" applyFont="1" applyBorder="1" applyAlignment="1">
      <alignment horizontal="center" vertical="center" textRotation="90" shrinkToFit="1"/>
    </xf>
    <xf numFmtId="3" fontId="4" fillId="0" borderId="10" xfId="0" applyNumberFormat="1" applyFont="1" applyBorder="1" applyAlignment="1">
      <alignment horizontal="center" vertical="center" textRotation="90" shrinkToFit="1"/>
    </xf>
    <xf numFmtId="3" fontId="4" fillId="0" borderId="21" xfId="0" applyNumberFormat="1" applyFont="1" applyBorder="1" applyAlignment="1">
      <alignment horizontal="center" vertical="center" textRotation="90" shrinkToFit="1"/>
    </xf>
    <xf numFmtId="3" fontId="4" fillId="0" borderId="3" xfId="0" applyNumberFormat="1" applyFont="1" applyBorder="1" applyAlignment="1">
      <alignment horizontal="center" vertical="center" textRotation="90" shrinkToFit="1"/>
    </xf>
    <xf numFmtId="3" fontId="4" fillId="0" borderId="11" xfId="0" applyNumberFormat="1" applyFont="1" applyBorder="1" applyAlignment="1">
      <alignment horizontal="center" vertical="center" textRotation="90" shrinkToFit="1"/>
    </xf>
    <xf numFmtId="3" fontId="4" fillId="0" borderId="22" xfId="0" applyNumberFormat="1" applyFont="1" applyBorder="1" applyAlignment="1">
      <alignment horizontal="center" vertical="center" textRotation="90" shrinkToFit="1"/>
    </xf>
    <xf numFmtId="3" fontId="4" fillId="0" borderId="4" xfId="0" applyNumberFormat="1" applyFont="1" applyBorder="1" applyAlignment="1">
      <alignment horizontal="center" vertical="center" shrinkToFit="1"/>
    </xf>
    <xf numFmtId="3" fontId="4" fillId="0" borderId="12" xfId="0" applyNumberFormat="1" applyFont="1" applyBorder="1" applyAlignment="1">
      <alignment horizontal="center" vertical="center" shrinkToFit="1"/>
    </xf>
    <xf numFmtId="3" fontId="4" fillId="0" borderId="23" xfId="0" applyNumberFormat="1" applyFont="1" applyBorder="1" applyAlignment="1">
      <alignment horizontal="center" vertical="center" shrinkToFit="1"/>
    </xf>
    <xf numFmtId="3" fontId="4" fillId="0" borderId="4" xfId="0" applyNumberFormat="1" applyFont="1" applyBorder="1" applyAlignment="1">
      <alignment horizontal="center" vertical="center" textRotation="90" shrinkToFit="1"/>
    </xf>
    <xf numFmtId="3" fontId="4" fillId="0" borderId="12" xfId="0" applyNumberFormat="1" applyFont="1" applyBorder="1" applyAlignment="1">
      <alignment horizontal="center" vertical="center" textRotation="90" shrinkToFit="1"/>
    </xf>
    <xf numFmtId="3" fontId="4" fillId="0" borderId="23" xfId="0" applyNumberFormat="1" applyFont="1" applyBorder="1" applyAlignment="1">
      <alignment horizontal="center" vertical="center" textRotation="90" shrinkToFit="1"/>
    </xf>
    <xf numFmtId="0" fontId="6" fillId="0" borderId="8" xfId="0" applyFont="1" applyBorder="1" applyAlignment="1">
      <alignment horizontal="center" vertical="center"/>
    </xf>
    <xf numFmtId="0" fontId="6" fillId="0" borderId="85" xfId="0" applyFont="1" applyBorder="1" applyAlignment="1">
      <alignment horizontal="center" vertical="center"/>
    </xf>
    <xf numFmtId="0" fontId="6" fillId="0" borderId="9" xfId="0" applyFont="1" applyBorder="1" applyAlignment="1">
      <alignment horizontal="center" vertical="center"/>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3" fontId="4" fillId="0" borderId="7" xfId="0" applyNumberFormat="1" applyFont="1" applyBorder="1" applyAlignment="1">
      <alignment horizontal="center" vertical="center" textRotation="90" wrapText="1" shrinkToFit="1"/>
    </xf>
    <xf numFmtId="3" fontId="4" fillId="0" borderId="14" xfId="0" applyNumberFormat="1" applyFont="1" applyBorder="1" applyAlignment="1">
      <alignment horizontal="center" vertical="center" textRotation="90" wrapText="1" shrinkToFit="1"/>
    </xf>
    <xf numFmtId="3" fontId="4" fillId="0" borderId="26" xfId="0" applyNumberFormat="1" applyFont="1" applyBorder="1" applyAlignment="1">
      <alignment horizontal="center" vertical="center" textRotation="90" wrapText="1" shrinkToFit="1"/>
    </xf>
    <xf numFmtId="0" fontId="4" fillId="0" borderId="7"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26" xfId="0" applyFont="1" applyBorder="1" applyAlignment="1">
      <alignment horizontal="center" vertical="center" textRotation="90" wrapText="1"/>
    </xf>
    <xf numFmtId="0" fontId="21" fillId="0" borderId="0" xfId="0" applyFont="1" applyAlignment="1">
      <alignment horizontal="center" wrapTex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3" fontId="4" fillId="0" borderId="62" xfId="0" applyNumberFormat="1" applyFont="1" applyFill="1" applyBorder="1" applyAlignment="1">
      <alignment horizontal="center" vertical="center" textRotation="90" wrapText="1" shrinkToFit="1"/>
    </xf>
    <xf numFmtId="3" fontId="4" fillId="0" borderId="33" xfId="0" applyNumberFormat="1" applyFont="1" applyFill="1" applyBorder="1" applyAlignment="1">
      <alignment horizontal="center" vertical="center" textRotation="90" wrapText="1" shrinkToFit="1"/>
    </xf>
    <xf numFmtId="3" fontId="4" fillId="0" borderId="28" xfId="0" applyNumberFormat="1" applyFont="1" applyFill="1" applyBorder="1" applyAlignment="1">
      <alignment horizontal="center" vertical="center" textRotation="90" wrapText="1" shrinkToFit="1"/>
    </xf>
    <xf numFmtId="3" fontId="4" fillId="0" borderId="4" xfId="0" applyNumberFormat="1" applyFont="1" applyBorder="1" applyAlignment="1">
      <alignment horizontal="center" vertical="center" textRotation="90" wrapText="1"/>
    </xf>
    <xf numFmtId="3" fontId="4" fillId="0" borderId="12" xfId="0" applyNumberFormat="1" applyFont="1" applyBorder="1" applyAlignment="1">
      <alignment horizontal="center" vertical="center" textRotation="90" wrapText="1"/>
    </xf>
    <xf numFmtId="3" fontId="4" fillId="0" borderId="23" xfId="0" applyNumberFormat="1" applyFont="1" applyBorder="1" applyAlignment="1">
      <alignment horizontal="center" vertical="center" textRotation="90" wrapText="1"/>
    </xf>
    <xf numFmtId="0" fontId="0" fillId="0" borderId="14" xfId="0" applyFont="1" applyBorder="1" applyAlignment="1">
      <alignment horizontal="center" vertical="center" textRotation="90" wrapText="1"/>
    </xf>
    <xf numFmtId="0" fontId="0" fillId="0" borderId="26" xfId="0" applyFont="1" applyBorder="1" applyAlignment="1">
      <alignment horizontal="center" vertical="center" textRotation="90" wrapText="1"/>
    </xf>
    <xf numFmtId="3" fontId="4" fillId="9" borderId="36" xfId="0" applyNumberFormat="1" applyFont="1" applyFill="1" applyBorder="1" applyAlignment="1">
      <alignment horizontal="left" vertical="top" wrapText="1"/>
    </xf>
    <xf numFmtId="49" fontId="6" fillId="9" borderId="11" xfId="0" applyNumberFormat="1" applyFont="1" applyFill="1" applyBorder="1" applyAlignment="1">
      <alignment horizontal="center" vertical="top"/>
    </xf>
    <xf numFmtId="49" fontId="5" fillId="0" borderId="57" xfId="0" applyNumberFormat="1" applyFont="1" applyFill="1" applyBorder="1" applyAlignment="1">
      <alignment horizontal="center" vertical="center" textRotation="90" wrapText="1"/>
    </xf>
    <xf numFmtId="3" fontId="4" fillId="0" borderId="36" xfId="0" applyNumberFormat="1" applyFont="1" applyBorder="1" applyAlignment="1">
      <alignment horizontal="left" vertical="top" wrapText="1"/>
    </xf>
    <xf numFmtId="3" fontId="6" fillId="3" borderId="17" xfId="0" applyNumberFormat="1" applyFont="1" applyFill="1" applyBorder="1" applyAlignment="1">
      <alignment horizontal="right" vertical="top" wrapText="1"/>
    </xf>
    <xf numFmtId="3" fontId="4" fillId="3" borderId="16" xfId="0" applyNumberFormat="1" applyFont="1" applyFill="1" applyBorder="1" applyAlignment="1">
      <alignment vertical="top" wrapText="1"/>
    </xf>
    <xf numFmtId="49" fontId="6" fillId="6" borderId="4" xfId="0" applyNumberFormat="1" applyFont="1" applyFill="1" applyBorder="1" applyAlignment="1">
      <alignment horizontal="center" vertical="top"/>
    </xf>
    <xf numFmtId="49" fontId="6" fillId="6" borderId="12" xfId="0" applyNumberFormat="1" applyFont="1" applyFill="1" applyBorder="1" applyAlignment="1">
      <alignment horizontal="center" vertical="top"/>
    </xf>
    <xf numFmtId="49" fontId="6" fillId="6" borderId="23" xfId="0" applyNumberFormat="1" applyFont="1" applyFill="1" applyBorder="1" applyAlignment="1">
      <alignment horizontal="center" vertical="top"/>
    </xf>
    <xf numFmtId="0" fontId="4" fillId="6" borderId="64" xfId="0" applyFont="1" applyFill="1" applyBorder="1" applyAlignment="1">
      <alignment horizontal="left" vertical="top" wrapText="1"/>
    </xf>
    <xf numFmtId="0" fontId="4" fillId="6" borderId="57" xfId="0" applyFont="1" applyFill="1" applyBorder="1" applyAlignment="1">
      <alignment horizontal="left" vertical="top" wrapText="1"/>
    </xf>
    <xf numFmtId="0" fontId="4" fillId="6" borderId="27" xfId="0" applyFont="1" applyFill="1" applyBorder="1" applyAlignment="1">
      <alignment horizontal="left" vertical="top" wrapText="1"/>
    </xf>
    <xf numFmtId="0" fontId="4" fillId="6" borderId="14" xfId="1" applyNumberFormat="1" applyFont="1" applyFill="1" applyBorder="1" applyAlignment="1">
      <alignment horizontal="center" vertical="top" wrapText="1"/>
    </xf>
    <xf numFmtId="0" fontId="16" fillId="0" borderId="38" xfId="0" applyFont="1" applyBorder="1" applyAlignment="1">
      <alignment horizontal="center" vertical="top" wrapText="1"/>
    </xf>
    <xf numFmtId="3" fontId="4" fillId="0" borderId="17" xfId="0" applyNumberFormat="1" applyFont="1" applyBorder="1" applyAlignment="1">
      <alignment horizontal="left" vertical="top" wrapText="1"/>
    </xf>
    <xf numFmtId="0" fontId="16" fillId="6" borderId="35" xfId="0" applyFont="1" applyFill="1" applyBorder="1" applyAlignment="1">
      <alignment vertical="top" wrapText="1"/>
    </xf>
    <xf numFmtId="0" fontId="4" fillId="6" borderId="21" xfId="0" applyFont="1" applyFill="1" applyBorder="1" applyAlignment="1">
      <alignment horizontal="left" vertical="top" wrapText="1"/>
    </xf>
    <xf numFmtId="49" fontId="6" fillId="9" borderId="12" xfId="0" applyNumberFormat="1" applyFont="1" applyFill="1" applyBorder="1" applyAlignment="1">
      <alignment horizontal="center" vertical="top"/>
    </xf>
    <xf numFmtId="49" fontId="6" fillId="9" borderId="23" xfId="0" applyNumberFormat="1" applyFont="1" applyFill="1" applyBorder="1" applyAlignment="1">
      <alignment horizontal="center" vertical="top"/>
    </xf>
    <xf numFmtId="3" fontId="4" fillId="6" borderId="52" xfId="0" applyNumberFormat="1" applyFont="1" applyFill="1" applyBorder="1" applyAlignment="1">
      <alignment horizontal="left" vertical="top" wrapText="1"/>
    </xf>
    <xf numFmtId="3" fontId="4" fillId="6" borderId="50" xfId="1" applyNumberFormat="1" applyFont="1" applyFill="1" applyBorder="1" applyAlignment="1">
      <alignment horizontal="center" vertical="top" wrapText="1"/>
    </xf>
    <xf numFmtId="0" fontId="0" fillId="6" borderId="14" xfId="0" applyFont="1" applyFill="1" applyBorder="1" applyAlignment="1">
      <alignment horizontal="center" vertical="top" wrapText="1"/>
    </xf>
    <xf numFmtId="3" fontId="4" fillId="8" borderId="30" xfId="0" applyNumberFormat="1" applyFont="1" applyFill="1" applyBorder="1" applyAlignment="1">
      <alignment horizontal="left" vertical="top" wrapText="1"/>
    </xf>
    <xf numFmtId="0" fontId="0" fillId="0" borderId="30" xfId="0" applyBorder="1" applyAlignment="1">
      <alignment horizontal="left" vertical="top" wrapText="1"/>
    </xf>
    <xf numFmtId="49" fontId="6" fillId="5" borderId="3" xfId="0" applyNumberFormat="1" applyFont="1" applyFill="1" applyBorder="1" applyAlignment="1">
      <alignment horizontal="center" vertical="top"/>
    </xf>
    <xf numFmtId="49" fontId="6" fillId="4" borderId="2" xfId="0" applyNumberFormat="1" applyFont="1" applyFill="1" applyBorder="1" applyAlignment="1">
      <alignment horizontal="center" vertical="top"/>
    </xf>
    <xf numFmtId="3" fontId="6" fillId="0" borderId="76" xfId="0" applyNumberFormat="1" applyFont="1" applyBorder="1" applyAlignment="1">
      <alignment horizontal="center" vertical="center" wrapText="1"/>
    </xf>
    <xf numFmtId="3" fontId="6" fillId="0" borderId="73" xfId="0" applyNumberFormat="1" applyFont="1" applyBorder="1" applyAlignment="1">
      <alignment horizontal="center" vertical="center" wrapText="1"/>
    </xf>
    <xf numFmtId="3" fontId="6" fillId="0" borderId="74" xfId="0" applyNumberFormat="1" applyFont="1" applyBorder="1" applyAlignment="1">
      <alignment horizontal="center" vertical="center" wrapText="1"/>
    </xf>
    <xf numFmtId="3" fontId="6" fillId="3" borderId="69" xfId="0" applyNumberFormat="1" applyFont="1" applyFill="1" applyBorder="1" applyAlignment="1">
      <alignment horizontal="right" vertical="top" wrapText="1"/>
    </xf>
    <xf numFmtId="3" fontId="4" fillId="6" borderId="52" xfId="0" applyNumberFormat="1" applyFont="1" applyFill="1" applyBorder="1" applyAlignment="1">
      <alignment vertical="top" wrapText="1"/>
    </xf>
    <xf numFmtId="3" fontId="11" fillId="6" borderId="52" xfId="0" applyNumberFormat="1" applyFont="1" applyFill="1" applyBorder="1" applyAlignment="1">
      <alignment vertical="top" wrapText="1"/>
    </xf>
    <xf numFmtId="3" fontId="4" fillId="6" borderId="4" xfId="0" applyNumberFormat="1" applyFont="1" applyFill="1" applyBorder="1" applyAlignment="1">
      <alignment horizontal="center" vertical="top"/>
    </xf>
    <xf numFmtId="3" fontId="4" fillId="6" borderId="23" xfId="0" applyNumberFormat="1" applyFont="1" applyFill="1" applyBorder="1" applyAlignment="1">
      <alignment horizontal="center" vertical="top"/>
    </xf>
    <xf numFmtId="0" fontId="4" fillId="6" borderId="40" xfId="0" applyFont="1" applyFill="1" applyBorder="1" applyAlignment="1">
      <alignment horizontal="left" vertical="top" wrapText="1"/>
    </xf>
    <xf numFmtId="0" fontId="0" fillId="0" borderId="11" xfId="0" applyBorder="1" applyAlignment="1">
      <alignment wrapText="1"/>
    </xf>
    <xf numFmtId="49" fontId="5" fillId="0" borderId="40" xfId="0" applyNumberFormat="1" applyFont="1" applyFill="1" applyBorder="1" applyAlignment="1">
      <alignment horizontal="center" vertical="top" textRotation="90" wrapText="1"/>
    </xf>
    <xf numFmtId="0" fontId="4" fillId="6" borderId="50" xfId="1" applyNumberFormat="1" applyFont="1" applyFill="1" applyBorder="1" applyAlignment="1">
      <alignment horizontal="center" vertical="top" wrapText="1"/>
    </xf>
    <xf numFmtId="0" fontId="4" fillId="6" borderId="38" xfId="1" applyNumberFormat="1" applyFont="1" applyFill="1" applyBorder="1" applyAlignment="1">
      <alignment horizontal="center" vertical="top" wrapText="1"/>
    </xf>
  </cellXfs>
  <cellStyles count="5">
    <cellStyle name="Įprastas" xfId="0" builtinId="0"/>
    <cellStyle name="Įprastas 2" xfId="4"/>
    <cellStyle name="Įprastas 5" xfId="2"/>
    <cellStyle name="Kablelis" xfId="1" builtinId="3"/>
    <cellStyle name="Normal_biudz uz 2001 atskaitomybe3" xfId="3"/>
  </cellStyles>
  <dxfs count="0"/>
  <tableStyles count="0" defaultTableStyle="TableStyleMedium2" defaultPivotStyle="PivotStyleLight16"/>
  <colors>
    <mruColors>
      <color rgb="FFFFCCFF"/>
      <color rgb="FFCCFFCC"/>
      <color rgb="FF99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2-64F4-43E0-B87B-F63E48CBA1E1}"/>
              </c:ext>
            </c:extLst>
          </c:dPt>
          <c:dPt>
            <c:idx val="1"/>
            <c:bubble3D val="0"/>
            <c:spPr>
              <a:solidFill>
                <a:schemeClr val="accent1">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4F4-43E0-B87B-F63E48CBA1E1}"/>
              </c:ext>
            </c:extLst>
          </c:dPt>
          <c:dPt>
            <c:idx val="2"/>
            <c:bubble3D val="0"/>
            <c:spPr>
              <a:solidFill>
                <a:srgbClr val="FFCC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64F4-43E0-B87B-F63E48CBA1E1}"/>
              </c:ext>
            </c:extLst>
          </c:dPt>
          <c:dPt>
            <c:idx val="3"/>
            <c:bubble3D val="0"/>
            <c:spPr>
              <a:solidFill>
                <a:schemeClr val="bg1">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6-A47B-4FAA-ACA1-1DE6A908F6A4}"/>
              </c:ext>
            </c:extLst>
          </c:dPt>
          <c:dLbls>
            <c:dLbl>
              <c:idx val="0"/>
              <c:layout>
                <c:manualLayout>
                  <c:x val="-6.8549321959755036E-2"/>
                  <c:y val="-0.48310185185185184"/>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4F4-43E0-B87B-F63E48CBA1E1}"/>
                </c:ext>
              </c:extLst>
            </c:dLbl>
            <c:dLbl>
              <c:idx val="1"/>
              <c:layout>
                <c:manualLayout>
                  <c:x val="-0.17088629851272336"/>
                  <c:y val="0.14930555555555555"/>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4F4-43E0-B87B-F63E48CBA1E1}"/>
                </c:ext>
              </c:extLst>
            </c:dLbl>
            <c:dLbl>
              <c:idx val="3"/>
              <c:layout>
                <c:manualLayout>
                  <c:x val="0.27900984251968503"/>
                  <c:y val="6.597222222222222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7B-4FAA-ACA1-1DE6A908F6A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multiLvlStrRef>
              <c:f>Ataskaita!$B$13:$D$15</c:f>
              <c:multiLvlStrCache>
                <c:ptCount val="3"/>
                <c:lvl>
                  <c:pt idx="0">
                    <c:v>–</c:v>
                  </c:pt>
                  <c:pt idx="1">
                    <c:v>–</c:v>
                  </c:pt>
                  <c:pt idx="2">
                    <c:v>–</c:v>
                  </c:pt>
                </c:lvl>
                <c:lvl>
                  <c:pt idx="0">
                    <c:v>faktiškai įvykdyta</c:v>
                  </c:pt>
                  <c:pt idx="1">
                    <c:v>iš dalies įvykdyta</c:v>
                  </c:pt>
                  <c:pt idx="2">
                    <c:v>neįvykdyta</c:v>
                  </c:pt>
                </c:lvl>
              </c:multiLvlStrCache>
            </c:multiLvlStrRef>
          </c:cat>
          <c:val>
            <c:numRef>
              <c:f>Ataskaita!$E$13:$E$15</c:f>
              <c:numCache>
                <c:formatCode>General</c:formatCode>
                <c:ptCount val="3"/>
                <c:pt idx="0">
                  <c:v>38</c:v>
                </c:pt>
                <c:pt idx="1">
                  <c:v>3</c:v>
                </c:pt>
                <c:pt idx="2">
                  <c:v>1</c:v>
                </c:pt>
              </c:numCache>
            </c:numRef>
          </c:val>
          <c:extLst>
            <c:ext xmlns:c16="http://schemas.microsoft.com/office/drawing/2014/chart" uri="{C3380CC4-5D6E-409C-BE32-E72D297353CC}">
              <c16:uniqueId val="{00000000-64F4-43E0-B87B-F63E48CBA1E1}"/>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452436</xdr:colOff>
      <xdr:row>17</xdr:row>
      <xdr:rowOff>104775</xdr:rowOff>
    </xdr:from>
    <xdr:to>
      <xdr:col>8</xdr:col>
      <xdr:colOff>142874</xdr:colOff>
      <xdr:row>31</xdr:row>
      <xdr:rowOff>180975</xdr:rowOff>
    </xdr:to>
    <xdr:graphicFrame macro="">
      <xdr:nvGraphicFramePr>
        <xdr:cNvPr id="5" name="Diagrama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zoomScaleNormal="100" zoomScaleSheetLayoutView="100" workbookViewId="0">
      <selection activeCell="W21" sqref="W19:W21"/>
    </sheetView>
  </sheetViews>
  <sheetFormatPr defaultRowHeight="15"/>
  <cols>
    <col min="3" max="3" width="8.42578125" customWidth="1"/>
    <col min="4" max="4" width="11" customWidth="1"/>
    <col min="5" max="5" width="6" customWidth="1"/>
    <col min="7" max="7" width="12" customWidth="1"/>
    <col min="8" max="8" width="13.5703125" customWidth="1"/>
    <col min="9" max="9" width="15" customWidth="1"/>
  </cols>
  <sheetData>
    <row r="1" spans="1:11" ht="34.5" customHeight="1">
      <c r="D1" s="1237"/>
      <c r="E1" s="1237"/>
      <c r="F1" s="1238" t="s">
        <v>797</v>
      </c>
      <c r="G1" s="1238"/>
      <c r="H1" s="1238"/>
      <c r="I1" s="1238"/>
    </row>
    <row r="2" spans="1:11" ht="15" customHeight="1">
      <c r="D2" s="1237"/>
      <c r="E2" s="1237"/>
      <c r="F2" s="1238" t="s">
        <v>798</v>
      </c>
      <c r="G2" s="1238"/>
      <c r="H2" s="1238"/>
      <c r="I2" s="1238"/>
    </row>
    <row r="3" spans="1:11" ht="18" customHeight="1">
      <c r="D3" s="1237"/>
      <c r="E3" s="1237"/>
      <c r="F3" s="1236"/>
      <c r="G3" s="1236"/>
      <c r="H3" s="1236"/>
      <c r="I3" s="1236"/>
    </row>
    <row r="4" spans="1:11" ht="15.75">
      <c r="A4" s="1240" t="s">
        <v>259</v>
      </c>
      <c r="B4" s="1241"/>
      <c r="C4" s="1241"/>
      <c r="D4" s="1241"/>
      <c r="E4" s="1241"/>
      <c r="F4" s="1241"/>
      <c r="G4" s="1241"/>
      <c r="H4" s="1241"/>
      <c r="I4" s="1241"/>
      <c r="J4" s="771"/>
      <c r="K4" s="771"/>
    </row>
    <row r="5" spans="1:11" ht="15.75">
      <c r="A5" s="1240" t="s">
        <v>238</v>
      </c>
      <c r="B5" s="1241"/>
      <c r="C5" s="1241"/>
      <c r="D5" s="1241"/>
      <c r="E5" s="1241"/>
      <c r="F5" s="1241"/>
      <c r="G5" s="1241"/>
      <c r="H5" s="1241"/>
      <c r="I5" s="1241"/>
      <c r="J5" s="771"/>
      <c r="K5" s="771"/>
    </row>
    <row r="6" spans="1:11" ht="15.75">
      <c r="A6" s="1240" t="s">
        <v>239</v>
      </c>
      <c r="B6" s="1241"/>
      <c r="C6" s="1241"/>
      <c r="D6" s="1241"/>
      <c r="E6" s="1241"/>
      <c r="F6" s="1241"/>
      <c r="G6" s="1241"/>
      <c r="H6" s="1241"/>
      <c r="I6" s="1241"/>
      <c r="J6" s="771"/>
      <c r="K6" s="771"/>
    </row>
    <row r="8" spans="1:11" ht="17.25" customHeight="1">
      <c r="A8" s="772" t="s">
        <v>240</v>
      </c>
      <c r="B8" s="773"/>
      <c r="C8" s="773"/>
      <c r="D8" s="773"/>
      <c r="E8" s="773"/>
      <c r="F8" s="773"/>
      <c r="G8" s="773"/>
      <c r="H8" s="773"/>
      <c r="I8" s="773"/>
      <c r="J8" s="773"/>
      <c r="K8" s="773"/>
    </row>
    <row r="9" spans="1:11" ht="15.75">
      <c r="A9" s="773"/>
      <c r="B9" s="773"/>
      <c r="C9" s="773"/>
      <c r="D9" s="773"/>
      <c r="E9" s="773"/>
      <c r="F9" s="773"/>
      <c r="G9" s="773"/>
      <c r="H9" s="773"/>
      <c r="I9" s="773"/>
      <c r="J9" s="773"/>
      <c r="K9" s="773"/>
    </row>
    <row r="10" spans="1:11" ht="84.75" customHeight="1">
      <c r="A10" s="1238" t="s">
        <v>256</v>
      </c>
      <c r="B10" s="1241"/>
      <c r="C10" s="1241"/>
      <c r="D10" s="1241"/>
      <c r="E10" s="1241"/>
      <c r="F10" s="1241"/>
      <c r="G10" s="1241"/>
      <c r="H10" s="1241"/>
      <c r="I10" s="1241"/>
      <c r="J10" s="774"/>
      <c r="K10" s="774"/>
    </row>
    <row r="11" spans="1:11" ht="15.75">
      <c r="A11" s="773"/>
      <c r="B11" s="773"/>
      <c r="C11" s="773"/>
      <c r="D11" s="773"/>
      <c r="E11" s="773"/>
      <c r="F11" s="773"/>
      <c r="G11" s="773"/>
      <c r="H11" s="773"/>
      <c r="I11" s="773"/>
      <c r="J11" s="773"/>
      <c r="K11" s="773"/>
    </row>
    <row r="12" spans="1:11" ht="15.75">
      <c r="A12" s="773" t="s">
        <v>770</v>
      </c>
      <c r="B12" s="773"/>
      <c r="C12" s="773"/>
      <c r="D12" s="773"/>
      <c r="E12" s="773"/>
      <c r="F12" s="773"/>
      <c r="G12" s="773"/>
      <c r="H12" s="773"/>
      <c r="I12" s="773"/>
      <c r="J12" s="773"/>
      <c r="K12" s="773"/>
    </row>
    <row r="13" spans="1:11" ht="15.75">
      <c r="A13" s="773"/>
      <c r="B13" s="775" t="s">
        <v>241</v>
      </c>
      <c r="C13" s="773"/>
      <c r="D13" s="776" t="s">
        <v>242</v>
      </c>
      <c r="E13" s="795">
        <v>38</v>
      </c>
      <c r="F13" s="773" t="s">
        <v>243</v>
      </c>
      <c r="G13" s="773"/>
      <c r="H13" s="773"/>
      <c r="I13" s="773"/>
      <c r="J13" s="773"/>
      <c r="K13" s="773"/>
    </row>
    <row r="14" spans="1:11" ht="15.75">
      <c r="A14" s="773"/>
      <c r="B14" s="1242" t="s">
        <v>244</v>
      </c>
      <c r="C14" s="1242"/>
      <c r="D14" s="776" t="s">
        <v>242</v>
      </c>
      <c r="E14" s="777">
        <v>3</v>
      </c>
      <c r="F14" s="1243" t="s">
        <v>258</v>
      </c>
      <c r="G14" s="1243"/>
      <c r="H14" s="1243"/>
      <c r="I14" s="1243"/>
      <c r="J14" s="1243"/>
    </row>
    <row r="15" spans="1:11" ht="15.75">
      <c r="A15" s="773"/>
      <c r="B15" s="1243" t="s">
        <v>257</v>
      </c>
      <c r="C15" s="1243"/>
      <c r="D15" s="776" t="s">
        <v>242</v>
      </c>
      <c r="E15" s="777">
        <v>1</v>
      </c>
      <c r="F15" s="778" t="s">
        <v>771</v>
      </c>
      <c r="G15" s="778"/>
      <c r="H15" s="778"/>
      <c r="I15" s="778"/>
      <c r="J15" s="778"/>
    </row>
    <row r="16" spans="1:11" ht="15.75">
      <c r="A16" s="773"/>
      <c r="B16" s="802"/>
      <c r="C16" s="802"/>
      <c r="D16" s="776"/>
      <c r="E16" s="777"/>
      <c r="F16" s="802"/>
      <c r="G16" s="802"/>
      <c r="H16" s="802"/>
      <c r="I16" s="802"/>
      <c r="J16" s="802"/>
    </row>
    <row r="17" spans="2:8" ht="15.75">
      <c r="B17" s="1244" t="s">
        <v>297</v>
      </c>
      <c r="C17" s="1244"/>
      <c r="D17" s="1245"/>
      <c r="E17" s="1245"/>
      <c r="F17" s="1245"/>
      <c r="G17" s="1245"/>
      <c r="H17" s="1246"/>
    </row>
    <row r="36" spans="1:11" ht="36" customHeight="1">
      <c r="A36" s="1247" t="s">
        <v>245</v>
      </c>
      <c r="B36" s="1247"/>
      <c r="C36" s="1247"/>
      <c r="D36" s="1247"/>
      <c r="E36" s="1247"/>
      <c r="F36" s="1247"/>
      <c r="G36" s="1247"/>
      <c r="H36" s="1247"/>
      <c r="I36" s="1247"/>
      <c r="J36" s="779"/>
      <c r="K36" s="779"/>
    </row>
    <row r="37" spans="1:11" ht="30" customHeight="1">
      <c r="A37" s="1248" t="s">
        <v>246</v>
      </c>
      <c r="B37" s="1248"/>
      <c r="C37" s="1248"/>
      <c r="D37" s="1248"/>
      <c r="E37" s="1248"/>
      <c r="F37" s="1248"/>
      <c r="G37" s="1248"/>
      <c r="H37" s="1248"/>
      <c r="I37" s="1248"/>
      <c r="J37" s="780"/>
    </row>
    <row r="38" spans="1:11" ht="30" customHeight="1">
      <c r="A38" s="1239" t="s">
        <v>247</v>
      </c>
      <c r="B38" s="1239"/>
      <c r="C38" s="1239"/>
      <c r="D38" s="1239"/>
      <c r="E38" s="1239"/>
      <c r="F38" s="1239"/>
      <c r="G38" s="1239"/>
      <c r="H38" s="1239"/>
      <c r="I38" s="1239"/>
      <c r="J38" s="781"/>
    </row>
    <row r="39" spans="1:11" ht="31.5" customHeight="1">
      <c r="A39" s="1239" t="s">
        <v>248</v>
      </c>
      <c r="B39" s="1239"/>
      <c r="C39" s="1239"/>
      <c r="D39" s="1239"/>
      <c r="E39" s="1239"/>
      <c r="F39" s="1239"/>
      <c r="G39" s="1239"/>
      <c r="H39" s="1239"/>
      <c r="I39" s="1239"/>
      <c r="J39" s="781"/>
    </row>
  </sheetData>
  <mergeCells count="14">
    <mergeCell ref="F1:I1"/>
    <mergeCell ref="F2:I2"/>
    <mergeCell ref="A39:I39"/>
    <mergeCell ref="A4:I4"/>
    <mergeCell ref="A5:I5"/>
    <mergeCell ref="A6:I6"/>
    <mergeCell ref="A10:I10"/>
    <mergeCell ref="B14:C14"/>
    <mergeCell ref="F14:J14"/>
    <mergeCell ref="B15:C15"/>
    <mergeCell ref="B17:H17"/>
    <mergeCell ref="A36:I36"/>
    <mergeCell ref="A37:I37"/>
    <mergeCell ref="A38:I38"/>
  </mergeCells>
  <pageMargins left="1.1811023622047245" right="0.19685039370078741" top="0.74803149606299213" bottom="0.7480314960629921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5"/>
  <sheetViews>
    <sheetView zoomScaleNormal="100" zoomScaleSheetLayoutView="100" workbookViewId="0">
      <selection activeCell="V16" sqref="V16"/>
    </sheetView>
  </sheetViews>
  <sheetFormatPr defaultColWidth="9.140625" defaultRowHeight="15"/>
  <cols>
    <col min="1" max="1" width="3" style="87" customWidth="1"/>
    <col min="2" max="2" width="2.7109375" style="87" customWidth="1"/>
    <col min="3" max="3" width="3" style="1181" customWidth="1"/>
    <col min="4" max="4" width="33.7109375" style="87" customWidth="1"/>
    <col min="5" max="5" width="3.140625" style="87" customWidth="1"/>
    <col min="6" max="6" width="3.7109375" style="87" customWidth="1"/>
    <col min="7" max="7" width="8.140625" style="87" customWidth="1"/>
    <col min="8" max="10" width="9.42578125" style="87" customWidth="1"/>
    <col min="11" max="11" width="36.5703125" style="87" customWidth="1"/>
    <col min="12" max="12" width="4.5703125" style="87" customWidth="1"/>
    <col min="13" max="13" width="4.5703125" style="1130" customWidth="1"/>
    <col min="14" max="14" width="31.5703125" style="87" customWidth="1"/>
    <col min="15" max="15" width="30.7109375" style="87" customWidth="1"/>
    <col min="16" max="16" width="10.140625" style="885" customWidth="1"/>
    <col min="17" max="16384" width="9.140625" style="87"/>
  </cols>
  <sheetData>
    <row r="1" spans="1:16" s="755" customFormat="1" ht="15.75" customHeight="1">
      <c r="A1" s="765"/>
      <c r="B1" s="765"/>
      <c r="C1" s="1136"/>
      <c r="D1" s="1364" t="s">
        <v>233</v>
      </c>
      <c r="E1" s="1365"/>
      <c r="F1" s="1365"/>
      <c r="G1" s="1365"/>
      <c r="H1" s="1365"/>
      <c r="I1" s="1365"/>
      <c r="J1" s="1365"/>
      <c r="K1" s="1365"/>
      <c r="L1" s="1365"/>
      <c r="M1" s="1365"/>
      <c r="N1" s="1365"/>
      <c r="O1" s="765"/>
    </row>
    <row r="2" spans="1:16" s="1" customFormat="1">
      <c r="A2" s="841"/>
      <c r="B2" s="841"/>
      <c r="C2" s="1137"/>
      <c r="D2" s="1366" t="s">
        <v>796</v>
      </c>
      <c r="E2" s="1367"/>
      <c r="F2" s="1367"/>
      <c r="G2" s="1367"/>
      <c r="H2" s="1367"/>
      <c r="I2" s="1367"/>
      <c r="J2" s="1367"/>
      <c r="K2" s="1367"/>
      <c r="L2" s="1368"/>
      <c r="M2" s="1368"/>
      <c r="N2" s="1368"/>
      <c r="O2" s="841"/>
    </row>
    <row r="3" spans="1:16" s="4" customFormat="1" ht="15" customHeight="1" thickBot="1">
      <c r="A3" s="1"/>
      <c r="B3" s="1"/>
      <c r="C3" s="1109"/>
      <c r="D3" s="1"/>
      <c r="E3" s="766"/>
      <c r="F3" s="767"/>
      <c r="G3" s="3"/>
      <c r="H3" s="1"/>
      <c r="I3" s="1"/>
      <c r="J3" s="1"/>
      <c r="K3" s="842"/>
      <c r="L3" s="768"/>
      <c r="M3" s="1369"/>
      <c r="N3" s="1369"/>
      <c r="O3" s="1370"/>
    </row>
    <row r="4" spans="1:16" s="755" customFormat="1" ht="30" customHeight="1">
      <c r="A4" s="1385" t="s">
        <v>0</v>
      </c>
      <c r="B4" s="1374" t="s">
        <v>1</v>
      </c>
      <c r="C4" s="1388" t="s">
        <v>2</v>
      </c>
      <c r="D4" s="1371" t="s">
        <v>4</v>
      </c>
      <c r="E4" s="1374" t="s">
        <v>5</v>
      </c>
      <c r="F4" s="1391" t="s">
        <v>6</v>
      </c>
      <c r="G4" s="1394" t="s">
        <v>8</v>
      </c>
      <c r="H4" s="1305" t="s">
        <v>799</v>
      </c>
      <c r="I4" s="1306"/>
      <c r="J4" s="1307"/>
      <c r="K4" s="1397" t="s">
        <v>234</v>
      </c>
      <c r="L4" s="1398"/>
      <c r="M4" s="1398"/>
      <c r="N4" s="1399" t="s">
        <v>235</v>
      </c>
      <c r="O4" s="1402" t="s">
        <v>236</v>
      </c>
    </row>
    <row r="5" spans="1:16" s="755" customFormat="1" ht="33.75" customHeight="1">
      <c r="A5" s="1386"/>
      <c r="B5" s="1375"/>
      <c r="C5" s="1389"/>
      <c r="D5" s="1372"/>
      <c r="E5" s="1375"/>
      <c r="F5" s="1392"/>
      <c r="G5" s="1395"/>
      <c r="H5" s="1377" t="s">
        <v>260</v>
      </c>
      <c r="I5" s="1257" t="s">
        <v>261</v>
      </c>
      <c r="J5" s="1259" t="s">
        <v>262</v>
      </c>
      <c r="K5" s="1260" t="s">
        <v>237</v>
      </c>
      <c r="L5" s="1378" t="s">
        <v>729</v>
      </c>
      <c r="M5" s="1380" t="s">
        <v>795</v>
      </c>
      <c r="N5" s="1400"/>
      <c r="O5" s="1403"/>
    </row>
    <row r="6" spans="1:16" s="755" customFormat="1" ht="48" customHeight="1" thickBot="1">
      <c r="A6" s="1387"/>
      <c r="B6" s="1376"/>
      <c r="C6" s="1390"/>
      <c r="D6" s="1373"/>
      <c r="E6" s="1376"/>
      <c r="F6" s="1393"/>
      <c r="G6" s="1396"/>
      <c r="H6" s="1315"/>
      <c r="I6" s="1258"/>
      <c r="J6" s="1258"/>
      <c r="K6" s="1261"/>
      <c r="L6" s="1379"/>
      <c r="M6" s="1381"/>
      <c r="N6" s="1401"/>
      <c r="O6" s="1404"/>
    </row>
    <row r="7" spans="1:16" s="1" customFormat="1" ht="15.75" customHeight="1">
      <c r="A7" s="1382" t="s">
        <v>11</v>
      </c>
      <c r="B7" s="1383"/>
      <c r="C7" s="1383"/>
      <c r="D7" s="1383"/>
      <c r="E7" s="1383"/>
      <c r="F7" s="1383"/>
      <c r="G7" s="1383"/>
      <c r="H7" s="1383"/>
      <c r="I7" s="1383"/>
      <c r="J7" s="1383"/>
      <c r="K7" s="1383"/>
      <c r="L7" s="1383"/>
      <c r="M7" s="1383"/>
      <c r="N7" s="1383"/>
      <c r="O7" s="1384"/>
    </row>
    <row r="8" spans="1:16" s="1" customFormat="1" ht="18" customHeight="1">
      <c r="A8" s="1317" t="s">
        <v>12</v>
      </c>
      <c r="B8" s="1318"/>
      <c r="C8" s="1318"/>
      <c r="D8" s="1318"/>
      <c r="E8" s="1318"/>
      <c r="F8" s="1318"/>
      <c r="G8" s="1318"/>
      <c r="H8" s="1318"/>
      <c r="I8" s="1318"/>
      <c r="J8" s="1318"/>
      <c r="K8" s="1318"/>
      <c r="L8" s="1318"/>
      <c r="M8" s="1318"/>
      <c r="N8" s="1318"/>
      <c r="O8" s="1319"/>
    </row>
    <row r="9" spans="1:16" s="4" customFormat="1" ht="25.5" customHeight="1">
      <c r="A9" s="782" t="s">
        <v>13</v>
      </c>
      <c r="B9" s="1320" t="s">
        <v>14</v>
      </c>
      <c r="C9" s="1321"/>
      <c r="D9" s="1321"/>
      <c r="E9" s="1321"/>
      <c r="F9" s="1321"/>
      <c r="G9" s="1321"/>
      <c r="H9" s="1262" t="s">
        <v>255</v>
      </c>
      <c r="I9" s="1263"/>
      <c r="J9" s="1264"/>
      <c r="K9" s="784" t="s">
        <v>249</v>
      </c>
      <c r="L9" s="1216">
        <v>17.100000000000001</v>
      </c>
      <c r="M9" s="1126" t="s">
        <v>775</v>
      </c>
      <c r="N9" s="812"/>
      <c r="O9" s="796"/>
    </row>
    <row r="10" spans="1:16" s="4" customFormat="1" ht="31.5" customHeight="1">
      <c r="A10" s="785"/>
      <c r="B10" s="1322"/>
      <c r="C10" s="1241"/>
      <c r="D10" s="1241"/>
      <c r="E10" s="1241"/>
      <c r="F10" s="1241"/>
      <c r="G10" s="1241"/>
      <c r="H10" s="1262" t="s">
        <v>255</v>
      </c>
      <c r="I10" s="1263"/>
      <c r="J10" s="1264"/>
      <c r="K10" s="786" t="s">
        <v>250</v>
      </c>
      <c r="L10" s="1217">
        <v>95</v>
      </c>
      <c r="M10" s="1127" t="s">
        <v>774</v>
      </c>
      <c r="N10" s="801"/>
      <c r="O10" s="798"/>
    </row>
    <row r="11" spans="1:16" s="4" customFormat="1" ht="54" customHeight="1">
      <c r="A11" s="787"/>
      <c r="B11" s="788"/>
      <c r="C11" s="1138"/>
      <c r="D11" s="789"/>
      <c r="E11" s="790"/>
      <c r="F11" s="791"/>
      <c r="G11" s="783"/>
      <c r="H11" s="1262" t="s">
        <v>255</v>
      </c>
      <c r="I11" s="1263"/>
      <c r="J11" s="1264"/>
      <c r="K11" s="792" t="s">
        <v>251</v>
      </c>
      <c r="L11" s="1217">
        <v>0.5</v>
      </c>
      <c r="M11" s="1127" t="s">
        <v>773</v>
      </c>
      <c r="N11" s="797"/>
      <c r="O11" s="798"/>
    </row>
    <row r="12" spans="1:16" s="4" customFormat="1" ht="26.25" customHeight="1">
      <c r="A12" s="787"/>
      <c r="B12" s="788"/>
      <c r="C12" s="1138"/>
      <c r="D12" s="789"/>
      <c r="E12" s="790"/>
      <c r="F12" s="791"/>
      <c r="G12" s="783"/>
      <c r="H12" s="1262" t="s">
        <v>255</v>
      </c>
      <c r="I12" s="1263"/>
      <c r="J12" s="1264"/>
      <c r="K12" s="786" t="s">
        <v>252</v>
      </c>
      <c r="L12" s="1217">
        <v>90</v>
      </c>
      <c r="M12" s="1127" t="s">
        <v>768</v>
      </c>
      <c r="N12" s="797"/>
      <c r="O12" s="798"/>
    </row>
    <row r="13" spans="1:16" s="4" customFormat="1" ht="27" customHeight="1">
      <c r="A13" s="787"/>
      <c r="B13" s="788"/>
      <c r="C13" s="1138"/>
      <c r="D13" s="789"/>
      <c r="E13" s="790"/>
      <c r="F13" s="791"/>
      <c r="G13" s="783"/>
      <c r="H13" s="1265" t="s">
        <v>29</v>
      </c>
      <c r="I13" s="1266"/>
      <c r="J13" s="1267"/>
      <c r="K13" s="786" t="s">
        <v>253</v>
      </c>
      <c r="L13" s="1217">
        <v>10</v>
      </c>
      <c r="M13" s="1127" t="s">
        <v>776</v>
      </c>
      <c r="N13" s="799"/>
      <c r="O13" s="800"/>
    </row>
    <row r="14" spans="1:16" s="4" customFormat="1" ht="21" customHeight="1">
      <c r="A14" s="803"/>
      <c r="B14" s="804"/>
      <c r="C14" s="1139"/>
      <c r="D14" s="806"/>
      <c r="E14" s="807"/>
      <c r="F14" s="808"/>
      <c r="G14" s="805"/>
      <c r="H14" s="1268" t="s">
        <v>77</v>
      </c>
      <c r="I14" s="1269"/>
      <c r="J14" s="1270"/>
      <c r="K14" s="792" t="s">
        <v>254</v>
      </c>
      <c r="L14" s="1218">
        <v>240</v>
      </c>
      <c r="M14" s="1128" t="s">
        <v>777</v>
      </c>
      <c r="N14" s="1219"/>
      <c r="O14" s="809"/>
    </row>
    <row r="15" spans="1:16" s="1" customFormat="1" ht="15.75" customHeight="1">
      <c r="A15" s="6" t="s">
        <v>13</v>
      </c>
      <c r="B15" s="7" t="s">
        <v>13</v>
      </c>
      <c r="C15" s="1280" t="s">
        <v>15</v>
      </c>
      <c r="D15" s="1281"/>
      <c r="E15" s="1281"/>
      <c r="F15" s="1281"/>
      <c r="G15" s="1281"/>
      <c r="H15" s="1281"/>
      <c r="I15" s="1281"/>
      <c r="J15" s="1281"/>
      <c r="K15" s="1281"/>
      <c r="L15" s="1281"/>
      <c r="M15" s="1281"/>
      <c r="N15" s="1281"/>
      <c r="O15" s="1282"/>
      <c r="P15" s="848"/>
    </row>
    <row r="16" spans="1:16" s="4" customFormat="1" ht="24.75" customHeight="1">
      <c r="A16" s="8" t="s">
        <v>13</v>
      </c>
      <c r="B16" s="9" t="s">
        <v>13</v>
      </c>
      <c r="C16" s="1059" t="s">
        <v>13</v>
      </c>
      <c r="D16" s="916" t="s">
        <v>16</v>
      </c>
      <c r="E16" s="10"/>
      <c r="F16" s="76"/>
      <c r="G16" s="114"/>
      <c r="H16" s="941"/>
      <c r="I16" s="941"/>
      <c r="J16" s="941"/>
      <c r="K16" s="934"/>
      <c r="L16" s="852"/>
      <c r="M16" s="1096"/>
      <c r="N16" s="853"/>
      <c r="O16" s="888"/>
      <c r="P16" s="851"/>
    </row>
    <row r="17" spans="1:16" s="4" customFormat="1" ht="28.5" customHeight="1">
      <c r="A17" s="11"/>
      <c r="B17" s="12"/>
      <c r="C17" s="1096" t="s">
        <v>13</v>
      </c>
      <c r="D17" s="1298" t="s">
        <v>17</v>
      </c>
      <c r="E17" s="1301"/>
      <c r="F17" s="1303" t="s">
        <v>18</v>
      </c>
      <c r="G17" s="26" t="s">
        <v>20</v>
      </c>
      <c r="H17" s="109">
        <f>7528.8-8.4+17.6-59.8</f>
        <v>7478.2000000000007</v>
      </c>
      <c r="I17" s="109">
        <f>7528.8-8.4+17.6-59.8+12.7</f>
        <v>7490.9000000000005</v>
      </c>
      <c r="J17" s="109">
        <f>7435-153.2</f>
        <v>7281.8</v>
      </c>
      <c r="K17" s="932" t="s">
        <v>125</v>
      </c>
      <c r="L17" s="193">
        <v>438.5</v>
      </c>
      <c r="M17" s="1096">
        <v>438.5</v>
      </c>
      <c r="N17" s="850"/>
      <c r="O17" s="887"/>
      <c r="P17" s="851"/>
    </row>
    <row r="18" spans="1:16" s="4" customFormat="1" ht="24" customHeight="1">
      <c r="A18" s="11"/>
      <c r="B18" s="12"/>
      <c r="C18" s="1075"/>
      <c r="D18" s="1299"/>
      <c r="E18" s="1302"/>
      <c r="F18" s="1304"/>
      <c r="G18" s="942" t="s">
        <v>20</v>
      </c>
      <c r="H18" s="943">
        <v>121.1</v>
      </c>
      <c r="I18" s="943">
        <v>121.1</v>
      </c>
      <c r="J18" s="943">
        <v>120.8</v>
      </c>
      <c r="K18" s="955" t="s">
        <v>724</v>
      </c>
      <c r="L18" s="951">
        <v>254</v>
      </c>
      <c r="M18" s="1097">
        <v>245</v>
      </c>
      <c r="N18" s="853"/>
      <c r="O18" s="888"/>
      <c r="P18" s="851"/>
    </row>
    <row r="19" spans="1:16" s="4" customFormat="1" ht="22.5" customHeight="1">
      <c r="A19" s="13"/>
      <c r="B19" s="14"/>
      <c r="C19" s="296"/>
      <c r="D19" s="1300"/>
      <c r="E19" s="1302"/>
      <c r="F19" s="1304"/>
      <c r="G19" s="19" t="s">
        <v>43</v>
      </c>
      <c r="H19" s="110">
        <v>10</v>
      </c>
      <c r="I19" s="110">
        <v>10</v>
      </c>
      <c r="J19" s="110">
        <v>9.9</v>
      </c>
      <c r="K19" s="925"/>
      <c r="L19" s="194"/>
      <c r="M19" s="296"/>
      <c r="N19" s="853"/>
      <c r="O19" s="888"/>
      <c r="P19" s="851"/>
    </row>
    <row r="20" spans="1:16" s="4" customFormat="1" ht="22.5" customHeight="1">
      <c r="A20" s="13"/>
      <c r="B20" s="15"/>
      <c r="C20" s="1087"/>
      <c r="D20" s="1057"/>
      <c r="E20" s="938"/>
      <c r="F20" s="919"/>
      <c r="G20" s="19" t="s">
        <v>44</v>
      </c>
      <c r="H20" s="110">
        <v>10.199999999999999</v>
      </c>
      <c r="I20" s="110">
        <v>10.199999999999999</v>
      </c>
      <c r="J20" s="110">
        <v>10.199999999999999</v>
      </c>
      <c r="K20" s="925"/>
      <c r="L20" s="194"/>
      <c r="M20" s="296"/>
      <c r="N20" s="853"/>
      <c r="O20" s="888"/>
      <c r="P20" s="851"/>
    </row>
    <row r="21" spans="1:16" s="4" customFormat="1" ht="22.5" customHeight="1">
      <c r="A21" s="13"/>
      <c r="B21" s="15"/>
      <c r="C21" s="1087"/>
      <c r="D21" s="1057"/>
      <c r="E21" s="938"/>
      <c r="F21" s="919"/>
      <c r="G21" s="19" t="s">
        <v>44</v>
      </c>
      <c r="H21" s="110">
        <v>12.1</v>
      </c>
      <c r="I21" s="110">
        <v>12.1</v>
      </c>
      <c r="J21" s="110">
        <v>12.1</v>
      </c>
      <c r="K21" s="925"/>
      <c r="L21" s="194"/>
      <c r="M21" s="296"/>
      <c r="N21" s="853"/>
      <c r="O21" s="888"/>
      <c r="P21" s="851"/>
    </row>
    <row r="22" spans="1:16" s="4" customFormat="1" ht="22.5" customHeight="1">
      <c r="A22" s="13"/>
      <c r="B22" s="15"/>
      <c r="C22" s="1087"/>
      <c r="D22" s="1056"/>
      <c r="E22" s="938"/>
      <c r="F22" s="919"/>
      <c r="G22" s="16" t="s">
        <v>21</v>
      </c>
      <c r="H22" s="115">
        <f>471.8+41</f>
        <v>512.79999999999995</v>
      </c>
      <c r="I22" s="944">
        <f>471.8+41+28.1-0.8+42.4</f>
        <v>582.5</v>
      </c>
      <c r="J22" s="115">
        <v>546.6</v>
      </c>
      <c r="K22" s="956"/>
      <c r="L22" s="195"/>
      <c r="M22" s="1098"/>
      <c r="N22" s="957"/>
      <c r="O22" s="962"/>
      <c r="P22" s="851"/>
    </row>
    <row r="23" spans="1:16" s="4" customFormat="1" ht="13.5" customHeight="1">
      <c r="A23" s="1340"/>
      <c r="B23" s="1474"/>
      <c r="C23" s="1475" t="s">
        <v>22</v>
      </c>
      <c r="D23" s="1298" t="s">
        <v>725</v>
      </c>
      <c r="E23" s="488"/>
      <c r="F23" s="939" t="s">
        <v>18</v>
      </c>
      <c r="G23" s="17" t="s">
        <v>20</v>
      </c>
      <c r="H23" s="109">
        <f>754.1+8.4-59.4+24.5</f>
        <v>727.6</v>
      </c>
      <c r="I23" s="109">
        <v>741.1</v>
      </c>
      <c r="J23" s="109">
        <v>712.5</v>
      </c>
      <c r="K23" s="932"/>
      <c r="L23" s="207"/>
      <c r="M23" s="1096"/>
      <c r="N23" s="850"/>
      <c r="O23" s="887"/>
      <c r="P23" s="851"/>
    </row>
    <row r="24" spans="1:16" s="4" customFormat="1" ht="13.5" customHeight="1">
      <c r="A24" s="1340"/>
      <c r="B24" s="1474"/>
      <c r="C24" s="1476"/>
      <c r="D24" s="1299"/>
      <c r="E24" s="534"/>
      <c r="F24" s="919"/>
      <c r="G24" s="19" t="s">
        <v>24</v>
      </c>
      <c r="H24" s="110">
        <v>3.3</v>
      </c>
      <c r="I24" s="110">
        <v>3.3</v>
      </c>
      <c r="J24" s="110">
        <v>3.3</v>
      </c>
      <c r="K24" s="925"/>
      <c r="L24" s="739"/>
      <c r="M24" s="296"/>
      <c r="N24" s="853"/>
      <c r="O24" s="888"/>
      <c r="P24" s="851"/>
    </row>
    <row r="25" spans="1:16" s="4" customFormat="1" ht="13.5" customHeight="1">
      <c r="A25" s="1340"/>
      <c r="B25" s="1474"/>
      <c r="C25" s="1476"/>
      <c r="D25" s="1299"/>
      <c r="E25" s="534"/>
      <c r="F25" s="919"/>
      <c r="G25" s="19" t="s">
        <v>127</v>
      </c>
      <c r="H25" s="110">
        <v>44.3</v>
      </c>
      <c r="I25" s="110">
        <v>44.3</v>
      </c>
      <c r="J25" s="110">
        <v>0</v>
      </c>
      <c r="K25" s="925"/>
      <c r="L25" s="739"/>
      <c r="M25" s="296"/>
      <c r="N25" s="853"/>
      <c r="O25" s="888"/>
      <c r="P25" s="851"/>
    </row>
    <row r="26" spans="1:16" s="4" customFormat="1" ht="16.5" customHeight="1">
      <c r="A26" s="1340"/>
      <c r="B26" s="1474"/>
      <c r="C26" s="1476"/>
      <c r="D26" s="1299"/>
      <c r="E26" s="534"/>
      <c r="F26" s="919"/>
      <c r="G26" s="16"/>
      <c r="H26" s="110"/>
      <c r="I26" s="110"/>
      <c r="J26" s="110"/>
      <c r="K26" s="920" t="s">
        <v>263</v>
      </c>
      <c r="L26" s="202">
        <v>4</v>
      </c>
      <c r="M26" s="1097" t="s">
        <v>55</v>
      </c>
      <c r="N26" s="853"/>
      <c r="O26" s="888"/>
      <c r="P26" s="851"/>
    </row>
    <row r="27" spans="1:16" s="4" customFormat="1" ht="18.75" customHeight="1">
      <c r="A27" s="1340"/>
      <c r="B27" s="1474"/>
      <c r="C27" s="1476"/>
      <c r="D27" s="1299"/>
      <c r="E27" s="534"/>
      <c r="F27" s="919"/>
      <c r="G27" s="19"/>
      <c r="H27" s="110"/>
      <c r="I27" s="110"/>
      <c r="J27" s="110"/>
      <c r="K27" s="920" t="s">
        <v>112</v>
      </c>
      <c r="L27" s="202">
        <v>21</v>
      </c>
      <c r="M27" s="1097" t="s">
        <v>738</v>
      </c>
      <c r="N27" s="853"/>
      <c r="O27" s="888"/>
      <c r="P27" s="851"/>
    </row>
    <row r="28" spans="1:16" s="4" customFormat="1" ht="29.25" customHeight="1">
      <c r="A28" s="917"/>
      <c r="B28" s="918"/>
      <c r="C28" s="1098"/>
      <c r="D28" s="1056"/>
      <c r="E28" s="492"/>
      <c r="F28" s="919"/>
      <c r="G28" s="19"/>
      <c r="H28" s="115"/>
      <c r="I28" s="115"/>
      <c r="J28" s="115"/>
      <c r="K28" s="336" t="s">
        <v>264</v>
      </c>
      <c r="L28" s="965" t="s">
        <v>230</v>
      </c>
      <c r="M28" s="1098" t="s">
        <v>737</v>
      </c>
      <c r="N28" s="957"/>
      <c r="O28" s="962"/>
      <c r="P28" s="851"/>
    </row>
    <row r="29" spans="1:16" s="4" customFormat="1" ht="17.25" customHeight="1">
      <c r="A29" s="23"/>
      <c r="B29" s="928"/>
      <c r="C29" s="1087" t="s">
        <v>26</v>
      </c>
      <c r="D29" s="1326" t="s">
        <v>726</v>
      </c>
      <c r="E29" s="476"/>
      <c r="F29" s="939" t="s">
        <v>18</v>
      </c>
      <c r="G29" s="477" t="s">
        <v>20</v>
      </c>
      <c r="H29" s="109">
        <f>108-13+58.2</f>
        <v>153.19999999999999</v>
      </c>
      <c r="I29" s="109">
        <f>108-13+58.2</f>
        <v>153.19999999999999</v>
      </c>
      <c r="J29" s="109">
        <v>153.19999999999999</v>
      </c>
      <c r="K29" s="1492" t="s">
        <v>784</v>
      </c>
      <c r="L29" s="1502" t="s">
        <v>265</v>
      </c>
      <c r="M29" s="1071" t="s">
        <v>740</v>
      </c>
      <c r="N29" s="1292" t="s">
        <v>739</v>
      </c>
      <c r="O29" s="888"/>
      <c r="P29" s="851"/>
    </row>
    <row r="30" spans="1:16" s="4" customFormat="1" ht="19.5" customHeight="1">
      <c r="A30" s="23"/>
      <c r="B30" s="928"/>
      <c r="C30" s="1087"/>
      <c r="D30" s="1477"/>
      <c r="E30" s="478"/>
      <c r="F30" s="919"/>
      <c r="G30" s="362" t="s">
        <v>127</v>
      </c>
      <c r="H30" s="128">
        <v>6</v>
      </c>
      <c r="I30" s="128">
        <v>6</v>
      </c>
      <c r="J30" s="128">
        <v>6</v>
      </c>
      <c r="K30" s="1501"/>
      <c r="L30" s="1503"/>
      <c r="M30" s="1099"/>
      <c r="N30" s="1293"/>
      <c r="O30" s="888"/>
      <c r="P30" s="851"/>
    </row>
    <row r="31" spans="1:16" s="4" customFormat="1" ht="51.75" customHeight="1">
      <c r="A31" s="23"/>
      <c r="B31" s="928"/>
      <c r="C31" s="1087"/>
      <c r="D31" s="1478"/>
      <c r="E31" s="305"/>
      <c r="F31" s="940"/>
      <c r="G31" s="114"/>
      <c r="H31" s="116"/>
      <c r="I31" s="116"/>
      <c r="J31" s="116"/>
      <c r="K31" s="1113" t="s">
        <v>785</v>
      </c>
      <c r="L31" s="1087" t="s">
        <v>134</v>
      </c>
      <c r="M31" s="296" t="s">
        <v>134</v>
      </c>
      <c r="N31" s="1117"/>
      <c r="O31" s="888"/>
      <c r="P31" s="851"/>
    </row>
    <row r="32" spans="1:16" s="4" customFormat="1" ht="19.5" customHeight="1">
      <c r="A32" s="917"/>
      <c r="B32" s="928"/>
      <c r="C32" s="1096" t="s">
        <v>28</v>
      </c>
      <c r="D32" s="1056" t="s">
        <v>27</v>
      </c>
      <c r="E32" s="540"/>
      <c r="F32" s="919" t="s">
        <v>18</v>
      </c>
      <c r="G32" s="19" t="s">
        <v>20</v>
      </c>
      <c r="H32" s="110">
        <v>108</v>
      </c>
      <c r="I32" s="945">
        <f>108-14</f>
        <v>94</v>
      </c>
      <c r="J32" s="110">
        <v>98.9</v>
      </c>
      <c r="K32" s="1504" t="s">
        <v>727</v>
      </c>
      <c r="L32" s="964">
        <v>75</v>
      </c>
      <c r="M32" s="1096" t="s">
        <v>742</v>
      </c>
      <c r="N32" s="1118"/>
      <c r="O32" s="887"/>
      <c r="P32" s="851"/>
    </row>
    <row r="33" spans="1:16" s="4" customFormat="1" ht="19.5" customHeight="1">
      <c r="A33" s="917"/>
      <c r="B33" s="928"/>
      <c r="C33" s="296"/>
      <c r="D33" s="1056"/>
      <c r="E33" s="540"/>
      <c r="F33" s="919"/>
      <c r="G33" s="22" t="s">
        <v>127</v>
      </c>
      <c r="H33" s="116">
        <v>44</v>
      </c>
      <c r="I33" s="946">
        <f>44-18</f>
        <v>26</v>
      </c>
      <c r="J33" s="116">
        <v>23.8</v>
      </c>
      <c r="K33" s="1505"/>
      <c r="L33" s="198"/>
      <c r="M33" s="1098"/>
      <c r="N33" s="1119"/>
      <c r="O33" s="962"/>
      <c r="P33" s="851"/>
    </row>
    <row r="34" spans="1:16" s="4" customFormat="1" ht="51.75" customHeight="1">
      <c r="A34" s="917"/>
      <c r="B34" s="928"/>
      <c r="C34" s="1096" t="s">
        <v>30</v>
      </c>
      <c r="D34" s="1069" t="s">
        <v>174</v>
      </c>
      <c r="E34" s="91" t="s">
        <v>101</v>
      </c>
      <c r="F34" s="161" t="s">
        <v>18</v>
      </c>
      <c r="G34" s="38" t="s">
        <v>20</v>
      </c>
      <c r="H34" s="116">
        <v>36</v>
      </c>
      <c r="I34" s="946">
        <v>36</v>
      </c>
      <c r="J34" s="116">
        <v>23.3</v>
      </c>
      <c r="K34" s="927" t="s">
        <v>266</v>
      </c>
      <c r="L34" s="952" t="s">
        <v>267</v>
      </c>
      <c r="M34" s="1114" t="s">
        <v>741</v>
      </c>
      <c r="N34" s="1117"/>
      <c r="O34" s="888"/>
      <c r="P34" s="851"/>
    </row>
    <row r="35" spans="1:16" s="4" customFormat="1" ht="80.25" customHeight="1">
      <c r="A35" s="1340"/>
      <c r="B35" s="1474"/>
      <c r="C35" s="1475" t="s">
        <v>33</v>
      </c>
      <c r="D35" s="1298" t="s">
        <v>150</v>
      </c>
      <c r="E35" s="1511"/>
      <c r="F35" s="1303" t="s">
        <v>18</v>
      </c>
      <c r="G35" s="26" t="s">
        <v>20</v>
      </c>
      <c r="H35" s="109">
        <v>156.6</v>
      </c>
      <c r="I35" s="109">
        <v>143.1</v>
      </c>
      <c r="J35" s="109">
        <v>128.6</v>
      </c>
      <c r="K35" s="474" t="s">
        <v>32</v>
      </c>
      <c r="L35" s="201">
        <v>1</v>
      </c>
      <c r="M35" s="1121" t="s">
        <v>18</v>
      </c>
      <c r="N35" s="1120" t="s">
        <v>786</v>
      </c>
      <c r="O35" s="887"/>
      <c r="P35" s="851"/>
    </row>
    <row r="36" spans="1:16" s="4" customFormat="1" ht="27" customHeight="1">
      <c r="A36" s="1340"/>
      <c r="B36" s="1474"/>
      <c r="C36" s="1476"/>
      <c r="D36" s="1438"/>
      <c r="E36" s="1436"/>
      <c r="F36" s="1304"/>
      <c r="G36" s="19"/>
      <c r="H36" s="110"/>
      <c r="I36" s="945"/>
      <c r="J36" s="110"/>
      <c r="K36" s="927" t="s">
        <v>163</v>
      </c>
      <c r="L36" s="1087">
        <v>95.4</v>
      </c>
      <c r="M36" s="296" t="s">
        <v>744</v>
      </c>
      <c r="N36" s="1117"/>
      <c r="O36" s="888"/>
      <c r="P36" s="851"/>
    </row>
    <row r="37" spans="1:16" s="4" customFormat="1" ht="118.5" customHeight="1">
      <c r="A37" s="1340"/>
      <c r="B37" s="1474"/>
      <c r="C37" s="1476"/>
      <c r="D37" s="1438"/>
      <c r="E37" s="1436"/>
      <c r="F37" s="1304"/>
      <c r="G37" s="19"/>
      <c r="H37" s="110"/>
      <c r="I37" s="945"/>
      <c r="J37" s="110"/>
      <c r="K37" s="920" t="s">
        <v>728</v>
      </c>
      <c r="L37" s="202">
        <v>3</v>
      </c>
      <c r="M37" s="1097" t="s">
        <v>743</v>
      </c>
      <c r="N37" s="1122" t="s">
        <v>787</v>
      </c>
      <c r="O37" s="888"/>
      <c r="P37" s="851"/>
    </row>
    <row r="38" spans="1:16" s="4" customFormat="1" ht="15.75" customHeight="1">
      <c r="A38" s="1340"/>
      <c r="B38" s="1474"/>
      <c r="C38" s="1476"/>
      <c r="D38" s="1484"/>
      <c r="E38" s="1512"/>
      <c r="F38" s="1500"/>
      <c r="G38" s="22"/>
      <c r="H38" s="116"/>
      <c r="I38" s="946"/>
      <c r="J38" s="116"/>
      <c r="K38" s="960" t="s">
        <v>152</v>
      </c>
      <c r="L38" s="963">
        <v>10</v>
      </c>
      <c r="M38" s="1098" t="s">
        <v>745</v>
      </c>
      <c r="N38" s="1119"/>
      <c r="O38" s="962"/>
      <c r="P38" s="851"/>
    </row>
    <row r="39" spans="1:16" s="4" customFormat="1" ht="23.25" customHeight="1">
      <c r="A39" s="917"/>
      <c r="B39" s="918"/>
      <c r="C39" s="1096" t="s">
        <v>36</v>
      </c>
      <c r="D39" s="1299" t="s">
        <v>194</v>
      </c>
      <c r="E39" s="71"/>
      <c r="F39" s="919" t="s">
        <v>18</v>
      </c>
      <c r="G39" s="19" t="s">
        <v>20</v>
      </c>
      <c r="H39" s="110">
        <f>39+22</f>
        <v>61</v>
      </c>
      <c r="I39" s="945">
        <f>39+22</f>
        <v>61</v>
      </c>
      <c r="J39" s="110">
        <v>46.9</v>
      </c>
      <c r="K39" s="1124" t="s">
        <v>35</v>
      </c>
      <c r="L39" s="204">
        <v>130</v>
      </c>
      <c r="M39" s="296" t="s">
        <v>746</v>
      </c>
      <c r="N39" s="1123"/>
      <c r="O39" s="888"/>
      <c r="P39" s="851"/>
    </row>
    <row r="40" spans="1:16" s="4" customFormat="1" ht="23.25" customHeight="1">
      <c r="A40" s="917"/>
      <c r="B40" s="918"/>
      <c r="C40" s="1087"/>
      <c r="D40" s="1478"/>
      <c r="E40" s="20"/>
      <c r="F40" s="919"/>
      <c r="G40" s="19"/>
      <c r="H40" s="118"/>
      <c r="I40" s="947"/>
      <c r="J40" s="118"/>
      <c r="K40" s="369"/>
      <c r="L40" s="953"/>
      <c r="M40" s="296"/>
      <c r="N40" s="1117"/>
      <c r="O40" s="888"/>
      <c r="P40" s="851"/>
    </row>
    <row r="41" spans="1:16" s="4" customFormat="1" ht="27" customHeight="1">
      <c r="A41" s="917"/>
      <c r="B41" s="928"/>
      <c r="C41" s="1096" t="s">
        <v>37</v>
      </c>
      <c r="D41" s="1298" t="s">
        <v>38</v>
      </c>
      <c r="E41" s="75"/>
      <c r="F41" s="298" t="s">
        <v>18</v>
      </c>
      <c r="G41" s="26" t="s">
        <v>20</v>
      </c>
      <c r="H41" s="109">
        <v>22</v>
      </c>
      <c r="I41" s="948">
        <v>22</v>
      </c>
      <c r="J41" s="109">
        <v>21.5</v>
      </c>
      <c r="K41" s="1060" t="s">
        <v>40</v>
      </c>
      <c r="L41" s="207">
        <v>38</v>
      </c>
      <c r="M41" s="1096" t="s">
        <v>747</v>
      </c>
      <c r="N41" s="1118"/>
      <c r="O41" s="887"/>
      <c r="P41" s="851"/>
    </row>
    <row r="42" spans="1:16" s="4" customFormat="1" ht="42" customHeight="1">
      <c r="A42" s="23"/>
      <c r="B42" s="928"/>
      <c r="C42" s="296"/>
      <c r="D42" s="1484"/>
      <c r="E42" s="21"/>
      <c r="F42" s="940"/>
      <c r="G42" s="22"/>
      <c r="H42" s="116"/>
      <c r="I42" s="946"/>
      <c r="J42" s="116"/>
      <c r="K42" s="949" t="s">
        <v>788</v>
      </c>
      <c r="L42" s="954">
        <v>1</v>
      </c>
      <c r="M42" s="484" t="s">
        <v>18</v>
      </c>
      <c r="N42" s="1125" t="s">
        <v>748</v>
      </c>
      <c r="O42" s="962"/>
      <c r="P42" s="851"/>
    </row>
    <row r="43" spans="1:16" s="4" customFormat="1" ht="17.25" customHeight="1">
      <c r="A43" s="23"/>
      <c r="B43" s="918"/>
      <c r="C43" s="1096" t="s">
        <v>41</v>
      </c>
      <c r="D43" s="1055" t="s">
        <v>118</v>
      </c>
      <c r="E43" s="75"/>
      <c r="F43" s="939" t="s">
        <v>18</v>
      </c>
      <c r="G43" s="406" t="s">
        <v>20</v>
      </c>
      <c r="H43" s="109">
        <v>43.7</v>
      </c>
      <c r="I43" s="948">
        <f>43.7-19.4</f>
        <v>24.300000000000004</v>
      </c>
      <c r="J43" s="109">
        <v>14.7</v>
      </c>
      <c r="K43" s="936" t="s">
        <v>119</v>
      </c>
      <c r="L43" s="959">
        <v>27</v>
      </c>
      <c r="M43" s="1096" t="s">
        <v>749</v>
      </c>
      <c r="N43" s="853"/>
      <c r="O43" s="888"/>
      <c r="P43" s="851"/>
    </row>
    <row r="44" spans="1:16" s="4" customFormat="1" ht="40.5" customHeight="1">
      <c r="A44" s="23"/>
      <c r="B44" s="918"/>
      <c r="C44" s="1096" t="s">
        <v>45</v>
      </c>
      <c r="D44" s="1069" t="s">
        <v>195</v>
      </c>
      <c r="E44" s="405"/>
      <c r="F44" s="161">
        <v>1</v>
      </c>
      <c r="G44" s="131" t="s">
        <v>20</v>
      </c>
      <c r="H44" s="117">
        <v>12</v>
      </c>
      <c r="I44" s="117">
        <v>12</v>
      </c>
      <c r="J44" s="117">
        <v>12</v>
      </c>
      <c r="K44" s="521" t="s">
        <v>789</v>
      </c>
      <c r="L44" s="522">
        <v>1</v>
      </c>
      <c r="M44" s="1129" t="s">
        <v>18</v>
      </c>
      <c r="N44" s="723"/>
      <c r="O44" s="961"/>
      <c r="P44" s="851"/>
    </row>
    <row r="45" spans="1:16" s="1" customFormat="1" ht="16.5" customHeight="1" thickBot="1">
      <c r="A45" s="28"/>
      <c r="B45" s="922"/>
      <c r="C45" s="1144"/>
      <c r="D45" s="923"/>
      <c r="E45" s="542"/>
      <c r="F45" s="543"/>
      <c r="G45" s="700" t="s">
        <v>50</v>
      </c>
      <c r="H45" s="121">
        <f>SUM(H16:H44)</f>
        <v>9562.1000000000022</v>
      </c>
      <c r="I45" s="121">
        <f>SUM(I16:I44)</f>
        <v>9593.1</v>
      </c>
      <c r="J45" s="121">
        <f>SUM(J16:J44)</f>
        <v>9226.1</v>
      </c>
      <c r="K45" s="854"/>
      <c r="L45" s="937"/>
      <c r="M45" s="1072"/>
      <c r="N45" s="551"/>
      <c r="O45" s="530"/>
    </row>
    <row r="46" spans="1:16" s="1" customFormat="1" ht="18" customHeight="1">
      <c r="A46" s="1425" t="s">
        <v>13</v>
      </c>
      <c r="B46" s="1427" t="s">
        <v>13</v>
      </c>
      <c r="C46" s="1429" t="s">
        <v>22</v>
      </c>
      <c r="D46" s="1465" t="s">
        <v>48</v>
      </c>
      <c r="E46" s="1435"/>
      <c r="F46" s="1471" t="s">
        <v>18</v>
      </c>
      <c r="G46" s="332" t="s">
        <v>20</v>
      </c>
      <c r="H46" s="156">
        <f>235-1</f>
        <v>234</v>
      </c>
      <c r="I46" s="156">
        <f>235-1</f>
        <v>234</v>
      </c>
      <c r="J46" s="110">
        <v>216.8</v>
      </c>
      <c r="K46" s="1289" t="s">
        <v>49</v>
      </c>
      <c r="L46" s="549">
        <v>9</v>
      </c>
      <c r="M46" s="1283" t="s">
        <v>745</v>
      </c>
      <c r="N46" s="549"/>
      <c r="O46" s="1286"/>
      <c r="P46" s="848"/>
    </row>
    <row r="47" spans="1:16" s="1" customFormat="1" ht="16.5" customHeight="1">
      <c r="A47" s="1340"/>
      <c r="B47" s="1341"/>
      <c r="C47" s="1430"/>
      <c r="D47" s="1299"/>
      <c r="E47" s="1436"/>
      <c r="F47" s="1473"/>
      <c r="G47" s="22"/>
      <c r="H47" s="116"/>
      <c r="I47" s="116"/>
      <c r="J47" s="116"/>
      <c r="K47" s="1290"/>
      <c r="L47" s="550"/>
      <c r="M47" s="1284"/>
      <c r="N47" s="550"/>
      <c r="O47" s="1287"/>
      <c r="P47" s="848"/>
    </row>
    <row r="48" spans="1:16" s="1" customFormat="1" ht="15.75" customHeight="1" thickBot="1">
      <c r="A48" s="1426"/>
      <c r="B48" s="1428"/>
      <c r="C48" s="1431"/>
      <c r="D48" s="1466"/>
      <c r="E48" s="1437"/>
      <c r="F48" s="1472"/>
      <c r="G48" s="935" t="s">
        <v>50</v>
      </c>
      <c r="H48" s="119">
        <f t="shared" ref="H48" si="0">SUM(H46:H47)</f>
        <v>234</v>
      </c>
      <c r="I48" s="119">
        <f t="shared" ref="I48:J48" si="1">SUM(I46:I47)</f>
        <v>234</v>
      </c>
      <c r="J48" s="119">
        <f t="shared" si="1"/>
        <v>216.8</v>
      </c>
      <c r="K48" s="1291"/>
      <c r="L48" s="551"/>
      <c r="M48" s="1285"/>
      <c r="N48" s="551"/>
      <c r="O48" s="1288"/>
      <c r="P48" s="848"/>
    </row>
    <row r="49" spans="1:16" s="1" customFormat="1" ht="15" customHeight="1">
      <c r="A49" s="1425" t="s">
        <v>13</v>
      </c>
      <c r="B49" s="1427" t="s">
        <v>13</v>
      </c>
      <c r="C49" s="1429" t="s">
        <v>26</v>
      </c>
      <c r="D49" s="1465" t="s">
        <v>51</v>
      </c>
      <c r="E49" s="1435"/>
      <c r="F49" s="1471" t="s">
        <v>18</v>
      </c>
      <c r="G49" s="332" t="s">
        <v>20</v>
      </c>
      <c r="H49" s="156">
        <f>317.5-0.6+49.8</f>
        <v>366.7</v>
      </c>
      <c r="I49" s="156">
        <f>317.5-0.6+49.8</f>
        <v>366.7</v>
      </c>
      <c r="J49" s="156">
        <v>308.3</v>
      </c>
      <c r="K49" s="376" t="s">
        <v>52</v>
      </c>
      <c r="L49" s="549">
        <v>31</v>
      </c>
      <c r="M49" s="1074" t="s">
        <v>750</v>
      </c>
      <c r="N49" s="549"/>
      <c r="O49" s="1205"/>
      <c r="P49" s="848"/>
    </row>
    <row r="50" spans="1:16" s="1" customFormat="1" ht="11.25" customHeight="1">
      <c r="A50" s="1340"/>
      <c r="B50" s="1341"/>
      <c r="C50" s="1430"/>
      <c r="D50" s="1299"/>
      <c r="E50" s="1436"/>
      <c r="F50" s="1473"/>
      <c r="G50" s="22"/>
      <c r="H50" s="116"/>
      <c r="I50" s="116"/>
      <c r="J50" s="116"/>
      <c r="K50" s="927"/>
      <c r="L50" s="550"/>
      <c r="M50" s="1075"/>
      <c r="N50" s="550"/>
      <c r="O50" s="1206"/>
      <c r="P50" s="848"/>
    </row>
    <row r="51" spans="1:16" s="1" customFormat="1" ht="14.25" customHeight="1" thickBot="1">
      <c r="A51" s="1426"/>
      <c r="B51" s="1428"/>
      <c r="C51" s="1431"/>
      <c r="D51" s="923"/>
      <c r="E51" s="1437"/>
      <c r="F51" s="1472"/>
      <c r="G51" s="935" t="s">
        <v>50</v>
      </c>
      <c r="H51" s="119">
        <f>SUM(H49:H50)</f>
        <v>366.7</v>
      </c>
      <c r="I51" s="119">
        <f>SUM(I49:I50)</f>
        <v>366.7</v>
      </c>
      <c r="J51" s="119">
        <f>SUM(J49:J50)</f>
        <v>308.3</v>
      </c>
      <c r="K51" s="106"/>
      <c r="L51" s="532"/>
      <c r="M51" s="1073"/>
      <c r="N51" s="532"/>
      <c r="O51" s="889"/>
      <c r="P51" s="848"/>
    </row>
    <row r="52" spans="1:16" s="1" customFormat="1" ht="25.5" customHeight="1">
      <c r="A52" s="1425" t="s">
        <v>13</v>
      </c>
      <c r="B52" s="1427" t="s">
        <v>13</v>
      </c>
      <c r="C52" s="1429" t="s">
        <v>28</v>
      </c>
      <c r="D52" s="1465" t="s">
        <v>114</v>
      </c>
      <c r="E52" s="1435"/>
      <c r="F52" s="1471" t="s">
        <v>18</v>
      </c>
      <c r="G52" s="343" t="s">
        <v>20</v>
      </c>
      <c r="H52" s="156">
        <f>211.7-0.5+3.9</f>
        <v>215.1</v>
      </c>
      <c r="I52" s="156">
        <f>215.1+44.8</f>
        <v>259.89999999999998</v>
      </c>
      <c r="J52" s="855">
        <v>245</v>
      </c>
      <c r="K52" s="924" t="s">
        <v>115</v>
      </c>
      <c r="L52" s="549">
        <v>13</v>
      </c>
      <c r="M52" s="1074" t="s">
        <v>752</v>
      </c>
      <c r="N52" s="549"/>
      <c r="O52" s="1231"/>
      <c r="P52" s="848"/>
    </row>
    <row r="53" spans="1:16" s="1" customFormat="1" ht="30" customHeight="1">
      <c r="A53" s="1340"/>
      <c r="B53" s="1341"/>
      <c r="C53" s="1430"/>
      <c r="D53" s="1299"/>
      <c r="E53" s="1436"/>
      <c r="F53" s="1473"/>
      <c r="G53" s="131" t="s">
        <v>127</v>
      </c>
      <c r="H53" s="116"/>
      <c r="I53" s="116">
        <v>18</v>
      </c>
      <c r="J53" s="125">
        <v>0</v>
      </c>
      <c r="K53" s="1133" t="s">
        <v>268</v>
      </c>
      <c r="L53" s="1134">
        <v>1</v>
      </c>
      <c r="M53" s="1135" t="s">
        <v>751</v>
      </c>
      <c r="N53" s="1146"/>
      <c r="O53" s="1233" t="s">
        <v>753</v>
      </c>
      <c r="P53" s="848"/>
    </row>
    <row r="54" spans="1:16" s="1" customFormat="1" ht="15.75" customHeight="1" thickBot="1">
      <c r="A54" s="1426"/>
      <c r="B54" s="1428"/>
      <c r="C54" s="1431"/>
      <c r="D54" s="1466"/>
      <c r="E54" s="1437"/>
      <c r="F54" s="1472"/>
      <c r="G54" s="935" t="s">
        <v>50</v>
      </c>
      <c r="H54" s="344">
        <f>SUM(H52:H53)</f>
        <v>215.1</v>
      </c>
      <c r="I54" s="344">
        <f>SUM(I52:I53)</f>
        <v>277.89999999999998</v>
      </c>
      <c r="J54" s="344">
        <f>SUM(J52:J53)</f>
        <v>245</v>
      </c>
      <c r="K54" s="926"/>
      <c r="L54" s="551"/>
      <c r="M54" s="1132"/>
      <c r="N54" s="551"/>
      <c r="O54" s="1232"/>
      <c r="P54" s="848"/>
    </row>
    <row r="55" spans="1:16" s="1" customFormat="1" ht="19.5" customHeight="1">
      <c r="A55" s="1425" t="s">
        <v>13</v>
      </c>
      <c r="B55" s="1427" t="s">
        <v>13</v>
      </c>
      <c r="C55" s="1429" t="s">
        <v>30</v>
      </c>
      <c r="D55" s="1465" t="s">
        <v>53</v>
      </c>
      <c r="E55" s="1435"/>
      <c r="F55" s="1471" t="s">
        <v>18</v>
      </c>
      <c r="G55" s="36" t="s">
        <v>20</v>
      </c>
      <c r="H55" s="120">
        <v>15.7</v>
      </c>
      <c r="I55" s="120">
        <v>15.7</v>
      </c>
      <c r="J55" s="120">
        <v>9.4</v>
      </c>
      <c r="K55" s="376"/>
      <c r="L55" s="531"/>
      <c r="M55" s="1076"/>
      <c r="N55" s="531"/>
      <c r="O55" s="890"/>
      <c r="P55" s="848"/>
    </row>
    <row r="56" spans="1:16" s="1" customFormat="1" ht="15.75" customHeight="1" thickBot="1">
      <c r="A56" s="1426"/>
      <c r="B56" s="1428"/>
      <c r="C56" s="1431"/>
      <c r="D56" s="1466"/>
      <c r="E56" s="1437"/>
      <c r="F56" s="1472"/>
      <c r="G56" s="935" t="s">
        <v>50</v>
      </c>
      <c r="H56" s="121">
        <f t="shared" ref="H56" si="2">SUM(H55:H55)</f>
        <v>15.7</v>
      </c>
      <c r="I56" s="121">
        <f t="shared" ref="I56:J56" si="3">SUM(I55:I55)</f>
        <v>15.7</v>
      </c>
      <c r="J56" s="121">
        <f t="shared" si="3"/>
        <v>9.4</v>
      </c>
      <c r="K56" s="107"/>
      <c r="L56" s="551"/>
      <c r="M56" s="1077"/>
      <c r="N56" s="551"/>
      <c r="O56" s="530"/>
      <c r="P56" s="848"/>
    </row>
    <row r="57" spans="1:16" s="1" customFormat="1" ht="15.75" customHeight="1">
      <c r="A57" s="921" t="s">
        <v>13</v>
      </c>
      <c r="B57" s="379" t="s">
        <v>13</v>
      </c>
      <c r="C57" s="1140" t="s">
        <v>33</v>
      </c>
      <c r="D57" s="1506" t="s">
        <v>54</v>
      </c>
      <c r="E57" s="670"/>
      <c r="F57" s="671"/>
      <c r="G57" s="326"/>
      <c r="H57" s="169"/>
      <c r="I57" s="156"/>
      <c r="J57" s="156"/>
      <c r="K57" s="673"/>
      <c r="L57" s="549"/>
      <c r="M57" s="1074"/>
      <c r="N57" s="549"/>
      <c r="O57" s="874"/>
      <c r="P57" s="848"/>
    </row>
    <row r="58" spans="1:16" s="1" customFormat="1" ht="12.75" customHeight="1">
      <c r="A58" s="917"/>
      <c r="B58" s="29"/>
      <c r="C58" s="1141"/>
      <c r="D58" s="1508"/>
      <c r="E58" s="672"/>
      <c r="F58" s="940"/>
      <c r="G58" s="52"/>
      <c r="H58" s="903"/>
      <c r="I58" s="116"/>
      <c r="J58" s="116"/>
      <c r="K58" s="336"/>
      <c r="L58" s="550"/>
      <c r="M58" s="1075"/>
      <c r="N58" s="550"/>
      <c r="O58" s="552"/>
      <c r="P58" s="848"/>
    </row>
    <row r="59" spans="1:16" s="1" customFormat="1" ht="15.75" customHeight="1">
      <c r="A59" s="917"/>
      <c r="B59" s="29"/>
      <c r="C59" s="1096" t="s">
        <v>13</v>
      </c>
      <c r="D59" s="1298" t="s">
        <v>120</v>
      </c>
      <c r="E59" s="79"/>
      <c r="F59" s="919">
        <v>1</v>
      </c>
      <c r="G59" s="26" t="s">
        <v>20</v>
      </c>
      <c r="H59" s="907">
        <v>52.8</v>
      </c>
      <c r="I59" s="907">
        <f>52.8+2.4</f>
        <v>55.199999999999996</v>
      </c>
      <c r="J59" s="110">
        <v>55.8</v>
      </c>
      <c r="K59" s="1253" t="s">
        <v>105</v>
      </c>
      <c r="L59" s="226">
        <v>3</v>
      </c>
      <c r="M59" s="1078" t="s">
        <v>754</v>
      </c>
      <c r="N59" s="550"/>
      <c r="O59" s="552"/>
      <c r="P59" s="848"/>
    </row>
    <row r="60" spans="1:16" s="1" customFormat="1" ht="9.75" customHeight="1">
      <c r="A60" s="917"/>
      <c r="B60" s="29"/>
      <c r="C60" s="1147"/>
      <c r="D60" s="1299"/>
      <c r="E60" s="297"/>
      <c r="F60" s="299"/>
      <c r="G60" s="19"/>
      <c r="H60" s="110"/>
      <c r="I60" s="330"/>
      <c r="J60" s="110"/>
      <c r="K60" s="1509"/>
      <c r="L60" s="550"/>
      <c r="M60" s="1075"/>
      <c r="N60" s="550"/>
      <c r="O60" s="552"/>
      <c r="P60" s="848"/>
    </row>
    <row r="61" spans="1:16" s="1" customFormat="1" ht="15.75" customHeight="1">
      <c r="A61" s="917"/>
      <c r="B61" s="29"/>
      <c r="C61" s="1147"/>
      <c r="D61" s="1299"/>
      <c r="E61" s="297"/>
      <c r="F61" s="919">
        <v>5</v>
      </c>
      <c r="G61" s="635" t="s">
        <v>20</v>
      </c>
      <c r="H61" s="109">
        <v>20.5</v>
      </c>
      <c r="I61" s="109">
        <v>20.5</v>
      </c>
      <c r="J61" s="109"/>
      <c r="K61" s="1328" t="s">
        <v>139</v>
      </c>
      <c r="L61" s="856">
        <v>1</v>
      </c>
      <c r="M61" s="1079" t="s">
        <v>18</v>
      </c>
      <c r="N61" s="899"/>
      <c r="O61" s="900"/>
      <c r="P61" s="848"/>
    </row>
    <row r="62" spans="1:16" s="1" customFormat="1" ht="20.25" customHeight="1">
      <c r="A62" s="917"/>
      <c r="B62" s="29"/>
      <c r="C62" s="1147"/>
      <c r="D62" s="931"/>
      <c r="E62" s="493"/>
      <c r="F62" s="299"/>
      <c r="G62" s="520" t="s">
        <v>127</v>
      </c>
      <c r="H62" s="116">
        <v>22.6</v>
      </c>
      <c r="I62" s="116">
        <f>22.6-0.7</f>
        <v>21.900000000000002</v>
      </c>
      <c r="J62" s="116">
        <v>21.9</v>
      </c>
      <c r="K62" s="1510"/>
      <c r="L62" s="857"/>
      <c r="M62" s="1080"/>
      <c r="N62" s="899"/>
      <c r="O62" s="900"/>
      <c r="P62" s="848"/>
    </row>
    <row r="63" spans="1:16" s="1" customFormat="1" ht="30" customHeight="1">
      <c r="A63" s="917"/>
      <c r="B63" s="29"/>
      <c r="C63" s="1096" t="s">
        <v>22</v>
      </c>
      <c r="D63" s="1299" t="s">
        <v>269</v>
      </c>
      <c r="E63" s="794"/>
      <c r="F63" s="929">
        <v>5</v>
      </c>
      <c r="G63" s="16" t="s">
        <v>20</v>
      </c>
      <c r="H63" s="110">
        <f>65.2-15.6</f>
        <v>49.6</v>
      </c>
      <c r="I63" s="110">
        <f>65.2-15.6</f>
        <v>49.6</v>
      </c>
      <c r="J63" s="110">
        <v>44.8</v>
      </c>
      <c r="K63" s="341" t="s">
        <v>57</v>
      </c>
      <c r="L63" s="219">
        <v>10</v>
      </c>
      <c r="M63" s="1081" t="s">
        <v>745</v>
      </c>
      <c r="N63" s="550"/>
      <c r="O63" s="901"/>
      <c r="P63" s="848"/>
    </row>
    <row r="64" spans="1:16" s="1" customFormat="1" ht="60" customHeight="1">
      <c r="A64" s="917"/>
      <c r="B64" s="29"/>
      <c r="C64" s="1075"/>
      <c r="D64" s="1299"/>
      <c r="E64" s="69"/>
      <c r="F64" s="919"/>
      <c r="G64" s="98" t="s">
        <v>127</v>
      </c>
      <c r="H64" s="111"/>
      <c r="I64" s="111">
        <v>2.2000000000000002</v>
      </c>
      <c r="J64" s="111">
        <v>2.2000000000000002</v>
      </c>
      <c r="K64" s="159" t="s">
        <v>270</v>
      </c>
      <c r="L64" s="221">
        <v>17</v>
      </c>
      <c r="M64" s="1082" t="s">
        <v>756</v>
      </c>
      <c r="N64" s="550"/>
      <c r="O64" s="552"/>
      <c r="P64" s="848"/>
    </row>
    <row r="65" spans="1:16" s="1" customFormat="1" ht="75" customHeight="1">
      <c r="A65" s="917"/>
      <c r="B65" s="29"/>
      <c r="C65" s="1075"/>
      <c r="D65" s="1299"/>
      <c r="E65" s="69"/>
      <c r="F65" s="919"/>
      <c r="G65" s="98"/>
      <c r="H65" s="111"/>
      <c r="I65" s="111"/>
      <c r="J65" s="111"/>
      <c r="K65" s="933" t="s">
        <v>271</v>
      </c>
      <c r="L65" s="506">
        <v>315</v>
      </c>
      <c r="M65" s="1083" t="s">
        <v>755</v>
      </c>
      <c r="N65" s="550"/>
      <c r="O65" s="552"/>
      <c r="P65" s="848"/>
    </row>
    <row r="66" spans="1:16" s="1" customFormat="1" ht="32.25" customHeight="1">
      <c r="A66" s="822"/>
      <c r="B66" s="29"/>
      <c r="C66" s="1096" t="s">
        <v>26</v>
      </c>
      <c r="D66" s="930" t="s">
        <v>272</v>
      </c>
      <c r="E66" s="958"/>
      <c r="F66" s="939">
        <v>5</v>
      </c>
      <c r="G66" s="385" t="s">
        <v>20</v>
      </c>
      <c r="H66" s="386">
        <f>56.4-35-3</f>
        <v>18.399999999999999</v>
      </c>
      <c r="I66" s="386">
        <f>56.4-35-3+5.9</f>
        <v>24.299999999999997</v>
      </c>
      <c r="J66" s="386">
        <v>22.7</v>
      </c>
      <c r="K66" s="905" t="s">
        <v>273</v>
      </c>
      <c r="L66" s="644">
        <v>35</v>
      </c>
      <c r="M66" s="1084" t="s">
        <v>747</v>
      </c>
      <c r="N66" s="1479" t="s">
        <v>790</v>
      </c>
      <c r="O66" s="1485"/>
      <c r="P66" s="848"/>
    </row>
    <row r="67" spans="1:16" s="1" customFormat="1" ht="186" customHeight="1">
      <c r="A67" s="822"/>
      <c r="B67" s="29"/>
      <c r="C67" s="1147"/>
      <c r="D67" s="858"/>
      <c r="E67" s="70"/>
      <c r="F67" s="940"/>
      <c r="G67" s="99" t="s">
        <v>127</v>
      </c>
      <c r="H67" s="544"/>
      <c r="I67" s="544">
        <v>0.7</v>
      </c>
      <c r="J67" s="859">
        <v>0</v>
      </c>
      <c r="K67" s="860"/>
      <c r="L67" s="861"/>
      <c r="M67" s="1085"/>
      <c r="N67" s="1486"/>
      <c r="O67" s="1487"/>
      <c r="P67" s="848"/>
    </row>
    <row r="68" spans="1:16" s="1" customFormat="1" ht="35.25" customHeight="1">
      <c r="A68" s="822"/>
      <c r="B68" s="29"/>
      <c r="C68" s="1096" t="s">
        <v>28</v>
      </c>
      <c r="D68" s="1178" t="s">
        <v>274</v>
      </c>
      <c r="E68" s="1179"/>
      <c r="F68" s="1180">
        <v>5</v>
      </c>
      <c r="G68" s="1148" t="s">
        <v>20</v>
      </c>
      <c r="H68" s="1149">
        <f>36.4-5</f>
        <v>31.4</v>
      </c>
      <c r="I68" s="1149">
        <f>36.4-5</f>
        <v>31.4</v>
      </c>
      <c r="J68" s="1149">
        <v>20</v>
      </c>
      <c r="K68" s="1150" t="s">
        <v>791</v>
      </c>
      <c r="L68" s="1151">
        <v>1</v>
      </c>
      <c r="M68" s="1152" t="s">
        <v>18</v>
      </c>
      <c r="N68" s="523"/>
      <c r="O68" s="1153"/>
      <c r="P68" s="848"/>
    </row>
    <row r="69" spans="1:16" s="1" customFormat="1" ht="15.75" customHeight="1" thickBot="1">
      <c r="A69" s="821"/>
      <c r="B69" s="383"/>
      <c r="C69" s="1144"/>
      <c r="D69" s="533"/>
      <c r="E69" s="862"/>
      <c r="F69" s="320"/>
      <c r="G69" s="863" t="s">
        <v>50</v>
      </c>
      <c r="H69" s="904">
        <f>SUM(H57:H68)</f>
        <v>195.3</v>
      </c>
      <c r="I69" s="119">
        <f>SUM(I57:I68)</f>
        <v>205.79999999999998</v>
      </c>
      <c r="J69" s="119">
        <f>SUM(J57:J68)</f>
        <v>167.39999999999998</v>
      </c>
      <c r="K69" s="107"/>
      <c r="L69" s="551"/>
      <c r="M69" s="1077"/>
      <c r="N69" s="551"/>
      <c r="O69" s="530"/>
      <c r="P69" s="848"/>
    </row>
    <row r="70" spans="1:16" s="4" customFormat="1" ht="18.75" customHeight="1">
      <c r="A70" s="1340" t="s">
        <v>13</v>
      </c>
      <c r="B70" s="1341" t="s">
        <v>13</v>
      </c>
      <c r="C70" s="1430" t="s">
        <v>36</v>
      </c>
      <c r="D70" s="1299" t="s">
        <v>58</v>
      </c>
      <c r="E70" s="1467"/>
      <c r="F70" s="1488" t="s">
        <v>18</v>
      </c>
      <c r="G70" s="864" t="s">
        <v>20</v>
      </c>
      <c r="H70" s="181">
        <v>91</v>
      </c>
      <c r="I70" s="181">
        <v>37</v>
      </c>
      <c r="J70" s="110">
        <v>30.4</v>
      </c>
      <c r="K70" s="1489" t="s">
        <v>207</v>
      </c>
      <c r="L70" s="550">
        <v>2</v>
      </c>
      <c r="M70" s="1075" t="s">
        <v>757</v>
      </c>
      <c r="N70" s="550"/>
      <c r="O70" s="552"/>
      <c r="P70" s="851"/>
    </row>
    <row r="71" spans="1:16" s="4" customFormat="1" ht="15.75" customHeight="1">
      <c r="A71" s="1340"/>
      <c r="B71" s="1341"/>
      <c r="C71" s="1430"/>
      <c r="D71" s="1299"/>
      <c r="E71" s="1467"/>
      <c r="F71" s="1488"/>
      <c r="G71" s="865" t="s">
        <v>20</v>
      </c>
      <c r="H71" s="192">
        <v>2904.2</v>
      </c>
      <c r="I71" s="192">
        <v>2904.2</v>
      </c>
      <c r="J71" s="128">
        <v>2904.2</v>
      </c>
      <c r="K71" s="1489"/>
      <c r="L71" s="550"/>
      <c r="M71" s="1075"/>
      <c r="N71" s="550"/>
      <c r="O71" s="552"/>
      <c r="P71" s="851"/>
    </row>
    <row r="72" spans="1:16" s="4" customFormat="1" ht="13.5" thickBot="1">
      <c r="A72" s="1426"/>
      <c r="B72" s="1428"/>
      <c r="C72" s="1431"/>
      <c r="D72" s="1466"/>
      <c r="E72" s="1468"/>
      <c r="F72" s="1470"/>
      <c r="G72" s="306" t="s">
        <v>50</v>
      </c>
      <c r="H72" s="264">
        <f t="shared" ref="H72" si="4">H70+H71</f>
        <v>2995.2</v>
      </c>
      <c r="I72" s="264">
        <f t="shared" ref="I72:J72" si="5">I70+I71</f>
        <v>2941.2</v>
      </c>
      <c r="J72" s="121">
        <f t="shared" si="5"/>
        <v>2934.6</v>
      </c>
      <c r="K72" s="1490"/>
      <c r="L72" s="551"/>
      <c r="M72" s="1077"/>
      <c r="N72" s="551"/>
      <c r="O72" s="530"/>
      <c r="P72" s="851"/>
    </row>
    <row r="73" spans="1:16" s="4" customFormat="1" ht="15" customHeight="1">
      <c r="A73" s="1425" t="s">
        <v>13</v>
      </c>
      <c r="B73" s="1427" t="s">
        <v>13</v>
      </c>
      <c r="C73" s="1430" t="s">
        <v>37</v>
      </c>
      <c r="D73" s="1465" t="s">
        <v>59</v>
      </c>
      <c r="E73" s="1467"/>
      <c r="F73" s="1469" t="s">
        <v>18</v>
      </c>
      <c r="G73" s="101" t="s">
        <v>20</v>
      </c>
      <c r="H73" s="128">
        <v>29</v>
      </c>
      <c r="I73" s="128">
        <v>29</v>
      </c>
      <c r="J73" s="128">
        <v>0</v>
      </c>
      <c r="K73" s="32"/>
      <c r="L73" s="549"/>
      <c r="M73" s="1074"/>
      <c r="N73" s="549"/>
      <c r="O73" s="874"/>
      <c r="P73" s="851"/>
    </row>
    <row r="74" spans="1:16" s="4" customFormat="1" ht="18.75" customHeight="1" thickBot="1">
      <c r="A74" s="1426"/>
      <c r="B74" s="1428"/>
      <c r="C74" s="1431"/>
      <c r="D74" s="1466"/>
      <c r="E74" s="1468"/>
      <c r="F74" s="1470"/>
      <c r="G74" s="97" t="s">
        <v>50</v>
      </c>
      <c r="H74" s="121">
        <f t="shared" ref="H74" si="6">H73</f>
        <v>29</v>
      </c>
      <c r="I74" s="121">
        <f>I73</f>
        <v>29</v>
      </c>
      <c r="J74" s="121">
        <f t="shared" ref="J74" si="7">J73</f>
        <v>0</v>
      </c>
      <c r="K74" s="129"/>
      <c r="L74" s="551"/>
      <c r="M74" s="1077"/>
      <c r="N74" s="551"/>
      <c r="O74" s="530"/>
      <c r="P74" s="851"/>
    </row>
    <row r="75" spans="1:16" s="1" customFormat="1" ht="10.5" customHeight="1">
      <c r="A75" s="33" t="s">
        <v>13</v>
      </c>
      <c r="B75" s="34" t="s">
        <v>13</v>
      </c>
      <c r="C75" s="1143" t="s">
        <v>41</v>
      </c>
      <c r="D75" s="1330" t="s">
        <v>60</v>
      </c>
      <c r="E75" s="35"/>
      <c r="F75" s="147">
        <v>1</v>
      </c>
      <c r="G75" s="77"/>
      <c r="H75" s="169"/>
      <c r="I75" s="169"/>
      <c r="J75" s="169"/>
      <c r="K75" s="673"/>
      <c r="L75" s="846"/>
      <c r="M75" s="1086"/>
      <c r="N75" s="549"/>
      <c r="O75" s="874"/>
      <c r="P75" s="848"/>
    </row>
    <row r="76" spans="1:16" s="1" customFormat="1" ht="43.5" customHeight="1">
      <c r="A76" s="13"/>
      <c r="B76" s="14"/>
      <c r="C76" s="1059"/>
      <c r="D76" s="1453"/>
      <c r="E76" s="37"/>
      <c r="F76" s="41"/>
      <c r="G76" s="55"/>
      <c r="H76" s="93"/>
      <c r="I76" s="93"/>
      <c r="J76" s="93"/>
      <c r="K76" s="793"/>
      <c r="L76" s="739"/>
      <c r="M76" s="1087"/>
      <c r="N76" s="739"/>
      <c r="O76" s="1070"/>
      <c r="P76" s="848"/>
    </row>
    <row r="77" spans="1:16" s="1" customFormat="1" ht="18" customHeight="1">
      <c r="A77" s="13"/>
      <c r="B77" s="14"/>
      <c r="C77" s="1096" t="s">
        <v>13</v>
      </c>
      <c r="D77" s="1298" t="s">
        <v>62</v>
      </c>
      <c r="E77" s="950"/>
      <c r="F77" s="148"/>
      <c r="G77" s="26" t="s">
        <v>20</v>
      </c>
      <c r="H77" s="109">
        <v>26</v>
      </c>
      <c r="I77" s="109">
        <v>26</v>
      </c>
      <c r="J77" s="123">
        <v>26</v>
      </c>
      <c r="K77" s="1492" t="s">
        <v>116</v>
      </c>
      <c r="L77" s="207">
        <v>67</v>
      </c>
      <c r="M77" s="1088" t="s">
        <v>747</v>
      </c>
      <c r="N77" s="1479" t="s">
        <v>779</v>
      </c>
      <c r="O77" s="1157"/>
      <c r="P77" s="848"/>
    </row>
    <row r="78" spans="1:16" s="1" customFormat="1" ht="48" customHeight="1">
      <c r="A78" s="13"/>
      <c r="B78" s="14"/>
      <c r="C78" s="1098"/>
      <c r="D78" s="1491"/>
      <c r="E78" s="74"/>
      <c r="F78" s="139"/>
      <c r="G78" s="22" t="s">
        <v>275</v>
      </c>
      <c r="H78" s="116">
        <v>20</v>
      </c>
      <c r="I78" s="116">
        <v>20</v>
      </c>
      <c r="J78" s="116">
        <v>4.2</v>
      </c>
      <c r="K78" s="1493"/>
      <c r="L78" s="198"/>
      <c r="M78" s="1089"/>
      <c r="N78" s="1480"/>
      <c r="O78" s="1158"/>
      <c r="P78" s="848"/>
    </row>
    <row r="79" spans="1:16" s="1" customFormat="1" ht="14.25" customHeight="1">
      <c r="A79" s="13"/>
      <c r="B79" s="14"/>
      <c r="C79" s="296" t="s">
        <v>22</v>
      </c>
      <c r="D79" s="1494" t="s">
        <v>63</v>
      </c>
      <c r="E79" s="37"/>
      <c r="F79" s="41"/>
      <c r="G79" s="908" t="s">
        <v>24</v>
      </c>
      <c r="H79" s="110">
        <v>27</v>
      </c>
      <c r="I79" s="110">
        <v>27</v>
      </c>
      <c r="J79" s="110">
        <v>27</v>
      </c>
      <c r="K79" s="1290" t="s">
        <v>144</v>
      </c>
      <c r="L79" s="739">
        <v>18</v>
      </c>
      <c r="M79" s="1087" t="s">
        <v>758</v>
      </c>
      <c r="N79" s="739"/>
      <c r="O79" s="1070"/>
      <c r="P79" s="848"/>
    </row>
    <row r="80" spans="1:16" s="1" customFormat="1" ht="16.5" customHeight="1">
      <c r="A80" s="13"/>
      <c r="B80" s="14"/>
      <c r="C80" s="296"/>
      <c r="D80" s="1495"/>
      <c r="E80" s="37"/>
      <c r="F80" s="41"/>
      <c r="G80" s="19"/>
      <c r="H80" s="308"/>
      <c r="I80" s="308"/>
      <c r="J80" s="308"/>
      <c r="K80" s="1290"/>
      <c r="L80" s="198"/>
      <c r="M80" s="1089"/>
      <c r="N80" s="198"/>
      <c r="O80" s="253"/>
      <c r="P80" s="848"/>
    </row>
    <row r="81" spans="1:16" s="1" customFormat="1" ht="28.5" customHeight="1">
      <c r="A81" s="13"/>
      <c r="B81" s="14"/>
      <c r="C81" s="1096" t="s">
        <v>26</v>
      </c>
      <c r="D81" s="1496" t="s">
        <v>64</v>
      </c>
      <c r="E81" s="950"/>
      <c r="F81" s="148"/>
      <c r="G81" s="26" t="s">
        <v>24</v>
      </c>
      <c r="H81" s="109">
        <v>68</v>
      </c>
      <c r="I81" s="109">
        <v>68</v>
      </c>
      <c r="J81" s="109">
        <v>6.9</v>
      </c>
      <c r="K81" s="1060" t="s">
        <v>145</v>
      </c>
      <c r="L81" s="209">
        <v>11</v>
      </c>
      <c r="M81" s="1090" t="s">
        <v>757</v>
      </c>
      <c r="N81" s="1298" t="s">
        <v>571</v>
      </c>
      <c r="O81" s="247"/>
      <c r="P81" s="848"/>
    </row>
    <row r="82" spans="1:16" s="1" customFormat="1" ht="45" customHeight="1">
      <c r="A82" s="13"/>
      <c r="B82" s="14"/>
      <c r="C82" s="1098"/>
      <c r="D82" s="1478"/>
      <c r="E82" s="74"/>
      <c r="F82" s="139"/>
      <c r="G82" s="22"/>
      <c r="H82" s="116"/>
      <c r="I82" s="116"/>
      <c r="J82" s="116"/>
      <c r="K82" s="1061"/>
      <c r="L82" s="210"/>
      <c r="M82" s="1091"/>
      <c r="N82" s="1481"/>
      <c r="O82" s="894"/>
      <c r="P82" s="848"/>
    </row>
    <row r="83" spans="1:16" s="1" customFormat="1" ht="24" customHeight="1">
      <c r="A83" s="13"/>
      <c r="B83" s="40"/>
      <c r="C83" s="1147" t="s">
        <v>28</v>
      </c>
      <c r="D83" s="1298" t="s">
        <v>143</v>
      </c>
      <c r="E83" s="20"/>
      <c r="F83" s="41"/>
      <c r="G83" s="26" t="s">
        <v>24</v>
      </c>
      <c r="H83" s="109">
        <v>4.5</v>
      </c>
      <c r="I83" s="109">
        <v>4.5</v>
      </c>
      <c r="J83" s="110">
        <v>4.3</v>
      </c>
      <c r="K83" s="818" t="s">
        <v>99</v>
      </c>
      <c r="L83" s="207">
        <v>2</v>
      </c>
      <c r="M83" s="1088" t="s">
        <v>751</v>
      </c>
      <c r="N83" s="1298" t="s">
        <v>780</v>
      </c>
      <c r="O83" s="891"/>
      <c r="P83" s="848"/>
    </row>
    <row r="84" spans="1:16" s="1" customFormat="1" ht="27" customHeight="1">
      <c r="A84" s="13"/>
      <c r="B84" s="40"/>
      <c r="C84" s="1147"/>
      <c r="D84" s="1438"/>
      <c r="E84" s="20"/>
      <c r="F84" s="41"/>
      <c r="G84" s="19"/>
      <c r="H84" s="110"/>
      <c r="I84" s="110"/>
      <c r="J84" s="110"/>
      <c r="K84" s="1066"/>
      <c r="L84" s="198"/>
      <c r="M84" s="1089"/>
      <c r="N84" s="1481"/>
      <c r="O84" s="893"/>
      <c r="P84" s="848"/>
    </row>
    <row r="85" spans="1:16" s="1" customFormat="1" ht="109.5" customHeight="1">
      <c r="A85" s="13"/>
      <c r="B85" s="14"/>
      <c r="C85" s="1129" t="s">
        <v>30</v>
      </c>
      <c r="D85" s="1164" t="s">
        <v>276</v>
      </c>
      <c r="E85" s="162"/>
      <c r="F85" s="163"/>
      <c r="G85" s="909" t="s">
        <v>20</v>
      </c>
      <c r="H85" s="117">
        <v>4</v>
      </c>
      <c r="I85" s="117">
        <v>4</v>
      </c>
      <c r="J85" s="117">
        <v>0</v>
      </c>
      <c r="K85" s="1159" t="s">
        <v>146</v>
      </c>
      <c r="L85" s="1160">
        <v>10</v>
      </c>
      <c r="M85" s="1161" t="s">
        <v>751</v>
      </c>
      <c r="N85" s="1162"/>
      <c r="O85" s="1163" t="s">
        <v>579</v>
      </c>
      <c r="P85" s="848"/>
    </row>
    <row r="86" spans="1:16" s="1" customFormat="1" ht="54" customHeight="1">
      <c r="A86" s="13"/>
      <c r="B86" s="40"/>
      <c r="C86" s="1147" t="s">
        <v>33</v>
      </c>
      <c r="D86" s="1062" t="s">
        <v>151</v>
      </c>
      <c r="E86" s="528"/>
      <c r="F86" s="41"/>
      <c r="G86" s="19" t="s">
        <v>20</v>
      </c>
      <c r="H86" s="110">
        <v>7.6</v>
      </c>
      <c r="I86" s="110">
        <v>7.6</v>
      </c>
      <c r="J86" s="110">
        <v>4.5</v>
      </c>
      <c r="K86" s="927" t="s">
        <v>149</v>
      </c>
      <c r="L86" s="211">
        <v>116</v>
      </c>
      <c r="M86" s="1092" t="s">
        <v>759</v>
      </c>
      <c r="N86" s="464"/>
      <c r="O86" s="895"/>
      <c r="P86" s="848"/>
    </row>
    <row r="87" spans="1:16" s="1" customFormat="1" ht="25.5" customHeight="1">
      <c r="A87" s="13"/>
      <c r="B87" s="14"/>
      <c r="C87" s="1096" t="s">
        <v>36</v>
      </c>
      <c r="D87" s="1439" t="s">
        <v>67</v>
      </c>
      <c r="E87" s="1155"/>
      <c r="F87" s="148"/>
      <c r="G87" s="26" t="s">
        <v>20</v>
      </c>
      <c r="H87" s="283">
        <v>1.7</v>
      </c>
      <c r="I87" s="283">
        <v>1.7</v>
      </c>
      <c r="J87" s="283">
        <v>1.6</v>
      </c>
      <c r="K87" s="1060" t="s">
        <v>68</v>
      </c>
      <c r="L87" s="395">
        <v>19</v>
      </c>
      <c r="M87" s="1093" t="s">
        <v>760</v>
      </c>
      <c r="N87" s="769"/>
      <c r="O87" s="896"/>
      <c r="P87" s="848"/>
    </row>
    <row r="88" spans="1:16" s="1" customFormat="1" ht="19.5" customHeight="1">
      <c r="A88" s="13"/>
      <c r="B88" s="14"/>
      <c r="C88" s="1098"/>
      <c r="D88" s="1439"/>
      <c r="E88" s="1154"/>
      <c r="F88" s="139"/>
      <c r="G88" s="22" t="s">
        <v>20</v>
      </c>
      <c r="H88" s="287"/>
      <c r="I88" s="287"/>
      <c r="J88" s="287"/>
      <c r="K88" s="866"/>
      <c r="L88" s="210"/>
      <c r="M88" s="1091"/>
      <c r="N88" s="229"/>
      <c r="O88" s="894"/>
      <c r="P88" s="848"/>
    </row>
    <row r="89" spans="1:16" s="1" customFormat="1" ht="42" customHeight="1">
      <c r="A89" s="13"/>
      <c r="B89" s="40"/>
      <c r="C89" s="1147" t="s">
        <v>37</v>
      </c>
      <c r="D89" s="1062" t="s">
        <v>69</v>
      </c>
      <c r="E89" s="528"/>
      <c r="F89" s="41"/>
      <c r="G89" s="19" t="s">
        <v>20</v>
      </c>
      <c r="H89" s="110">
        <v>2</v>
      </c>
      <c r="I89" s="110">
        <v>2</v>
      </c>
      <c r="J89" s="110">
        <v>0.5</v>
      </c>
      <c r="K89" s="927" t="s">
        <v>70</v>
      </c>
      <c r="L89" s="206">
        <v>80</v>
      </c>
      <c r="M89" s="1094" t="s">
        <v>761</v>
      </c>
      <c r="N89" s="464"/>
      <c r="O89" s="895"/>
      <c r="P89" s="848"/>
    </row>
    <row r="90" spans="1:16" s="1" customFormat="1" ht="30" customHeight="1">
      <c r="A90" s="13"/>
      <c r="B90" s="40"/>
      <c r="C90" s="1129" t="s">
        <v>41</v>
      </c>
      <c r="D90" s="1067" t="s">
        <v>71</v>
      </c>
      <c r="E90" s="1156"/>
      <c r="F90" s="163"/>
      <c r="G90" s="46" t="s">
        <v>20</v>
      </c>
      <c r="H90" s="117">
        <v>5</v>
      </c>
      <c r="I90" s="117">
        <v>5</v>
      </c>
      <c r="J90" s="117">
        <v>2.9</v>
      </c>
      <c r="K90" s="303" t="s">
        <v>277</v>
      </c>
      <c r="L90" s="867">
        <v>1</v>
      </c>
      <c r="M90" s="1095" t="s">
        <v>18</v>
      </c>
      <c r="N90" s="227"/>
      <c r="O90" s="892"/>
      <c r="P90" s="848"/>
    </row>
    <row r="91" spans="1:16" s="1" customFormat="1" ht="44.25" customHeight="1">
      <c r="A91" s="13"/>
      <c r="B91" s="40"/>
      <c r="C91" s="1075" t="s">
        <v>45</v>
      </c>
      <c r="D91" s="1326" t="s">
        <v>72</v>
      </c>
      <c r="E91" s="528"/>
      <c r="F91" s="41"/>
      <c r="G91" s="501" t="s">
        <v>24</v>
      </c>
      <c r="H91" s="109">
        <v>47.2</v>
      </c>
      <c r="I91" s="109">
        <v>47.2</v>
      </c>
      <c r="J91" s="110">
        <v>25</v>
      </c>
      <c r="K91" s="1166" t="s">
        <v>209</v>
      </c>
      <c r="L91" s="1167">
        <v>100</v>
      </c>
      <c r="M91" s="1168" t="s">
        <v>751</v>
      </c>
      <c r="N91" s="1165"/>
      <c r="O91" s="1169" t="s">
        <v>764</v>
      </c>
      <c r="P91" s="848"/>
    </row>
    <row r="92" spans="1:16" s="1" customFormat="1" ht="28.5" customHeight="1">
      <c r="A92" s="13"/>
      <c r="B92" s="40"/>
      <c r="C92" s="1075"/>
      <c r="D92" s="1440"/>
      <c r="E92" s="528"/>
      <c r="F92" s="41"/>
      <c r="G92" s="55" t="s">
        <v>25</v>
      </c>
      <c r="H92" s="110">
        <f>60.8+17.9</f>
        <v>78.699999999999989</v>
      </c>
      <c r="I92" s="110">
        <f>60.8+17.9</f>
        <v>78.699999999999989</v>
      </c>
      <c r="J92" s="110">
        <v>0</v>
      </c>
      <c r="K92" s="910" t="s">
        <v>278</v>
      </c>
      <c r="L92" s="911">
        <v>100</v>
      </c>
      <c r="M92" s="1097" t="s">
        <v>762</v>
      </c>
      <c r="N92" s="898"/>
      <c r="O92" s="897"/>
      <c r="P92" s="848"/>
    </row>
    <row r="93" spans="1:16" s="1" customFormat="1" ht="37.5" customHeight="1">
      <c r="A93" s="13"/>
      <c r="B93" s="40"/>
      <c r="C93" s="1075"/>
      <c r="D93" s="1440"/>
      <c r="E93" s="528"/>
      <c r="F93" s="41"/>
      <c r="G93" s="55"/>
      <c r="H93" s="110"/>
      <c r="I93" s="309"/>
      <c r="J93" s="110"/>
      <c r="K93" s="159" t="s">
        <v>279</v>
      </c>
      <c r="L93" s="202">
        <v>100</v>
      </c>
      <c r="M93" s="1097" t="s">
        <v>751</v>
      </c>
      <c r="N93" s="898"/>
      <c r="O93" s="1170" t="s">
        <v>608</v>
      </c>
      <c r="P93" s="868"/>
    </row>
    <row r="94" spans="1:16" s="1" customFormat="1" ht="16.5" customHeight="1">
      <c r="A94" s="13"/>
      <c r="B94" s="40"/>
      <c r="C94" s="1075"/>
      <c r="D94" s="1440"/>
      <c r="E94" s="528"/>
      <c r="F94" s="41"/>
      <c r="G94" s="55"/>
      <c r="H94" s="110"/>
      <c r="I94" s="309"/>
      <c r="J94" s="110"/>
      <c r="K94" s="1497" t="s">
        <v>208</v>
      </c>
      <c r="L94" s="739">
        <v>100</v>
      </c>
      <c r="M94" s="296" t="s">
        <v>762</v>
      </c>
      <c r="N94" s="241"/>
      <c r="O94" s="912"/>
      <c r="P94" s="868"/>
    </row>
    <row r="95" spans="1:16" s="1" customFormat="1" ht="15.75" customHeight="1">
      <c r="A95" s="13"/>
      <c r="B95" s="40"/>
      <c r="C95" s="1075"/>
      <c r="D95" s="1440"/>
      <c r="E95" s="528"/>
      <c r="F95" s="41"/>
      <c r="G95" s="55"/>
      <c r="H95" s="110"/>
      <c r="I95" s="309"/>
      <c r="J95" s="110"/>
      <c r="K95" s="1497"/>
      <c r="L95" s="739"/>
      <c r="M95" s="296"/>
      <c r="N95" s="241"/>
      <c r="O95" s="912"/>
      <c r="P95" s="848"/>
    </row>
    <row r="96" spans="1:16" s="1" customFormat="1" ht="15" customHeight="1">
      <c r="A96" s="13"/>
      <c r="B96" s="40"/>
      <c r="C96" s="1075"/>
      <c r="D96" s="1440"/>
      <c r="E96" s="528"/>
      <c r="F96" s="41"/>
      <c r="G96" s="1234" t="s">
        <v>127</v>
      </c>
      <c r="H96" s="1235">
        <v>74.2</v>
      </c>
      <c r="I96" s="1235">
        <v>74.2</v>
      </c>
      <c r="J96" s="1235">
        <v>0</v>
      </c>
      <c r="K96" s="1498" t="s">
        <v>206</v>
      </c>
      <c r="L96" s="1175">
        <v>100</v>
      </c>
      <c r="M96" s="1176" t="s">
        <v>751</v>
      </c>
      <c r="N96" s="1177"/>
      <c r="O96" s="1294" t="s">
        <v>765</v>
      </c>
      <c r="P96" s="848"/>
    </row>
    <row r="97" spans="1:16" s="1" customFormat="1" ht="27" customHeight="1">
      <c r="A97" s="13"/>
      <c r="B97" s="40"/>
      <c r="C97" s="1142"/>
      <c r="D97" s="843"/>
      <c r="E97" s="528"/>
      <c r="F97" s="529"/>
      <c r="G97" s="470" t="s">
        <v>25</v>
      </c>
      <c r="H97" s="116">
        <v>79.8</v>
      </c>
      <c r="I97" s="116">
        <v>79.8</v>
      </c>
      <c r="J97" s="116">
        <v>0</v>
      </c>
      <c r="K97" s="1499"/>
      <c r="L97" s="1171"/>
      <c r="M97" s="1172"/>
      <c r="N97" s="1173"/>
      <c r="O97" s="1295"/>
      <c r="P97" s="848"/>
    </row>
    <row r="98" spans="1:16" s="1" customFormat="1" ht="16.5" customHeight="1" thickBot="1">
      <c r="A98" s="28"/>
      <c r="B98" s="814"/>
      <c r="C98" s="1064"/>
      <c r="D98" s="813"/>
      <c r="E98" s="542"/>
      <c r="F98" s="543"/>
      <c r="G98" s="1065" t="s">
        <v>50</v>
      </c>
      <c r="H98" s="119">
        <f>SUM(H77:H97)</f>
        <v>445.7</v>
      </c>
      <c r="I98" s="119">
        <f>SUM(I77:I97)</f>
        <v>445.7</v>
      </c>
      <c r="J98" s="119">
        <f>SUM(J77:J97)</f>
        <v>102.9</v>
      </c>
      <c r="K98" s="854"/>
      <c r="L98" s="551"/>
      <c r="M98" s="1077"/>
      <c r="N98" s="551"/>
      <c r="O98" s="530"/>
    </row>
    <row r="99" spans="1:16" s="1" customFormat="1" ht="15.75" customHeight="1">
      <c r="A99" s="1425" t="s">
        <v>13</v>
      </c>
      <c r="B99" s="1427" t="s">
        <v>13</v>
      </c>
      <c r="C99" s="1429" t="s">
        <v>45</v>
      </c>
      <c r="D99" s="1432" t="s">
        <v>73</v>
      </c>
      <c r="E99" s="1435"/>
      <c r="F99" s="1448">
        <v>1</v>
      </c>
      <c r="G99" s="326" t="s">
        <v>20</v>
      </c>
      <c r="H99" s="156">
        <f>9+17</f>
        <v>26</v>
      </c>
      <c r="I99" s="156">
        <f>9+17</f>
        <v>26</v>
      </c>
      <c r="J99" s="156">
        <v>25.9</v>
      </c>
      <c r="K99" s="51" t="s">
        <v>74</v>
      </c>
      <c r="L99" s="846">
        <v>4</v>
      </c>
      <c r="M99" s="1086" t="s">
        <v>55</v>
      </c>
      <c r="N99" s="549"/>
      <c r="O99" s="874"/>
      <c r="P99" s="848"/>
    </row>
    <row r="100" spans="1:16" s="1" customFormat="1" ht="37.5" customHeight="1">
      <c r="A100" s="1340"/>
      <c r="B100" s="1341"/>
      <c r="C100" s="1430"/>
      <c r="D100" s="1433"/>
      <c r="E100" s="1436"/>
      <c r="F100" s="1449"/>
      <c r="G100" s="72"/>
      <c r="H100" s="110"/>
      <c r="I100" s="110"/>
      <c r="J100" s="110"/>
      <c r="K100" s="689" t="s">
        <v>280</v>
      </c>
      <c r="L100" s="739">
        <v>1</v>
      </c>
      <c r="M100" s="1087" t="s">
        <v>18</v>
      </c>
      <c r="N100" s="550"/>
      <c r="O100" s="552"/>
      <c r="P100" s="869"/>
    </row>
    <row r="101" spans="1:16" s="1" customFormat="1" ht="17.25" customHeight="1" thickBot="1">
      <c r="A101" s="1426"/>
      <c r="B101" s="1428"/>
      <c r="C101" s="1431"/>
      <c r="D101" s="1434"/>
      <c r="E101" s="1437"/>
      <c r="F101" s="1450"/>
      <c r="G101" s="44" t="s">
        <v>50</v>
      </c>
      <c r="H101" s="95">
        <f>SUM(H99:H100)</f>
        <v>26</v>
      </c>
      <c r="I101" s="95">
        <f>SUM(I99:I100)</f>
        <v>26</v>
      </c>
      <c r="J101" s="121">
        <f t="shared" ref="J101" si="8">SUM(J99)</f>
        <v>25.9</v>
      </c>
      <c r="K101" s="129"/>
      <c r="L101" s="847"/>
      <c r="M101" s="1100"/>
      <c r="N101" s="551"/>
      <c r="O101" s="530"/>
      <c r="P101" s="848"/>
    </row>
    <row r="102" spans="1:16" s="45" customFormat="1" ht="21" customHeight="1">
      <c r="A102" s="1425" t="s">
        <v>13</v>
      </c>
      <c r="B102" s="1427" t="s">
        <v>13</v>
      </c>
      <c r="C102" s="1451" t="s">
        <v>47</v>
      </c>
      <c r="D102" s="1444" t="s">
        <v>281</v>
      </c>
      <c r="E102" s="815"/>
      <c r="F102" s="839">
        <v>5</v>
      </c>
      <c r="G102" s="77" t="s">
        <v>21</v>
      </c>
      <c r="H102" s="109">
        <v>5.4</v>
      </c>
      <c r="I102" s="109">
        <v>5.4</v>
      </c>
      <c r="J102" s="109">
        <v>5.4</v>
      </c>
      <c r="K102" s="1289" t="s">
        <v>107</v>
      </c>
      <c r="L102" s="739">
        <v>1</v>
      </c>
      <c r="M102" s="1086"/>
      <c r="N102" s="550"/>
      <c r="O102" s="552"/>
      <c r="P102" s="870"/>
    </row>
    <row r="103" spans="1:16" s="45" customFormat="1" ht="6" customHeight="1">
      <c r="A103" s="1340"/>
      <c r="B103" s="1341"/>
      <c r="C103" s="1430"/>
      <c r="D103" s="1453"/>
      <c r="E103" s="754"/>
      <c r="F103" s="817"/>
      <c r="G103" s="72"/>
      <c r="H103" s="110"/>
      <c r="I103" s="110"/>
      <c r="J103" s="110"/>
      <c r="K103" s="1454"/>
      <c r="L103" s="739"/>
      <c r="M103" s="296"/>
      <c r="N103" s="739"/>
      <c r="O103" s="833"/>
      <c r="P103" s="870"/>
    </row>
    <row r="104" spans="1:16" s="45" customFormat="1" ht="18.75" customHeight="1" thickBot="1">
      <c r="A104" s="1426"/>
      <c r="B104" s="1428"/>
      <c r="C104" s="1452"/>
      <c r="D104" s="300"/>
      <c r="E104" s="816"/>
      <c r="F104" s="320"/>
      <c r="G104" s="44" t="s">
        <v>50</v>
      </c>
      <c r="H104" s="121">
        <f>SUM(H102:H102)</f>
        <v>5.4</v>
      </c>
      <c r="I104" s="121">
        <f>SUM(I102:I102)</f>
        <v>5.4</v>
      </c>
      <c r="J104" s="121">
        <f>SUM(J102:J102)</f>
        <v>5.4</v>
      </c>
      <c r="K104" s="825"/>
      <c r="L104" s="847"/>
      <c r="M104" s="1072"/>
      <c r="N104" s="847"/>
      <c r="O104" s="834"/>
      <c r="P104" s="870"/>
    </row>
    <row r="105" spans="1:16" s="1" customFormat="1" ht="15" customHeight="1" thickBot="1">
      <c r="A105" s="821" t="s">
        <v>13</v>
      </c>
      <c r="B105" s="824" t="s">
        <v>13</v>
      </c>
      <c r="C105" s="1274" t="s">
        <v>75</v>
      </c>
      <c r="D105" s="1275"/>
      <c r="E105" s="1275"/>
      <c r="F105" s="1275"/>
      <c r="G105" s="1276"/>
      <c r="H105" s="127">
        <f>H104+H101+H98+H74+H72+H69+H56+H54+H51+H48+H45</f>
        <v>14090.2</v>
      </c>
      <c r="I105" s="127">
        <f>I104+I101+I98+I74+I72+I69+I56+I54+I51+I48+I45</f>
        <v>14140.5</v>
      </c>
      <c r="J105" s="133">
        <f>J104+J101+J98+J74+J72+J69+J56+J54+J51+J48+J45</f>
        <v>13241.800000000001</v>
      </c>
      <c r="K105" s="47"/>
      <c r="L105" s="327"/>
      <c r="M105" s="1101"/>
      <c r="N105" s="212"/>
      <c r="O105" s="48"/>
      <c r="P105" s="848"/>
    </row>
    <row r="106" spans="1:16" s="1" customFormat="1" ht="17.25" customHeight="1" thickBot="1">
      <c r="A106" s="49" t="s">
        <v>13</v>
      </c>
      <c r="B106" s="50" t="s">
        <v>22</v>
      </c>
      <c r="C106" s="1277" t="s">
        <v>76</v>
      </c>
      <c r="D106" s="1278"/>
      <c r="E106" s="1278"/>
      <c r="F106" s="1278"/>
      <c r="G106" s="1278"/>
      <c r="H106" s="1278"/>
      <c r="I106" s="1278"/>
      <c r="J106" s="1278"/>
      <c r="K106" s="1278"/>
      <c r="L106" s="1278"/>
      <c r="M106" s="1278"/>
      <c r="N106" s="1278"/>
      <c r="O106" s="1279"/>
      <c r="P106" s="848"/>
    </row>
    <row r="107" spans="1:16" s="1" customFormat="1" ht="15.75" customHeight="1">
      <c r="A107" s="822" t="s">
        <v>13</v>
      </c>
      <c r="B107" s="823" t="s">
        <v>22</v>
      </c>
      <c r="C107" s="1063" t="s">
        <v>13</v>
      </c>
      <c r="D107" s="1444" t="s">
        <v>117</v>
      </c>
      <c r="E107" s="1446" t="s">
        <v>124</v>
      </c>
      <c r="F107" s="839">
        <v>1</v>
      </c>
      <c r="G107" s="503" t="s">
        <v>20</v>
      </c>
      <c r="H107" s="871">
        <f>487.8-48.6-15.7+81.6</f>
        <v>505.1</v>
      </c>
      <c r="I107" s="871">
        <f>487.8-48.6-15.7+81.6</f>
        <v>505.1</v>
      </c>
      <c r="J107" s="180">
        <v>477.8</v>
      </c>
      <c r="K107" s="281" t="s">
        <v>109</v>
      </c>
      <c r="L107" s="291">
        <v>439</v>
      </c>
      <c r="M107" s="291">
        <v>439</v>
      </c>
      <c r="N107" s="902"/>
      <c r="O107" s="352"/>
      <c r="P107" s="848"/>
    </row>
    <row r="108" spans="1:16" s="1" customFormat="1" ht="26.25" customHeight="1">
      <c r="A108" s="822"/>
      <c r="B108" s="823"/>
      <c r="C108" s="1063"/>
      <c r="D108" s="1445"/>
      <c r="E108" s="1447"/>
      <c r="F108" s="817"/>
      <c r="G108" s="130" t="s">
        <v>127</v>
      </c>
      <c r="H108" s="110">
        <v>8</v>
      </c>
      <c r="I108" s="110">
        <v>8</v>
      </c>
      <c r="J108" s="110">
        <v>7.9</v>
      </c>
      <c r="K108" s="819" t="s">
        <v>179</v>
      </c>
      <c r="L108" s="277">
        <v>439</v>
      </c>
      <c r="M108" s="277">
        <v>439</v>
      </c>
      <c r="N108" s="770"/>
      <c r="O108" s="338"/>
      <c r="P108" s="848"/>
    </row>
    <row r="109" spans="1:16" s="1" customFormat="1" ht="17.25" customHeight="1">
      <c r="A109" s="822"/>
      <c r="B109" s="823"/>
      <c r="C109" s="1063"/>
      <c r="D109" s="831"/>
      <c r="E109" s="1447"/>
      <c r="F109" s="817"/>
      <c r="G109" s="130"/>
      <c r="H109" s="110"/>
      <c r="I109" s="110"/>
      <c r="J109" s="110"/>
      <c r="K109" s="159" t="s">
        <v>110</v>
      </c>
      <c r="L109" s="260">
        <v>3</v>
      </c>
      <c r="M109" s="260">
        <v>3</v>
      </c>
      <c r="N109" s="770"/>
      <c r="O109" s="338"/>
      <c r="P109" s="848"/>
    </row>
    <row r="110" spans="1:16" s="1" customFormat="1" ht="17.25" customHeight="1">
      <c r="A110" s="822"/>
      <c r="B110" s="823"/>
      <c r="C110" s="1063"/>
      <c r="D110" s="831"/>
      <c r="E110" s="1447"/>
      <c r="F110" s="817"/>
      <c r="G110" s="130"/>
      <c r="H110" s="110"/>
      <c r="I110" s="110"/>
      <c r="J110" s="110"/>
      <c r="K110" s="159" t="s">
        <v>108</v>
      </c>
      <c r="L110" s="260">
        <v>5</v>
      </c>
      <c r="M110" s="260">
        <v>5</v>
      </c>
      <c r="N110" s="770"/>
      <c r="O110" s="338"/>
      <c r="P110" s="848"/>
    </row>
    <row r="111" spans="1:16" s="1" customFormat="1" ht="17.25" customHeight="1">
      <c r="A111" s="822"/>
      <c r="B111" s="823"/>
      <c r="C111" s="1063"/>
      <c r="D111" s="843"/>
      <c r="E111" s="1447"/>
      <c r="F111" s="817"/>
      <c r="G111" s="130"/>
      <c r="H111" s="110"/>
      <c r="I111" s="110"/>
      <c r="J111" s="110"/>
      <c r="K111" s="279" t="s">
        <v>147</v>
      </c>
      <c r="L111" s="280">
        <v>4</v>
      </c>
      <c r="M111" s="280">
        <v>4</v>
      </c>
      <c r="N111" s="770"/>
      <c r="O111" s="338"/>
      <c r="P111" s="848"/>
    </row>
    <row r="112" spans="1:16" s="1" customFormat="1" ht="18" customHeight="1">
      <c r="A112" s="822"/>
      <c r="B112" s="823"/>
      <c r="C112" s="1063"/>
      <c r="D112" s="843"/>
      <c r="E112" s="1447"/>
      <c r="F112" s="817"/>
      <c r="G112" s="130"/>
      <c r="H112" s="110"/>
      <c r="I112" s="110"/>
      <c r="J112" s="110"/>
      <c r="K112" s="159" t="s">
        <v>148</v>
      </c>
      <c r="L112" s="260">
        <v>14</v>
      </c>
      <c r="M112" s="260">
        <v>14</v>
      </c>
      <c r="N112" s="770"/>
      <c r="O112" s="338"/>
      <c r="P112" s="848"/>
    </row>
    <row r="113" spans="1:16" s="1" customFormat="1" ht="40.5" customHeight="1">
      <c r="A113" s="822"/>
      <c r="B113" s="823"/>
      <c r="C113" s="1063"/>
      <c r="D113" s="843"/>
      <c r="E113" s="832"/>
      <c r="F113" s="817"/>
      <c r="G113" s="131"/>
      <c r="H113" s="116"/>
      <c r="I113" s="116"/>
      <c r="J113" s="116"/>
      <c r="K113" s="819" t="s">
        <v>282</v>
      </c>
      <c r="L113" s="277">
        <v>1</v>
      </c>
      <c r="M113" s="277">
        <v>1</v>
      </c>
      <c r="N113" s="546"/>
      <c r="O113" s="338"/>
      <c r="P113" s="848"/>
    </row>
    <row r="114" spans="1:16" s="45" customFormat="1" ht="15.75" customHeight="1" thickBot="1">
      <c r="A114" s="822"/>
      <c r="B114" s="823"/>
      <c r="C114" s="1063"/>
      <c r="D114" s="547"/>
      <c r="E114" s="816"/>
      <c r="F114" s="320"/>
      <c r="G114" s="714" t="s">
        <v>50</v>
      </c>
      <c r="H114" s="121">
        <f>SUM(H107:H113)</f>
        <v>513.1</v>
      </c>
      <c r="I114" s="121">
        <f>SUM(I107:I113)</f>
        <v>513.1</v>
      </c>
      <c r="J114" s="121">
        <f>SUM(J107:J113)</f>
        <v>485.7</v>
      </c>
      <c r="K114" s="825"/>
      <c r="L114" s="847"/>
      <c r="M114" s="1072"/>
      <c r="N114" s="847"/>
      <c r="O114" s="834"/>
      <c r="P114" s="870"/>
    </row>
    <row r="115" spans="1:16" s="1" customFormat="1" ht="13.5" thickBot="1">
      <c r="A115" s="49" t="s">
        <v>13</v>
      </c>
      <c r="B115" s="53" t="s">
        <v>22</v>
      </c>
      <c r="C115" s="1352" t="s">
        <v>75</v>
      </c>
      <c r="D115" s="1353"/>
      <c r="E115" s="1353"/>
      <c r="F115" s="1353"/>
      <c r="G115" s="1275"/>
      <c r="H115" s="133">
        <f t="shared" ref="H115" si="9">H114</f>
        <v>513.1</v>
      </c>
      <c r="I115" s="133">
        <f t="shared" ref="I115:J115" si="10">I114</f>
        <v>513.1</v>
      </c>
      <c r="J115" s="133">
        <f t="shared" si="10"/>
        <v>485.7</v>
      </c>
      <c r="K115" s="401"/>
      <c r="L115" s="402"/>
      <c r="M115" s="1102"/>
      <c r="N115" s="402"/>
      <c r="O115" s="236"/>
      <c r="P115" s="848"/>
    </row>
    <row r="116" spans="1:16" s="1" customFormat="1" ht="17.25" customHeight="1" thickBot="1">
      <c r="A116" s="49" t="s">
        <v>13</v>
      </c>
      <c r="B116" s="50" t="s">
        <v>26</v>
      </c>
      <c r="C116" s="1277" t="s">
        <v>164</v>
      </c>
      <c r="D116" s="1278"/>
      <c r="E116" s="1278"/>
      <c r="F116" s="1278"/>
      <c r="G116" s="1278"/>
      <c r="H116" s="1278"/>
      <c r="I116" s="1278"/>
      <c r="J116" s="1278"/>
      <c r="K116" s="1278"/>
      <c r="L116" s="1278"/>
      <c r="M116" s="1278"/>
      <c r="N116" s="1278"/>
      <c r="O116" s="1279"/>
      <c r="P116" s="848"/>
    </row>
    <row r="117" spans="1:16" s="1" customFormat="1" ht="11.25" customHeight="1">
      <c r="A117" s="845" t="s">
        <v>13</v>
      </c>
      <c r="B117" s="844" t="s">
        <v>26</v>
      </c>
      <c r="C117" s="1068" t="s">
        <v>13</v>
      </c>
      <c r="D117" s="1506" t="s">
        <v>782</v>
      </c>
      <c r="E117" s="702"/>
      <c r="F117" s="671">
        <v>1</v>
      </c>
      <c r="G117" s="872"/>
      <c r="H117" s="156"/>
      <c r="I117" s="156"/>
      <c r="J117" s="169"/>
      <c r="K117" s="873"/>
      <c r="L117" s="549"/>
      <c r="M117" s="1103"/>
      <c r="N117" s="837"/>
      <c r="O117" s="835"/>
      <c r="P117" s="848"/>
    </row>
    <row r="118" spans="1:16" s="1" customFormat="1" ht="12" customHeight="1">
      <c r="A118" s="828"/>
      <c r="B118" s="829"/>
      <c r="C118" s="1063"/>
      <c r="D118" s="1507"/>
      <c r="E118" s="138"/>
      <c r="F118" s="817"/>
      <c r="G118" s="72"/>
      <c r="H118" s="110"/>
      <c r="I118" s="110"/>
      <c r="J118" s="875"/>
      <c r="K118" s="876"/>
      <c r="L118" s="550"/>
      <c r="M118" s="296"/>
      <c r="N118" s="838"/>
      <c r="O118" s="833"/>
      <c r="P118" s="848"/>
    </row>
    <row r="119" spans="1:16" s="1" customFormat="1" ht="12.75" customHeight="1">
      <c r="A119" s="828"/>
      <c r="B119" s="829"/>
      <c r="C119" s="1063"/>
      <c r="D119" s="1508"/>
      <c r="E119" s="877"/>
      <c r="F119" s="840"/>
      <c r="G119" s="470"/>
      <c r="H119" s="116"/>
      <c r="I119" s="116"/>
      <c r="J119" s="116"/>
      <c r="K119" s="703"/>
      <c r="L119" s="550"/>
      <c r="M119" s="296"/>
      <c r="N119" s="838"/>
      <c r="O119" s="833"/>
      <c r="P119" s="848"/>
    </row>
    <row r="120" spans="1:16" s="1" customFormat="1" ht="17.25" customHeight="1">
      <c r="A120" s="1340"/>
      <c r="B120" s="1341"/>
      <c r="C120" s="1096" t="s">
        <v>13</v>
      </c>
      <c r="D120" s="1342" t="s">
        <v>191</v>
      </c>
      <c r="E120" s="1271" t="s">
        <v>283</v>
      </c>
      <c r="F120" s="1272" t="s">
        <v>18</v>
      </c>
      <c r="G120" s="77" t="s">
        <v>127</v>
      </c>
      <c r="H120" s="109">
        <v>34.5</v>
      </c>
      <c r="I120" s="109">
        <v>34.5</v>
      </c>
      <c r="J120" s="109">
        <v>34.5</v>
      </c>
      <c r="K120" s="1253" t="s">
        <v>190</v>
      </c>
      <c r="L120" s="226">
        <v>1</v>
      </c>
      <c r="M120" s="1096" t="s">
        <v>18</v>
      </c>
      <c r="N120" s="451"/>
      <c r="O120" s="252"/>
      <c r="P120" s="848"/>
    </row>
    <row r="121" spans="1:16" s="1" customFormat="1" ht="12" customHeight="1">
      <c r="A121" s="1340"/>
      <c r="B121" s="1341"/>
      <c r="C121" s="296"/>
      <c r="D121" s="1342"/>
      <c r="E121" s="1271"/>
      <c r="F121" s="1273"/>
      <c r="G121" s="52"/>
      <c r="H121" s="116"/>
      <c r="I121" s="116"/>
      <c r="J121" s="116"/>
      <c r="K121" s="1254"/>
      <c r="L121" s="218"/>
      <c r="M121" s="1098"/>
      <c r="N121" s="198"/>
      <c r="O121" s="253"/>
      <c r="P121" s="848"/>
    </row>
    <row r="122" spans="1:16" s="4" customFormat="1" ht="18.75" customHeight="1">
      <c r="A122" s="1463"/>
      <c r="B122" s="1334"/>
      <c r="C122" s="1096" t="s">
        <v>22</v>
      </c>
      <c r="D122" s="1336" t="s">
        <v>284</v>
      </c>
      <c r="E122" s="1338" t="s">
        <v>285</v>
      </c>
      <c r="F122" s="487"/>
      <c r="G122" s="55" t="s">
        <v>20</v>
      </c>
      <c r="H122" s="110">
        <v>8.5</v>
      </c>
      <c r="I122" s="110">
        <v>8.5</v>
      </c>
      <c r="J122" s="110">
        <v>0.7</v>
      </c>
      <c r="K122" s="1482" t="s">
        <v>766</v>
      </c>
      <c r="L122" s="1175">
        <v>66</v>
      </c>
      <c r="M122" s="1176" t="s">
        <v>751</v>
      </c>
      <c r="N122" s="1189" t="s">
        <v>772</v>
      </c>
      <c r="O122" s="1296" t="s">
        <v>792</v>
      </c>
      <c r="P122" s="851"/>
    </row>
    <row r="123" spans="1:16" s="4" customFormat="1" ht="137.25" customHeight="1">
      <c r="A123" s="1463"/>
      <c r="B123" s="1334"/>
      <c r="C123" s="296"/>
      <c r="D123" s="1337"/>
      <c r="E123" s="1339"/>
      <c r="F123" s="826"/>
      <c r="G123" s="470" t="s">
        <v>167</v>
      </c>
      <c r="H123" s="116">
        <v>165</v>
      </c>
      <c r="I123" s="116">
        <v>165</v>
      </c>
      <c r="J123" s="116"/>
      <c r="K123" s="1483"/>
      <c r="L123" s="1190"/>
      <c r="M123" s="1174"/>
      <c r="N123" s="1191"/>
      <c r="O123" s="1297"/>
      <c r="P123" s="851"/>
    </row>
    <row r="124" spans="1:16" s="4" customFormat="1" ht="129.75" customHeight="1">
      <c r="A124" s="1463"/>
      <c r="B124" s="1334"/>
      <c r="C124" s="1129" t="s">
        <v>26</v>
      </c>
      <c r="D124" s="1182" t="s">
        <v>286</v>
      </c>
      <c r="E124" s="609"/>
      <c r="F124" s="1200"/>
      <c r="G124" s="470" t="s">
        <v>20</v>
      </c>
      <c r="H124" s="110">
        <v>20</v>
      </c>
      <c r="I124" s="110">
        <v>20</v>
      </c>
      <c r="J124" s="93">
        <v>20</v>
      </c>
      <c r="K124" s="1183" t="s">
        <v>184</v>
      </c>
      <c r="L124" s="1184">
        <v>0</v>
      </c>
      <c r="M124" s="1185" t="s">
        <v>751</v>
      </c>
      <c r="N124" s="1186" t="s">
        <v>793</v>
      </c>
      <c r="O124" s="1187"/>
      <c r="P124" s="878"/>
    </row>
    <row r="125" spans="1:16" s="45" customFormat="1" ht="15.75" customHeight="1" thickBot="1">
      <c r="A125" s="1464"/>
      <c r="B125" s="1335"/>
      <c r="C125" s="1188"/>
      <c r="D125" s="547"/>
      <c r="E125" s="810"/>
      <c r="F125" s="320"/>
      <c r="G125" s="1199" t="s">
        <v>50</v>
      </c>
      <c r="H125" s="121">
        <f>SUM(H117:H124)</f>
        <v>228</v>
      </c>
      <c r="I125" s="121">
        <f>SUM(I117:I124)</f>
        <v>228</v>
      </c>
      <c r="J125" s="121">
        <f>SUM(J117:J124)</f>
        <v>55.2</v>
      </c>
      <c r="K125" s="825"/>
      <c r="L125" s="847"/>
      <c r="M125" s="1072"/>
      <c r="N125" s="847"/>
      <c r="O125" s="834"/>
      <c r="P125" s="870"/>
    </row>
    <row r="126" spans="1:16" s="1" customFormat="1" ht="13.5" thickBot="1">
      <c r="A126" s="821" t="s">
        <v>13</v>
      </c>
      <c r="B126" s="830" t="s">
        <v>26</v>
      </c>
      <c r="C126" s="1274" t="s">
        <v>75</v>
      </c>
      <c r="D126" s="1275"/>
      <c r="E126" s="1275"/>
      <c r="F126" s="1275"/>
      <c r="G126" s="1275"/>
      <c r="H126" s="439">
        <f>H125</f>
        <v>228</v>
      </c>
      <c r="I126" s="439">
        <f>I125</f>
        <v>228</v>
      </c>
      <c r="J126" s="439">
        <f t="shared" ref="J126" si="11">J125</f>
        <v>55.2</v>
      </c>
      <c r="K126" s="47"/>
      <c r="L126" s="212"/>
      <c r="M126" s="1104"/>
      <c r="N126" s="212"/>
      <c r="O126" s="48"/>
      <c r="P126" s="848"/>
    </row>
    <row r="127" spans="1:16" s="1" customFormat="1" ht="16.5" customHeight="1" thickBot="1">
      <c r="A127" s="49" t="s">
        <v>13</v>
      </c>
      <c r="B127" s="310" t="s">
        <v>28</v>
      </c>
      <c r="C127" s="1277" t="s">
        <v>78</v>
      </c>
      <c r="D127" s="1278"/>
      <c r="E127" s="1278"/>
      <c r="F127" s="1278"/>
      <c r="G127" s="1278"/>
      <c r="H127" s="1329"/>
      <c r="I127" s="1329"/>
      <c r="J127" s="1329"/>
      <c r="K127" s="1278"/>
      <c r="L127" s="1278"/>
      <c r="M127" s="1278"/>
      <c r="N127" s="1278"/>
      <c r="O127" s="1279"/>
      <c r="P127" s="848"/>
    </row>
    <row r="128" spans="1:16" s="1" customFormat="1" ht="15" customHeight="1">
      <c r="A128" s="820" t="s">
        <v>13</v>
      </c>
      <c r="B128" s="844" t="s">
        <v>28</v>
      </c>
      <c r="C128" s="1143" t="s">
        <v>13</v>
      </c>
      <c r="D128" s="1330" t="s">
        <v>79</v>
      </c>
      <c r="E128" s="527"/>
      <c r="F128" s="153" t="s">
        <v>18</v>
      </c>
      <c r="G128" s="332"/>
      <c r="H128" s="333"/>
      <c r="I128" s="333"/>
      <c r="J128" s="333"/>
      <c r="K128" s="1203"/>
      <c r="L128" s="549"/>
      <c r="M128" s="1103"/>
      <c r="N128" s="1210"/>
      <c r="O128" s="1212"/>
      <c r="P128" s="848"/>
    </row>
    <row r="129" spans="1:17" s="1" customFormat="1" ht="28.5" customHeight="1">
      <c r="A129" s="822"/>
      <c r="B129" s="829"/>
      <c r="C129" s="1059"/>
      <c r="D129" s="1331"/>
      <c r="E129" s="80"/>
      <c r="F129" s="548"/>
      <c r="G129" s="16"/>
      <c r="H129" s="879"/>
      <c r="I129" s="879"/>
      <c r="J129" s="1115"/>
      <c r="K129" s="1204"/>
      <c r="L129" s="550"/>
      <c r="M129" s="1209"/>
      <c r="N129" s="1211"/>
      <c r="O129" s="1213"/>
      <c r="P129" s="848"/>
    </row>
    <row r="130" spans="1:17" s="1" customFormat="1" ht="15" customHeight="1">
      <c r="A130" s="822"/>
      <c r="B130" s="823"/>
      <c r="C130" s="1096" t="s">
        <v>13</v>
      </c>
      <c r="D130" s="1332" t="s">
        <v>222</v>
      </c>
      <c r="E130" s="80"/>
      <c r="F130" s="548"/>
      <c r="G130" s="26" t="s">
        <v>20</v>
      </c>
      <c r="H130" s="283">
        <f>25.6+12.1</f>
        <v>37.700000000000003</v>
      </c>
      <c r="I130" s="283">
        <f>25.6+12.1</f>
        <v>37.700000000000003</v>
      </c>
      <c r="J130" s="283">
        <v>23.6</v>
      </c>
      <c r="K130" s="1220" t="s">
        <v>794</v>
      </c>
      <c r="L130" s="1221">
        <v>90</v>
      </c>
      <c r="M130" s="1168" t="s">
        <v>763</v>
      </c>
      <c r="N130" s="1222"/>
      <c r="O130" s="1223"/>
      <c r="P130" s="848"/>
    </row>
    <row r="131" spans="1:17" s="1" customFormat="1" ht="16.5" customHeight="1">
      <c r="A131" s="822"/>
      <c r="B131" s="823"/>
      <c r="C131" s="296"/>
      <c r="D131" s="1333"/>
      <c r="E131" s="80"/>
      <c r="F131" s="548"/>
      <c r="G131" s="19"/>
      <c r="H131" s="285"/>
      <c r="I131" s="285"/>
      <c r="J131" s="285"/>
      <c r="K131" s="1192" t="s">
        <v>287</v>
      </c>
      <c r="L131" s="1193">
        <v>14</v>
      </c>
      <c r="M131" s="1194" t="s">
        <v>751</v>
      </c>
      <c r="N131" s="1255"/>
      <c r="O131" s="1255" t="s">
        <v>778</v>
      </c>
      <c r="P131" s="848"/>
      <c r="Q131" s="345"/>
    </row>
    <row r="132" spans="1:17" s="1" customFormat="1" ht="63.75" customHeight="1">
      <c r="A132" s="822"/>
      <c r="B132" s="823"/>
      <c r="C132" s="296"/>
      <c r="D132" s="1333"/>
      <c r="E132" s="80"/>
      <c r="F132" s="548"/>
      <c r="G132" s="22"/>
      <c r="H132" s="287"/>
      <c r="I132" s="287"/>
      <c r="J132" s="287"/>
      <c r="K132" s="1195" t="s">
        <v>288</v>
      </c>
      <c r="L132" s="1196">
        <v>1</v>
      </c>
      <c r="M132" s="1197" t="s">
        <v>751</v>
      </c>
      <c r="N132" s="1256"/>
      <c r="O132" s="1256"/>
      <c r="P132" s="848"/>
      <c r="Q132" s="345"/>
    </row>
    <row r="133" spans="1:17" s="1" customFormat="1" ht="18.75" customHeight="1">
      <c r="A133" s="822"/>
      <c r="B133" s="823"/>
      <c r="C133" s="1096" t="s">
        <v>22</v>
      </c>
      <c r="D133" s="1249" t="s">
        <v>155</v>
      </c>
      <c r="E133" s="80"/>
      <c r="F133" s="548"/>
      <c r="G133" s="19" t="s">
        <v>127</v>
      </c>
      <c r="H133" s="285">
        <v>15.3</v>
      </c>
      <c r="I133" s="285">
        <v>15.3</v>
      </c>
      <c r="J133" s="285">
        <v>15.3</v>
      </c>
      <c r="K133" s="1251" t="s">
        <v>214</v>
      </c>
      <c r="L133" s="337">
        <v>100</v>
      </c>
      <c r="M133" s="1209" t="s">
        <v>762</v>
      </c>
      <c r="N133" s="770"/>
      <c r="O133" s="338"/>
      <c r="P133" s="848"/>
      <c r="Q133" s="345"/>
    </row>
    <row r="134" spans="1:17" s="1" customFormat="1" ht="20.25" customHeight="1">
      <c r="A134" s="822"/>
      <c r="B134" s="823"/>
      <c r="C134" s="296"/>
      <c r="D134" s="1250"/>
      <c r="E134" s="80"/>
      <c r="F134" s="548"/>
      <c r="G134" s="19"/>
      <c r="H134" s="287"/>
      <c r="I134" s="287"/>
      <c r="J134" s="285"/>
      <c r="K134" s="1252"/>
      <c r="L134" s="337"/>
      <c r="M134" s="1209"/>
      <c r="N134" s="770"/>
      <c r="O134" s="338"/>
      <c r="P134" s="848"/>
      <c r="Q134" s="345"/>
    </row>
    <row r="135" spans="1:17" s="1" customFormat="1" ht="30.75" customHeight="1">
      <c r="A135" s="822"/>
      <c r="B135" s="823"/>
      <c r="C135" s="1096" t="s">
        <v>26</v>
      </c>
      <c r="D135" s="1058" t="s">
        <v>289</v>
      </c>
      <c r="E135" s="80"/>
      <c r="F135" s="548"/>
      <c r="G135" s="913" t="s">
        <v>20</v>
      </c>
      <c r="H135" s="290">
        <f>13.3+5.5</f>
        <v>18.8</v>
      </c>
      <c r="I135" s="290">
        <f>13.3+5.5-15</f>
        <v>3.8000000000000007</v>
      </c>
      <c r="J135" s="1116">
        <v>2.7</v>
      </c>
      <c r="K135" s="880" t="s">
        <v>290</v>
      </c>
      <c r="L135" s="282">
        <v>100</v>
      </c>
      <c r="M135" s="1121" t="s">
        <v>762</v>
      </c>
      <c r="N135" s="886"/>
      <c r="O135" s="1202"/>
      <c r="P135" s="881"/>
      <c r="Q135" s="345"/>
    </row>
    <row r="136" spans="1:17" s="1" customFormat="1" ht="26.25" customHeight="1">
      <c r="A136" s="822"/>
      <c r="B136" s="823"/>
      <c r="C136" s="1096" t="s">
        <v>28</v>
      </c>
      <c r="D136" s="1058" t="s">
        <v>291</v>
      </c>
      <c r="E136" s="80"/>
      <c r="F136" s="548"/>
      <c r="G136" s="26" t="s">
        <v>127</v>
      </c>
      <c r="H136" s="283">
        <v>191</v>
      </c>
      <c r="I136" s="283">
        <v>191</v>
      </c>
      <c r="J136" s="285">
        <v>156.6</v>
      </c>
      <c r="K136" s="271" t="s">
        <v>215</v>
      </c>
      <c r="L136" s="316">
        <v>70</v>
      </c>
      <c r="M136" s="1208" t="s">
        <v>768</v>
      </c>
      <c r="N136" s="764"/>
      <c r="O136" s="338"/>
      <c r="P136" s="848"/>
      <c r="Q136" s="345"/>
    </row>
    <row r="137" spans="1:17" s="1" customFormat="1" ht="16.5" customHeight="1">
      <c r="A137" s="822"/>
      <c r="B137" s="823"/>
      <c r="C137" s="1096" t="s">
        <v>30</v>
      </c>
      <c r="D137" s="1324" t="s">
        <v>783</v>
      </c>
      <c r="E137" s="80"/>
      <c r="F137" s="548"/>
      <c r="G137" s="26" t="s">
        <v>127</v>
      </c>
      <c r="H137" s="283">
        <v>12</v>
      </c>
      <c r="I137" s="283">
        <v>12</v>
      </c>
      <c r="J137" s="914">
        <v>12</v>
      </c>
      <c r="K137" s="1224" t="s">
        <v>292</v>
      </c>
      <c r="L137" s="1221">
        <v>1</v>
      </c>
      <c r="M137" s="1168" t="s">
        <v>18</v>
      </c>
      <c r="N137" s="1222"/>
      <c r="O137" s="1225"/>
      <c r="Q137" s="345"/>
    </row>
    <row r="138" spans="1:17" s="1" customFormat="1" ht="64.5" customHeight="1">
      <c r="A138" s="822"/>
      <c r="B138" s="823"/>
      <c r="C138" s="296"/>
      <c r="D138" s="1325"/>
      <c r="E138" s="80"/>
      <c r="F138" s="548"/>
      <c r="G138" s="22" t="s">
        <v>20</v>
      </c>
      <c r="H138" s="287">
        <v>40</v>
      </c>
      <c r="I138" s="287">
        <v>40</v>
      </c>
      <c r="J138" s="915">
        <v>1</v>
      </c>
      <c r="K138" s="1226" t="s">
        <v>293</v>
      </c>
      <c r="L138" s="1227">
        <v>30</v>
      </c>
      <c r="M138" s="1228" t="s">
        <v>751</v>
      </c>
      <c r="N138" s="1229"/>
      <c r="O138" s="1230" t="s">
        <v>781</v>
      </c>
      <c r="P138" s="882"/>
      <c r="Q138" s="345"/>
    </row>
    <row r="139" spans="1:17" s="1" customFormat="1" ht="15.75" customHeight="1">
      <c r="A139" s="822"/>
      <c r="B139" s="823"/>
      <c r="C139" s="1096" t="s">
        <v>33</v>
      </c>
      <c r="D139" s="1326" t="s">
        <v>199</v>
      </c>
      <c r="E139" s="80"/>
      <c r="F139" s="548"/>
      <c r="G139" s="19" t="s">
        <v>127</v>
      </c>
      <c r="H139" s="285">
        <v>2</v>
      </c>
      <c r="I139" s="285">
        <v>2</v>
      </c>
      <c r="J139" s="285">
        <v>0</v>
      </c>
      <c r="K139" s="1328" t="s">
        <v>217</v>
      </c>
      <c r="L139" s="349">
        <v>0</v>
      </c>
      <c r="M139" s="1208" t="s">
        <v>751</v>
      </c>
      <c r="N139" s="1198" t="s">
        <v>767</v>
      </c>
      <c r="O139" s="338"/>
      <c r="P139" s="882"/>
      <c r="Q139" s="345"/>
    </row>
    <row r="140" spans="1:17" s="1" customFormat="1" ht="12.75" customHeight="1">
      <c r="A140" s="822"/>
      <c r="B140" s="823"/>
      <c r="C140" s="1098"/>
      <c r="D140" s="1327"/>
      <c r="E140" s="80"/>
      <c r="F140" s="548"/>
      <c r="G140" s="19"/>
      <c r="H140" s="285"/>
      <c r="I140" s="285"/>
      <c r="J140" s="285"/>
      <c r="K140" s="1254"/>
      <c r="L140" s="322"/>
      <c r="M140" s="1098"/>
      <c r="N140" s="1201" t="s">
        <v>769</v>
      </c>
      <c r="O140" s="351"/>
      <c r="P140" s="848"/>
      <c r="Q140" s="345"/>
    </row>
    <row r="141" spans="1:17" s="45" customFormat="1" ht="15.75" customHeight="1" thickBot="1">
      <c r="A141" s="822"/>
      <c r="B141" s="823"/>
      <c r="C141" s="1063"/>
      <c r="D141" s="547"/>
      <c r="E141" s="810"/>
      <c r="F141" s="320"/>
      <c r="G141" s="714" t="s">
        <v>50</v>
      </c>
      <c r="H141" s="121">
        <f>SUM(H128:H140)</f>
        <v>316.8</v>
      </c>
      <c r="I141" s="121">
        <f>SUM(I128:I140)</f>
        <v>301.8</v>
      </c>
      <c r="J141" s="121">
        <f>SUM(J128:J140)</f>
        <v>211.2</v>
      </c>
      <c r="K141" s="1207"/>
      <c r="L141" s="1215"/>
      <c r="M141" s="1072"/>
      <c r="N141" s="1215"/>
      <c r="O141" s="1214"/>
      <c r="P141" s="870"/>
    </row>
    <row r="142" spans="1:17" s="1" customFormat="1" ht="13.5" thickBot="1">
      <c r="A142" s="49" t="s">
        <v>13</v>
      </c>
      <c r="B142" s="53" t="s">
        <v>28</v>
      </c>
      <c r="C142" s="1352" t="s">
        <v>75</v>
      </c>
      <c r="D142" s="1353"/>
      <c r="E142" s="1353"/>
      <c r="F142" s="1353"/>
      <c r="G142" s="1354"/>
      <c r="H142" s="133">
        <f>H141</f>
        <v>316.8</v>
      </c>
      <c r="I142" s="133">
        <f t="shared" ref="I142:J142" si="12">I141</f>
        <v>301.8</v>
      </c>
      <c r="J142" s="133">
        <f t="shared" si="12"/>
        <v>211.2</v>
      </c>
      <c r="K142" s="1355"/>
      <c r="L142" s="1356"/>
      <c r="M142" s="1356"/>
      <c r="N142" s="1356"/>
      <c r="O142" s="1357"/>
      <c r="P142" s="848"/>
    </row>
    <row r="143" spans="1:17" s="4" customFormat="1" ht="13.5" thickBot="1">
      <c r="A143" s="49" t="s">
        <v>13</v>
      </c>
      <c r="B143" s="1358" t="s">
        <v>81</v>
      </c>
      <c r="C143" s="1359"/>
      <c r="D143" s="1359"/>
      <c r="E143" s="1359"/>
      <c r="F143" s="1359"/>
      <c r="G143" s="1360"/>
      <c r="H143" s="96">
        <f>SUM(H142,H115,H105,H126,)</f>
        <v>15148.1</v>
      </c>
      <c r="I143" s="96">
        <f>SUM(I142,I115,I105,I126,)</f>
        <v>15183.4</v>
      </c>
      <c r="J143" s="96">
        <f>SUM(J142,J115,J105,J126,)</f>
        <v>13993.900000000001</v>
      </c>
      <c r="K143" s="1361"/>
      <c r="L143" s="1362"/>
      <c r="M143" s="1362"/>
      <c r="N143" s="1362"/>
      <c r="O143" s="1363"/>
      <c r="P143" s="851"/>
    </row>
    <row r="144" spans="1:17" s="4" customFormat="1" ht="13.5" thickBot="1">
      <c r="A144" s="59" t="s">
        <v>26</v>
      </c>
      <c r="B144" s="1455" t="s">
        <v>82</v>
      </c>
      <c r="C144" s="1456"/>
      <c r="D144" s="1456"/>
      <c r="E144" s="1456"/>
      <c r="F144" s="1456"/>
      <c r="G144" s="1457"/>
      <c r="H144" s="268">
        <f t="shared" ref="H144:J144" si="13">H143</f>
        <v>15148.1</v>
      </c>
      <c r="I144" s="268">
        <f t="shared" si="13"/>
        <v>15183.4</v>
      </c>
      <c r="J144" s="268">
        <f t="shared" si="13"/>
        <v>13993.900000000001</v>
      </c>
      <c r="K144" s="1458"/>
      <c r="L144" s="1459"/>
      <c r="M144" s="1459"/>
      <c r="N144" s="1459"/>
      <c r="O144" s="1460"/>
      <c r="P144" s="851"/>
    </row>
    <row r="145" spans="1:16" s="345" customFormat="1" ht="17.25" customHeight="1">
      <c r="A145" s="1461" t="s">
        <v>722</v>
      </c>
      <c r="B145" s="1462"/>
      <c r="C145" s="1462"/>
      <c r="D145" s="1462"/>
      <c r="E145" s="1462"/>
      <c r="F145" s="1462"/>
      <c r="G145" s="1462"/>
      <c r="H145" s="1462"/>
      <c r="I145" s="1462"/>
      <c r="J145" s="1462"/>
      <c r="K145" s="1462"/>
      <c r="L145" s="1462"/>
      <c r="M145" s="1105"/>
      <c r="N145" s="906"/>
      <c r="O145" s="906"/>
      <c r="P145" s="906"/>
    </row>
    <row r="146" spans="1:16" s="345" customFormat="1" ht="17.25" customHeight="1">
      <c r="A146" s="1461" t="s">
        <v>723</v>
      </c>
      <c r="B146" s="1462"/>
      <c r="C146" s="1462"/>
      <c r="D146" s="1462"/>
      <c r="E146" s="1462"/>
      <c r="F146" s="1462"/>
      <c r="G146" s="1462"/>
      <c r="H146" s="1462"/>
      <c r="I146" s="1462"/>
      <c r="J146" s="1462"/>
      <c r="K146" s="1462"/>
      <c r="L146" s="1462"/>
      <c r="M146" s="1105"/>
      <c r="N146" s="906"/>
      <c r="O146" s="906"/>
      <c r="P146" s="906"/>
    </row>
    <row r="147" spans="1:16" s="31" customFormat="1" ht="12.75">
      <c r="A147" s="154"/>
      <c r="B147" s="60"/>
      <c r="C147" s="1106"/>
      <c r="D147" s="60"/>
      <c r="E147" s="60"/>
      <c r="F147" s="60"/>
      <c r="G147" s="60"/>
      <c r="H147" s="263"/>
      <c r="I147" s="263"/>
      <c r="J147" s="263"/>
      <c r="K147" s="154"/>
      <c r="L147" s="154"/>
      <c r="M147" s="1106"/>
      <c r="N147" s="154"/>
      <c r="O147" s="154"/>
      <c r="P147" s="851"/>
    </row>
    <row r="148" spans="1:16" s="4" customFormat="1" ht="18.75" customHeight="1" thickBot="1">
      <c r="A148" s="43"/>
      <c r="B148" s="60"/>
      <c r="C148" s="1323" t="s">
        <v>83</v>
      </c>
      <c r="D148" s="1323"/>
      <c r="E148" s="1323"/>
      <c r="F148" s="1323"/>
      <c r="G148" s="1323"/>
      <c r="H148" s="827"/>
      <c r="I148" s="827"/>
      <c r="J148" s="883"/>
      <c r="K148" s="54"/>
      <c r="L148" s="836"/>
      <c r="M148" s="1107"/>
      <c r="N148" s="836"/>
      <c r="O148" s="836"/>
      <c r="P148" s="851"/>
    </row>
    <row r="149" spans="1:16" s="4" customFormat="1" ht="35.25" customHeight="1">
      <c r="A149" s="63"/>
      <c r="B149" s="63"/>
      <c r="C149" s="1308" t="s">
        <v>84</v>
      </c>
      <c r="D149" s="1309"/>
      <c r="E149" s="1309"/>
      <c r="F149" s="1309"/>
      <c r="G149" s="1310"/>
      <c r="H149" s="1314" t="s">
        <v>260</v>
      </c>
      <c r="I149" s="1316" t="s">
        <v>261</v>
      </c>
      <c r="J149" s="1316" t="s">
        <v>262</v>
      </c>
      <c r="K149" s="43"/>
      <c r="L149" s="62"/>
      <c r="M149" s="1108"/>
      <c r="N149" s="62"/>
      <c r="O149" s="62"/>
      <c r="P149" s="851"/>
    </row>
    <row r="150" spans="1:16" s="4" customFormat="1" ht="34.5" customHeight="1" thickBot="1">
      <c r="A150" s="63"/>
      <c r="B150" s="63"/>
      <c r="C150" s="1311"/>
      <c r="D150" s="1312"/>
      <c r="E150" s="1312"/>
      <c r="F150" s="1312"/>
      <c r="G150" s="1313"/>
      <c r="H150" s="1315"/>
      <c r="I150" s="1258"/>
      <c r="J150" s="1258"/>
      <c r="K150" s="43"/>
      <c r="L150" s="62"/>
      <c r="M150" s="1108"/>
      <c r="N150" s="62"/>
      <c r="O150" s="62"/>
      <c r="P150" s="851"/>
    </row>
    <row r="151" spans="1:16" s="4" customFormat="1" ht="12.75">
      <c r="A151" s="63"/>
      <c r="B151" s="63"/>
      <c r="C151" s="1441" t="s">
        <v>85</v>
      </c>
      <c r="D151" s="1442"/>
      <c r="E151" s="1442"/>
      <c r="F151" s="1442"/>
      <c r="G151" s="1443"/>
      <c r="H151" s="134">
        <f>H152+H160+H161+H162+H163+H159</f>
        <v>14983.100000000004</v>
      </c>
      <c r="I151" s="134">
        <f>I152+I160+I161+I162+I163</f>
        <v>15018.400000000001</v>
      </c>
      <c r="J151" s="134">
        <f>J152+J160+J161+J162+J163</f>
        <v>13993.9</v>
      </c>
      <c r="K151" s="154"/>
      <c r="L151" s="154"/>
      <c r="M151" s="1106"/>
      <c r="N151" s="154"/>
      <c r="O151" s="154"/>
      <c r="P151" s="851"/>
    </row>
    <row r="152" spans="1:16" s="4" customFormat="1" ht="12.75" customHeight="1">
      <c r="A152" s="63"/>
      <c r="B152" s="63"/>
      <c r="C152" s="1343" t="s">
        <v>86</v>
      </c>
      <c r="D152" s="1344"/>
      <c r="E152" s="1344"/>
      <c r="F152" s="1344"/>
      <c r="G152" s="1345"/>
      <c r="H152" s="135">
        <f>SUM(H153:H158)</f>
        <v>14328.400000000005</v>
      </c>
      <c r="I152" s="135">
        <f>SUM(I153:I159)</f>
        <v>14381.500000000002</v>
      </c>
      <c r="J152" s="135">
        <f t="shared" ref="J152" si="14">SUM(J153:J159)</f>
        <v>13691.4</v>
      </c>
      <c r="K152" s="154"/>
      <c r="L152" s="154"/>
      <c r="M152" s="1106"/>
      <c r="N152" s="154"/>
      <c r="O152" s="154"/>
      <c r="P152" s="851"/>
    </row>
    <row r="153" spans="1:16" s="4" customFormat="1" ht="12.75" customHeight="1">
      <c r="A153" s="63"/>
      <c r="B153" s="63"/>
      <c r="C153" s="1346" t="s">
        <v>87</v>
      </c>
      <c r="D153" s="1347"/>
      <c r="E153" s="1347"/>
      <c r="F153" s="1347"/>
      <c r="G153" s="1348"/>
      <c r="H153" s="136">
        <f>SUMIF(G15:G144,"SB",H15:H144)</f>
        <v>13650.200000000004</v>
      </c>
      <c r="I153" s="136">
        <f>SUMIF(G15:G144,"SB",I15:I144)</f>
        <v>13613.600000000002</v>
      </c>
      <c r="J153" s="136">
        <f>SUMIF(G16:G144,"SB",J16:J144)</f>
        <v>13058.8</v>
      </c>
      <c r="K153" s="43"/>
      <c r="L153" s="62"/>
      <c r="M153" s="1108"/>
      <c r="N153" s="62"/>
      <c r="O153" s="62"/>
      <c r="P153" s="851"/>
    </row>
    <row r="154" spans="1:16" s="4" customFormat="1" ht="12.75" customHeight="1">
      <c r="A154" s="63"/>
      <c r="B154" s="63"/>
      <c r="C154" s="1349" t="s">
        <v>88</v>
      </c>
      <c r="D154" s="1350"/>
      <c r="E154" s="1350"/>
      <c r="F154" s="1350"/>
      <c r="G154" s="1351"/>
      <c r="H154" s="136">
        <f>SUMIF(G15:G144,"SB(VR)",H15:H144)</f>
        <v>10</v>
      </c>
      <c r="I154" s="136">
        <f>SUMIF(G15:G144,"SB(VR)",I15:I144)</f>
        <v>10</v>
      </c>
      <c r="J154" s="136">
        <f>SUMIF(G16:G144,"SB(VR)",J16:J144)</f>
        <v>9.9</v>
      </c>
      <c r="K154" s="43"/>
      <c r="L154" s="62"/>
      <c r="M154" s="1108"/>
      <c r="N154" s="62"/>
      <c r="O154" s="62"/>
      <c r="P154" s="851"/>
    </row>
    <row r="155" spans="1:16" s="4" customFormat="1" ht="12.75" customHeight="1">
      <c r="A155" s="63"/>
      <c r="B155" s="63"/>
      <c r="C155" s="1418" t="s">
        <v>89</v>
      </c>
      <c r="D155" s="1419"/>
      <c r="E155" s="1419"/>
      <c r="F155" s="1419"/>
      <c r="G155" s="1420"/>
      <c r="H155" s="136">
        <f>SUMIF(G15:G144,"SB(VB)",H15:H144)</f>
        <v>518.19999999999993</v>
      </c>
      <c r="I155" s="136">
        <f>SUMIF(G15:G144,"SB(VB)",I15:I144)</f>
        <v>587.9</v>
      </c>
      <c r="J155" s="136">
        <f>SUMIF(G15:G144,"SB(VB)",J15:J144)</f>
        <v>552</v>
      </c>
      <c r="K155" s="43"/>
      <c r="L155" s="62"/>
      <c r="M155" s="1108"/>
      <c r="N155" s="62"/>
      <c r="O155" s="62"/>
      <c r="P155" s="851"/>
    </row>
    <row r="156" spans="1:16" s="4" customFormat="1" ht="12.75" customHeight="1">
      <c r="A156" s="63"/>
      <c r="B156" s="63"/>
      <c r="C156" s="1418" t="s">
        <v>90</v>
      </c>
      <c r="D156" s="1419"/>
      <c r="E156" s="1419"/>
      <c r="F156" s="1419"/>
      <c r="G156" s="1420"/>
      <c r="H156" s="136">
        <f>SUMIF(G15:G144,"SB(P)",H15:H144)</f>
        <v>0</v>
      </c>
      <c r="I156" s="136">
        <f>SUMIF(G15:G144,"SB(P)",I15:I144)</f>
        <v>0</v>
      </c>
      <c r="J156" s="136">
        <f>SUMIF(G15:G144,"SB(P)",J15:J144)</f>
        <v>0</v>
      </c>
      <c r="K156" s="54"/>
      <c r="L156" s="836"/>
      <c r="M156" s="1107"/>
      <c r="N156" s="836"/>
      <c r="O156" s="836"/>
      <c r="P156" s="851"/>
    </row>
    <row r="157" spans="1:16" s="1" customFormat="1" ht="15" customHeight="1">
      <c r="A157" s="63"/>
      <c r="B157" s="63"/>
      <c r="C157" s="1421" t="s">
        <v>91</v>
      </c>
      <c r="D157" s="1422"/>
      <c r="E157" s="1422"/>
      <c r="F157" s="1422"/>
      <c r="G157" s="1423"/>
      <c r="H157" s="136">
        <f>SUMIF(G16:G144,"SB(SP)",H16:H144)</f>
        <v>150</v>
      </c>
      <c r="I157" s="136">
        <f>SUMIF(G16:G144,"SB(SP)",I16:I144)</f>
        <v>150</v>
      </c>
      <c r="J157" s="136">
        <f>SUMIF(G16:G144,"SB(SP)",J16:J144)</f>
        <v>66.5</v>
      </c>
      <c r="K157" s="63"/>
      <c r="L157" s="64"/>
      <c r="M157" s="1109"/>
      <c r="N157" s="64"/>
      <c r="O157" s="64"/>
      <c r="P157" s="848"/>
    </row>
    <row r="158" spans="1:16" s="1" customFormat="1" ht="25.5" customHeight="1">
      <c r="A158" s="63"/>
      <c r="B158" s="63"/>
      <c r="C158" s="1415" t="s">
        <v>294</v>
      </c>
      <c r="D158" s="1424"/>
      <c r="E158" s="1424"/>
      <c r="F158" s="1424"/>
      <c r="G158" s="1424"/>
      <c r="H158" s="82">
        <f>SUMIF(G15:G139,"SB(ES)",H15:H139)</f>
        <v>0</v>
      </c>
      <c r="I158" s="82">
        <f>SUMIF(G15:G139,"SB(ES)",I15:I139)</f>
        <v>0</v>
      </c>
      <c r="J158" s="82">
        <f>SUMIF(G15:G139,"SB(ES)",J15:J139)</f>
        <v>0</v>
      </c>
      <c r="K158" s="63"/>
      <c r="L158" s="64"/>
      <c r="M158" s="1109"/>
      <c r="N158" s="64"/>
      <c r="O158" s="64"/>
      <c r="P158" s="848"/>
    </row>
    <row r="159" spans="1:16" s="1" customFormat="1" ht="27" customHeight="1">
      <c r="A159" s="63"/>
      <c r="B159" s="63"/>
      <c r="C159" s="1415" t="s">
        <v>295</v>
      </c>
      <c r="D159" s="1416"/>
      <c r="E159" s="1416"/>
      <c r="F159" s="1416"/>
      <c r="G159" s="1417"/>
      <c r="H159" s="82">
        <f>SUMIF(G15:G140,"SB(KPP)",H15:H140)</f>
        <v>20</v>
      </c>
      <c r="I159" s="82">
        <f>SUMIF(G15:G140,"SB(KPP)",I15:I140)</f>
        <v>20</v>
      </c>
      <c r="J159" s="82">
        <f>SUMIF(G15:G140,"SB(KPP)",J15:J140)</f>
        <v>4.2</v>
      </c>
      <c r="K159" s="63"/>
      <c r="L159" s="64"/>
      <c r="M159" s="1109"/>
      <c r="N159" s="64"/>
      <c r="O159" s="64"/>
      <c r="P159" s="848"/>
    </row>
    <row r="160" spans="1:16" s="1" customFormat="1" ht="12.75" customHeight="1">
      <c r="A160" s="63"/>
      <c r="B160" s="63"/>
      <c r="C160" s="1409" t="s">
        <v>92</v>
      </c>
      <c r="D160" s="1410"/>
      <c r="E160" s="1410"/>
      <c r="F160" s="1410"/>
      <c r="G160" s="1411"/>
      <c r="H160" s="81">
        <f>SUMIF(G15:G144,"SB(L)",H15:H144)</f>
        <v>453.90000000000003</v>
      </c>
      <c r="I160" s="81">
        <f>SUMIF(G15:G144,"SB(L)",I15:I144)</f>
        <v>456.1</v>
      </c>
      <c r="J160" s="81">
        <f>SUMIF(G15:G142,"SB(L)",J15:J142)</f>
        <v>280.2</v>
      </c>
      <c r="K160" s="63"/>
      <c r="L160" s="64"/>
      <c r="M160" s="1109"/>
      <c r="N160" s="64"/>
      <c r="O160" s="64"/>
      <c r="P160" s="848"/>
    </row>
    <row r="161" spans="1:16" s="1" customFormat="1" ht="12.75" customHeight="1">
      <c r="A161" s="63"/>
      <c r="B161" s="63"/>
      <c r="C161" s="1409" t="s">
        <v>93</v>
      </c>
      <c r="D161" s="1410"/>
      <c r="E161" s="1410"/>
      <c r="F161" s="1410"/>
      <c r="G161" s="1411"/>
      <c r="H161" s="81">
        <f>SUMIF(G15:G144,"SB(SPL)",H15:H144)</f>
        <v>158.5</v>
      </c>
      <c r="I161" s="81">
        <f>SUMIF(G15:G144,"SB(SPL)",I15:I144)</f>
        <v>158.5</v>
      </c>
      <c r="J161" s="81">
        <f>SUMIF(G15:G144,"SB(SPL)",J15:J144)</f>
        <v>0</v>
      </c>
      <c r="K161" s="63"/>
      <c r="L161" s="64"/>
      <c r="M161" s="1109"/>
      <c r="N161" s="64"/>
      <c r="O161" s="64"/>
      <c r="P161" s="848"/>
    </row>
    <row r="162" spans="1:16" s="1" customFormat="1" ht="12.75" customHeight="1">
      <c r="A162" s="63"/>
      <c r="B162" s="63"/>
      <c r="C162" s="1409" t="s">
        <v>94</v>
      </c>
      <c r="D162" s="1410"/>
      <c r="E162" s="1410"/>
      <c r="F162" s="1410"/>
      <c r="G162" s="1411"/>
      <c r="H162" s="81">
        <f>SUMIF(G15:G144,"SB(VRL)",H15:H144)</f>
        <v>22.299999999999997</v>
      </c>
      <c r="I162" s="81">
        <f>SUMIF(G15:G144,"SB(VRL)",I15:I144)</f>
        <v>22.299999999999997</v>
      </c>
      <c r="J162" s="81">
        <f>SUMIF(G15:G144,"SB(VRL)",J15:J144)</f>
        <v>22.299999999999997</v>
      </c>
      <c r="K162" s="63"/>
      <c r="L162" s="64"/>
      <c r="M162" s="1109"/>
      <c r="N162" s="64"/>
      <c r="O162" s="64"/>
      <c r="P162" s="848"/>
    </row>
    <row r="163" spans="1:16" s="1" customFormat="1" ht="13.5" customHeight="1">
      <c r="A163" s="63"/>
      <c r="B163" s="63"/>
      <c r="C163" s="1409" t="s">
        <v>103</v>
      </c>
      <c r="D163" s="1410"/>
      <c r="E163" s="1410"/>
      <c r="F163" s="1410"/>
      <c r="G163" s="1411"/>
      <c r="H163" s="81">
        <f>SUMIF(G15:G144,"SB(ŽPL)",H15:H144)</f>
        <v>0</v>
      </c>
      <c r="I163" s="81">
        <f>SUMIF(G15:G144,"SB(ŽPL)",I15:I144)</f>
        <v>0</v>
      </c>
      <c r="J163" s="81">
        <f>SUMIF(G45:G144,"SB(ŽPL)",J45:J144)</f>
        <v>0</v>
      </c>
      <c r="K163" s="63"/>
      <c r="L163" s="64"/>
      <c r="M163" s="1109"/>
      <c r="N163" s="64"/>
      <c r="O163" s="64"/>
      <c r="P163" s="848"/>
    </row>
    <row r="164" spans="1:16" s="1" customFormat="1" ht="12.75" customHeight="1">
      <c r="A164" s="331"/>
      <c r="B164" s="331"/>
      <c r="C164" s="1412" t="s">
        <v>95</v>
      </c>
      <c r="D164" s="1413"/>
      <c r="E164" s="1413"/>
      <c r="F164" s="1413"/>
      <c r="G164" s="1414"/>
      <c r="H164" s="83">
        <f>H166+H165</f>
        <v>165</v>
      </c>
      <c r="I164" s="83">
        <f>I166+I165</f>
        <v>165</v>
      </c>
      <c r="J164" s="83">
        <f>J166+J165</f>
        <v>0</v>
      </c>
      <c r="K164" s="63"/>
      <c r="L164" s="64"/>
      <c r="M164" s="1109"/>
      <c r="N164" s="64"/>
      <c r="O164" s="64"/>
      <c r="P164" s="848"/>
    </row>
    <row r="165" spans="1:16" s="54" customFormat="1">
      <c r="A165" s="553"/>
      <c r="B165" s="516"/>
      <c r="C165" s="1415" t="s">
        <v>187</v>
      </c>
      <c r="D165" s="1416"/>
      <c r="E165" s="1416"/>
      <c r="F165" s="1416"/>
      <c r="G165" s="1417"/>
      <c r="H165" s="136">
        <f>SUMIF(G15:G144,"ES",H15:H144)</f>
        <v>165</v>
      </c>
      <c r="I165" s="136">
        <f>SUMIF(G15:G144,"ES",I15:I144)</f>
        <v>165</v>
      </c>
      <c r="J165" s="136">
        <f>SUMIF(G56:G143,"ES",J56:J143)</f>
        <v>0</v>
      </c>
      <c r="K165" s="331"/>
      <c r="L165" s="63"/>
      <c r="M165" s="1110"/>
      <c r="N165" s="63"/>
      <c r="O165" s="63"/>
      <c r="P165" s="849"/>
    </row>
    <row r="166" spans="1:16" s="1" customFormat="1" ht="16.5" customHeight="1">
      <c r="A166" s="331"/>
      <c r="B166" s="331"/>
      <c r="C166" s="1346" t="s">
        <v>96</v>
      </c>
      <c r="D166" s="1347"/>
      <c r="E166" s="1347"/>
      <c r="F166" s="1347"/>
      <c r="G166" s="1348"/>
      <c r="H166" s="136">
        <f>SUMIF(G16:G144,"LRVB",H16:H144)</f>
        <v>0</v>
      </c>
      <c r="I166" s="136">
        <f>SUMIF(G16:G144,"LRVB",I16:I144)</f>
        <v>0</v>
      </c>
      <c r="J166" s="136">
        <f>SUMIF(G16:G144,"LRVB",J16:J144)</f>
        <v>0</v>
      </c>
      <c r="K166" s="63"/>
      <c r="L166" s="64"/>
      <c r="M166" s="1109"/>
      <c r="N166" s="64"/>
      <c r="O166" s="64"/>
      <c r="P166" s="848"/>
    </row>
    <row r="167" spans="1:16" s="1" customFormat="1" ht="13.5" customHeight="1" thickBot="1">
      <c r="A167" s="331"/>
      <c r="B167" s="331"/>
      <c r="C167" s="1405" t="s">
        <v>97</v>
      </c>
      <c r="D167" s="1406"/>
      <c r="E167" s="1406"/>
      <c r="F167" s="1406"/>
      <c r="G167" s="1407"/>
      <c r="H167" s="137">
        <f>H164+H151</f>
        <v>15148.100000000004</v>
      </c>
      <c r="I167" s="137">
        <f>I164+I151</f>
        <v>15183.400000000001</v>
      </c>
      <c r="J167" s="137">
        <f>J164+J151</f>
        <v>13993.9</v>
      </c>
      <c r="K167" s="86"/>
      <c r="L167" s="64"/>
      <c r="M167" s="1109"/>
      <c r="N167" s="64"/>
      <c r="O167" s="64"/>
      <c r="P167" s="848"/>
    </row>
    <row r="168" spans="1:16" s="66" customFormat="1" ht="11.25">
      <c r="A168" s="65"/>
      <c r="B168" s="65"/>
      <c r="C168" s="1112"/>
      <c r="D168" s="65"/>
      <c r="E168" s="65"/>
      <c r="F168" s="65"/>
      <c r="G168" s="65"/>
      <c r="H168" s="73"/>
      <c r="I168" s="73"/>
      <c r="J168" s="73"/>
      <c r="K168" s="92"/>
      <c r="L168" s="65"/>
      <c r="M168" s="1111"/>
      <c r="N168" s="65"/>
      <c r="O168" s="65"/>
      <c r="P168" s="884"/>
    </row>
    <row r="169" spans="1:16" s="66" customFormat="1" ht="12.75">
      <c r="A169" s="65"/>
      <c r="B169" s="65"/>
      <c r="C169" s="1112"/>
      <c r="D169" s="63"/>
      <c r="E169" s="1408" t="s">
        <v>296</v>
      </c>
      <c r="F169" s="1408"/>
      <c r="G169" s="1408"/>
      <c r="H169" s="1408"/>
      <c r="I169" s="1408"/>
      <c r="J169" s="1408"/>
      <c r="K169" s="92"/>
      <c r="L169" s="811"/>
      <c r="M169" s="1112"/>
      <c r="N169" s="811"/>
      <c r="O169" s="811"/>
      <c r="P169" s="884"/>
    </row>
    <row r="170" spans="1:16" s="66" customFormat="1" ht="12.75">
      <c r="A170" s="65"/>
      <c r="B170" s="65"/>
      <c r="C170" s="1112"/>
      <c r="D170" s="63"/>
      <c r="E170" s="67"/>
      <c r="F170" s="811"/>
      <c r="G170" s="65"/>
      <c r="H170" s="65"/>
      <c r="I170" s="65"/>
      <c r="J170" s="65"/>
      <c r="K170" s="65"/>
      <c r="L170" s="811"/>
      <c r="M170" s="1112"/>
      <c r="N170" s="811"/>
      <c r="O170" s="811"/>
      <c r="P170" s="884"/>
    </row>
    <row r="171" spans="1:16">
      <c r="H171" s="88"/>
      <c r="I171" s="88"/>
      <c r="J171" s="88"/>
    </row>
    <row r="172" spans="1:16">
      <c r="H172" s="88"/>
      <c r="I172" s="88"/>
      <c r="J172" s="88"/>
    </row>
    <row r="173" spans="1:16">
      <c r="H173" s="165"/>
      <c r="I173" s="165"/>
      <c r="J173" s="165"/>
    </row>
    <row r="175" spans="1:16">
      <c r="I175" s="165"/>
    </row>
  </sheetData>
  <mergeCells count="183">
    <mergeCell ref="D23:D27"/>
    <mergeCell ref="F35:F38"/>
    <mergeCell ref="D39:D40"/>
    <mergeCell ref="K29:K30"/>
    <mergeCell ref="L29:L30"/>
    <mergeCell ref="K32:K33"/>
    <mergeCell ref="D117:D119"/>
    <mergeCell ref="D57:D58"/>
    <mergeCell ref="D59:D61"/>
    <mergeCell ref="K59:K60"/>
    <mergeCell ref="K61:K62"/>
    <mergeCell ref="D63:D65"/>
    <mergeCell ref="D35:D38"/>
    <mergeCell ref="E35:E38"/>
    <mergeCell ref="A23:A27"/>
    <mergeCell ref="B23:B27"/>
    <mergeCell ref="C23:C27"/>
    <mergeCell ref="D29:D31"/>
    <mergeCell ref="A35:A38"/>
    <mergeCell ref="B35:B38"/>
    <mergeCell ref="C35:C38"/>
    <mergeCell ref="N131:N132"/>
    <mergeCell ref="N77:N78"/>
    <mergeCell ref="N81:N82"/>
    <mergeCell ref="N83:N84"/>
    <mergeCell ref="K122:K123"/>
    <mergeCell ref="D41:D42"/>
    <mergeCell ref="N66:O67"/>
    <mergeCell ref="F70:F72"/>
    <mergeCell ref="K70:K72"/>
    <mergeCell ref="D75:D76"/>
    <mergeCell ref="D77:D78"/>
    <mergeCell ref="K77:K78"/>
    <mergeCell ref="D79:D80"/>
    <mergeCell ref="K79:K80"/>
    <mergeCell ref="D81:D82"/>
    <mergeCell ref="K94:K95"/>
    <mergeCell ref="K96:K97"/>
    <mergeCell ref="A49:A51"/>
    <mergeCell ref="B49:B51"/>
    <mergeCell ref="C49:C51"/>
    <mergeCell ref="D49:D50"/>
    <mergeCell ref="E49:E51"/>
    <mergeCell ref="F49:F51"/>
    <mergeCell ref="A46:A48"/>
    <mergeCell ref="B46:B48"/>
    <mergeCell ref="C46:C48"/>
    <mergeCell ref="D46:D48"/>
    <mergeCell ref="E46:E48"/>
    <mergeCell ref="F46:F48"/>
    <mergeCell ref="A55:A56"/>
    <mergeCell ref="B55:B56"/>
    <mergeCell ref="C55:C56"/>
    <mergeCell ref="D55:D56"/>
    <mergeCell ref="E55:E56"/>
    <mergeCell ref="F55:F56"/>
    <mergeCell ref="A52:A54"/>
    <mergeCell ref="B52:B54"/>
    <mergeCell ref="C52:C54"/>
    <mergeCell ref="D52:D54"/>
    <mergeCell ref="E52:E54"/>
    <mergeCell ref="F52:F54"/>
    <mergeCell ref="A73:A74"/>
    <mergeCell ref="B73:B74"/>
    <mergeCell ref="C73:C74"/>
    <mergeCell ref="D73:D74"/>
    <mergeCell ref="E73:E74"/>
    <mergeCell ref="F73:F74"/>
    <mergeCell ref="A70:A72"/>
    <mergeCell ref="B70:B72"/>
    <mergeCell ref="C70:C72"/>
    <mergeCell ref="D70:D72"/>
    <mergeCell ref="E70:E72"/>
    <mergeCell ref="A99:A101"/>
    <mergeCell ref="B99:B101"/>
    <mergeCell ref="C99:C101"/>
    <mergeCell ref="D99:D101"/>
    <mergeCell ref="E99:E101"/>
    <mergeCell ref="D83:D84"/>
    <mergeCell ref="D87:D88"/>
    <mergeCell ref="D91:D96"/>
    <mergeCell ref="C151:G151"/>
    <mergeCell ref="D107:D108"/>
    <mergeCell ref="E107:E112"/>
    <mergeCell ref="C115:G115"/>
    <mergeCell ref="C116:O116"/>
    <mergeCell ref="F99:F101"/>
    <mergeCell ref="A102:A104"/>
    <mergeCell ref="B102:B104"/>
    <mergeCell ref="C102:C104"/>
    <mergeCell ref="D102:D103"/>
    <mergeCell ref="K102:K103"/>
    <mergeCell ref="B144:G144"/>
    <mergeCell ref="K144:O144"/>
    <mergeCell ref="A145:L145"/>
    <mergeCell ref="A146:L146"/>
    <mergeCell ref="A122:A125"/>
    <mergeCell ref="C167:G167"/>
    <mergeCell ref="E169:J169"/>
    <mergeCell ref="C161:G161"/>
    <mergeCell ref="C162:G162"/>
    <mergeCell ref="C163:G163"/>
    <mergeCell ref="C164:G164"/>
    <mergeCell ref="C165:G165"/>
    <mergeCell ref="C166:G166"/>
    <mergeCell ref="C155:G155"/>
    <mergeCell ref="C156:G156"/>
    <mergeCell ref="C157:G157"/>
    <mergeCell ref="C158:G158"/>
    <mergeCell ref="C159:G159"/>
    <mergeCell ref="C160:G160"/>
    <mergeCell ref="C152:G152"/>
    <mergeCell ref="C153:G153"/>
    <mergeCell ref="C154:G154"/>
    <mergeCell ref="C142:G142"/>
    <mergeCell ref="K142:O142"/>
    <mergeCell ref="B143:G143"/>
    <mergeCell ref="K143:O143"/>
    <mergeCell ref="D1:N1"/>
    <mergeCell ref="D2:N2"/>
    <mergeCell ref="M3:O3"/>
    <mergeCell ref="D4:D6"/>
    <mergeCell ref="E4:E6"/>
    <mergeCell ref="H5:H6"/>
    <mergeCell ref="L5:L6"/>
    <mergeCell ref="M5:M6"/>
    <mergeCell ref="A7:O7"/>
    <mergeCell ref="A4:A6"/>
    <mergeCell ref="B4:B6"/>
    <mergeCell ref="C4:C6"/>
    <mergeCell ref="F4:F6"/>
    <mergeCell ref="G4:G6"/>
    <mergeCell ref="K4:M4"/>
    <mergeCell ref="N4:N6"/>
    <mergeCell ref="O4:O6"/>
    <mergeCell ref="H4:J4"/>
    <mergeCell ref="C149:G150"/>
    <mergeCell ref="H149:H150"/>
    <mergeCell ref="I149:I150"/>
    <mergeCell ref="J149:J150"/>
    <mergeCell ref="H9:J9"/>
    <mergeCell ref="H10:J10"/>
    <mergeCell ref="H11:J11"/>
    <mergeCell ref="A8:O8"/>
    <mergeCell ref="B9:G10"/>
    <mergeCell ref="C148:G148"/>
    <mergeCell ref="D137:D138"/>
    <mergeCell ref="D139:D140"/>
    <mergeCell ref="K139:K140"/>
    <mergeCell ref="C126:G126"/>
    <mergeCell ref="C127:O127"/>
    <mergeCell ref="D128:D129"/>
    <mergeCell ref="D130:D132"/>
    <mergeCell ref="B122:B125"/>
    <mergeCell ref="D122:D123"/>
    <mergeCell ref="E122:E123"/>
    <mergeCell ref="A120:A121"/>
    <mergeCell ref="B120:B121"/>
    <mergeCell ref="D120:D121"/>
    <mergeCell ref="D133:D134"/>
    <mergeCell ref="K133:K134"/>
    <mergeCell ref="K120:K121"/>
    <mergeCell ref="O131:O132"/>
    <mergeCell ref="I5:I6"/>
    <mergeCell ref="J5:J6"/>
    <mergeCell ref="K5:K6"/>
    <mergeCell ref="H12:J12"/>
    <mergeCell ref="H13:J13"/>
    <mergeCell ref="H14:J14"/>
    <mergeCell ref="E120:E121"/>
    <mergeCell ref="F120:F121"/>
    <mergeCell ref="C105:G105"/>
    <mergeCell ref="C106:O106"/>
    <mergeCell ref="C15:O15"/>
    <mergeCell ref="M46:M48"/>
    <mergeCell ref="O46:O48"/>
    <mergeCell ref="K46:K48"/>
    <mergeCell ref="N29:N30"/>
    <mergeCell ref="O96:O97"/>
    <mergeCell ref="O122:O123"/>
    <mergeCell ref="D17:D19"/>
    <mergeCell ref="E17:E19"/>
    <mergeCell ref="F17:F19"/>
  </mergeCells>
  <printOptions horizontalCentered="1"/>
  <pageMargins left="0.23622047244094491" right="0.23622047244094491" top="0.59055118110236227" bottom="0.23622047244094491" header="0.31496062992125984" footer="0.31496062992125984"/>
  <pageSetup paperSize="9" scale="73"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0"/>
  <sheetViews>
    <sheetView workbookViewId="0">
      <selection activeCell="P9" sqref="P9"/>
    </sheetView>
  </sheetViews>
  <sheetFormatPr defaultColWidth="9.140625" defaultRowHeight="12.75"/>
  <cols>
    <col min="1" max="1" width="9.42578125" style="971" customWidth="1"/>
    <col min="2" max="2" width="50.7109375" style="971" customWidth="1"/>
    <col min="3" max="3" width="11.140625" style="971" customWidth="1"/>
    <col min="4" max="4" width="10.7109375" style="1054" customWidth="1"/>
    <col min="5" max="8" width="8.85546875" style="1045" customWidth="1"/>
    <col min="9" max="9" width="31.7109375" style="971" customWidth="1"/>
    <col min="10" max="10" width="7.28515625" style="971" customWidth="1"/>
    <col min="11" max="11" width="7.7109375" style="971" customWidth="1"/>
    <col min="12" max="12" width="6.85546875" style="971" customWidth="1"/>
    <col min="13" max="13" width="17.85546875" style="1046" customWidth="1"/>
    <col min="14" max="14" width="50.7109375" style="971" customWidth="1"/>
    <col min="15" max="16384" width="9.140625" style="971"/>
  </cols>
  <sheetData>
    <row r="1" spans="1:14" ht="48">
      <c r="A1" s="966" t="s">
        <v>298</v>
      </c>
      <c r="B1" s="967" t="s">
        <v>299</v>
      </c>
      <c r="C1" s="967" t="s">
        <v>300</v>
      </c>
      <c r="D1" s="968" t="s">
        <v>301</v>
      </c>
      <c r="E1" s="968" t="s">
        <v>302</v>
      </c>
      <c r="F1" s="968" t="s">
        <v>303</v>
      </c>
      <c r="G1" s="968" t="s">
        <v>304</v>
      </c>
      <c r="H1" s="968" t="s">
        <v>305</v>
      </c>
      <c r="I1" s="967" t="s">
        <v>306</v>
      </c>
      <c r="J1" s="969"/>
      <c r="K1" s="969"/>
      <c r="L1" s="969"/>
      <c r="M1" s="969"/>
      <c r="N1" s="970"/>
    </row>
    <row r="2" spans="1:14" ht="25.5">
      <c r="A2" s="972"/>
      <c r="B2" s="973"/>
      <c r="C2" s="973"/>
      <c r="D2" s="974"/>
      <c r="E2" s="974"/>
      <c r="F2" s="974"/>
      <c r="G2" s="974"/>
      <c r="H2" s="974"/>
      <c r="I2" s="973" t="s">
        <v>307</v>
      </c>
      <c r="J2" s="973" t="s">
        <v>308</v>
      </c>
      <c r="K2" s="973" t="s">
        <v>309</v>
      </c>
      <c r="L2" s="975"/>
      <c r="M2" s="976" t="s">
        <v>310</v>
      </c>
      <c r="N2" s="977" t="s">
        <v>311</v>
      </c>
    </row>
    <row r="3" spans="1:14" ht="13.5" thickBot="1">
      <c r="A3" s="978"/>
      <c r="B3" s="979"/>
      <c r="C3" s="979"/>
      <c r="D3" s="980"/>
      <c r="E3" s="980"/>
      <c r="F3" s="980"/>
      <c r="G3" s="980"/>
      <c r="H3" s="980"/>
      <c r="I3" s="979"/>
      <c r="J3" s="979"/>
      <c r="K3" s="979" t="s">
        <v>10</v>
      </c>
      <c r="L3" s="979" t="s">
        <v>312</v>
      </c>
      <c r="M3" s="981"/>
      <c r="N3" s="982"/>
    </row>
    <row r="4" spans="1:14" ht="13.5" thickBot="1">
      <c r="A4" s="983" t="s">
        <v>26</v>
      </c>
      <c r="B4" s="984" t="s">
        <v>313</v>
      </c>
      <c r="C4" s="985"/>
      <c r="D4" s="986"/>
      <c r="E4" s="987">
        <f>SUM(E5:E5)</f>
        <v>14963.100000000002</v>
      </c>
      <c r="F4" s="987">
        <f>SUM(F5:F5)</f>
        <v>15113.9</v>
      </c>
      <c r="G4" s="987">
        <f>SUM(G5:G5)</f>
        <v>14025.599999999999</v>
      </c>
      <c r="H4" s="987">
        <f>SUM(H5:H5)</f>
        <v>1088.3</v>
      </c>
      <c r="I4" s="985"/>
      <c r="J4" s="988"/>
      <c r="K4" s="989"/>
      <c r="L4" s="989"/>
      <c r="M4" s="990"/>
      <c r="N4" s="991"/>
    </row>
    <row r="5" spans="1:14" ht="26.25" thickBot="1">
      <c r="A5" s="992" t="s">
        <v>314</v>
      </c>
      <c r="B5" s="993" t="s">
        <v>14</v>
      </c>
      <c r="C5" s="994"/>
      <c r="D5" s="995"/>
      <c r="E5" s="996">
        <f>E6+E150+E161+E168</f>
        <v>14963.100000000002</v>
      </c>
      <c r="F5" s="996">
        <f>F6+F150+F161+F168</f>
        <v>15113.9</v>
      </c>
      <c r="G5" s="996">
        <f>G6+G150+G161+G168</f>
        <v>14025.599999999999</v>
      </c>
      <c r="H5" s="996">
        <f>H6+H150+H161+H168</f>
        <v>1088.3</v>
      </c>
      <c r="I5" s="994"/>
      <c r="J5" s="997"/>
      <c r="K5" s="998"/>
      <c r="L5" s="998"/>
      <c r="M5" s="999"/>
      <c r="N5" s="1000"/>
    </row>
    <row r="6" spans="1:14" ht="26.25" thickBot="1">
      <c r="A6" s="1001" t="s">
        <v>315</v>
      </c>
      <c r="B6" s="1002" t="s">
        <v>316</v>
      </c>
      <c r="C6" s="1003"/>
      <c r="D6" s="1004"/>
      <c r="E6" s="1005">
        <f>E7+E82+E85+E87+E92+E94+E111+E115+E117+E141+E144</f>
        <v>14070.200000000003</v>
      </c>
      <c r="F6" s="1005">
        <f>F7+F82+F85+F87+F92+F94+F111+F115+F117+F141+F144+0.1</f>
        <v>14236</v>
      </c>
      <c r="G6" s="1005">
        <f>G7+G82+G85+G87+G92+G94+G111+G115+G117+G141+G144</f>
        <v>13273.399999999998</v>
      </c>
      <c r="H6" s="1005">
        <f>H7+H82+H85+H87+H92+H94+H111+H115+H117+H141+H144</f>
        <v>962.6</v>
      </c>
      <c r="I6" s="1003"/>
      <c r="J6" s="1006"/>
      <c r="K6" s="1007"/>
      <c r="L6" s="1007"/>
      <c r="M6" s="1008"/>
      <c r="N6" s="1009"/>
    </row>
    <row r="7" spans="1:14" ht="141" thickBot="1">
      <c r="A7" s="1010" t="s">
        <v>317</v>
      </c>
      <c r="B7" s="1011" t="s">
        <v>318</v>
      </c>
      <c r="C7" s="1012" t="s">
        <v>319</v>
      </c>
      <c r="D7" s="1013"/>
      <c r="E7" s="1014">
        <f>E8+E9+E12+E13+E14+E15+E16+E17+E20+E24+E25+E26+E27+E28+E29+E30+E31+E32+E33+E34+E35+E36+E37+E38+E39+E40+E41+E42+E43+E44+E45+E46+E47+E48+E49+E50+E51+E52+E53+E54+E56+E58+E63+E67+E70+E72+E77+E78+E80+E81</f>
        <v>9562.1</v>
      </c>
      <c r="F7" s="1014">
        <f>F8+F9+F12+F13+F14+F15+F16+F17+F20+F24+F25+F26+F27+F28+F29+F30+F31+F32+F33+F34+F35+F36+F37+F38+F39+F40+F41+F42+F43+F44+F45+F46+F47+F48+F49+F50+F51+F52+F53+F54+F56+F58+F63+F67+F70+F72+F77+F78+F80+F81</f>
        <v>9634.5999999999985</v>
      </c>
      <c r="G7" s="1145">
        <f>G8+G9+G12+G13+G14+G15+G16+G17+G20+G24+G25+G26+G27+G28+G29+G30+G31+G32+G33+G34+G35+G36+G37+G38+G39+G40+G41+G42+G43+G44+G45+G46+G47+G48+G49+G50+G51+G52+G53+G54+G56+G58+G63+G67+G70+G72+G77+G78+G80+G81-0.1</f>
        <v>9226</v>
      </c>
      <c r="H7" s="1014">
        <f>H8+H9+H12+H13+H14+H15+H16+H17+H20+H24+H25+H26+H27+H28+H29+H30+H31+H32+H33+H34+H35+H36+H37+H38+H39+H40+H41+H42+H43+H44+H45+H46+H47+H48+H49+H50+H51+H52+H53+H54+H56+H58+H63+H67+H70+H72+H77+H78+H80+H81+0.3</f>
        <v>408.7000000000001</v>
      </c>
      <c r="I7" s="1012" t="s">
        <v>320</v>
      </c>
      <c r="J7" s="1015" t="s">
        <v>321</v>
      </c>
      <c r="K7" s="1016" t="s">
        <v>322</v>
      </c>
      <c r="L7" s="1016" t="s">
        <v>322</v>
      </c>
      <c r="M7" s="1017"/>
      <c r="N7" s="1018" t="s">
        <v>323</v>
      </c>
    </row>
    <row r="8" spans="1:14" ht="26.25" thickBot="1">
      <c r="A8" s="1010" t="s">
        <v>324</v>
      </c>
      <c r="B8" s="1011" t="s">
        <v>325</v>
      </c>
      <c r="C8" s="1012" t="s">
        <v>326</v>
      </c>
      <c r="D8" s="1013" t="s">
        <v>20</v>
      </c>
      <c r="E8" s="1019">
        <v>121.2</v>
      </c>
      <c r="F8" s="1019">
        <v>121.2</v>
      </c>
      <c r="G8" s="1019">
        <v>120.8</v>
      </c>
      <c r="H8" s="1019">
        <v>0.4</v>
      </c>
      <c r="I8" s="1012" t="s">
        <v>327</v>
      </c>
      <c r="J8" s="1015" t="s">
        <v>321</v>
      </c>
      <c r="K8" s="1016" t="s">
        <v>328</v>
      </c>
      <c r="L8" s="1016" t="s">
        <v>329</v>
      </c>
      <c r="M8" s="1017"/>
      <c r="N8" s="1018"/>
    </row>
    <row r="9" spans="1:14" ht="63.75">
      <c r="A9" s="1010" t="s">
        <v>330</v>
      </c>
      <c r="B9" s="1011" t="s">
        <v>331</v>
      </c>
      <c r="C9" s="1012"/>
      <c r="D9" s="1013"/>
      <c r="E9" s="1014">
        <f>SUM(E10:E11)</f>
        <v>1547.7</v>
      </c>
      <c r="F9" s="1014">
        <f>SUM(F10:F11)</f>
        <v>1561.5</v>
      </c>
      <c r="G9" s="1014">
        <f>SUM(G10:G11)</f>
        <v>1373.1</v>
      </c>
      <c r="H9" s="1014">
        <f>SUM(H10:H11)</f>
        <v>188.39999999999998</v>
      </c>
      <c r="I9" s="1131">
        <f>SPIS!G11+SPIS!G12+SPIS!G13+SPIS!G14+SPIS!G15+SPIS!G16+SPIS!G19+SPIS!G21+SPIS!G24+SPIS!G25+SPIS!G26+SPIS!G27+SPIS!G28+SPIS!G29+SPIS!G30+SPIS!G31+SPIS!G32+SPIS!G33+SPIS!G34+SPIS!G35+SPIS!G36</f>
        <v>7435</v>
      </c>
      <c r="J9" s="1015"/>
      <c r="K9" s="1016"/>
      <c r="L9" s="1016"/>
      <c r="M9" s="1017"/>
      <c r="N9" s="1018"/>
    </row>
    <row r="10" spans="1:14">
      <c r="A10" s="1020"/>
      <c r="B10" s="1021"/>
      <c r="C10" s="1022"/>
      <c r="D10" s="1023" t="s">
        <v>127</v>
      </c>
      <c r="E10" s="1024">
        <v>44.3</v>
      </c>
      <c r="F10" s="1024">
        <v>44.3</v>
      </c>
      <c r="G10" s="1024">
        <v>0</v>
      </c>
      <c r="H10" s="1024">
        <v>44.3</v>
      </c>
      <c r="I10" s="1022"/>
      <c r="J10" s="1025"/>
      <c r="K10" s="1026"/>
      <c r="L10" s="1026"/>
      <c r="M10" s="1027"/>
      <c r="N10" s="1028"/>
    </row>
    <row r="11" spans="1:14" ht="13.5" thickBot="1">
      <c r="A11" s="1020"/>
      <c r="B11" s="1021"/>
      <c r="C11" s="1022"/>
      <c r="D11" s="1023" t="s">
        <v>20</v>
      </c>
      <c r="E11" s="1024">
        <v>1503.4</v>
      </c>
      <c r="F11" s="1024">
        <v>1517.2</v>
      </c>
      <c r="G11" s="1024">
        <v>1373.1</v>
      </c>
      <c r="H11" s="1024">
        <v>144.1</v>
      </c>
      <c r="I11" s="1022"/>
      <c r="J11" s="1025"/>
      <c r="K11" s="1026"/>
      <c r="L11" s="1026"/>
      <c r="M11" s="1027"/>
      <c r="N11" s="1028"/>
    </row>
    <row r="12" spans="1:14" ht="51.75" thickBot="1">
      <c r="A12" s="1010" t="s">
        <v>332</v>
      </c>
      <c r="B12" s="1011" t="s">
        <v>333</v>
      </c>
      <c r="C12" s="1012"/>
      <c r="D12" s="1013" t="s">
        <v>20</v>
      </c>
      <c r="E12" s="1019">
        <v>1322</v>
      </c>
      <c r="F12" s="1019">
        <v>1366</v>
      </c>
      <c r="G12" s="1019">
        <v>1357.3</v>
      </c>
      <c r="H12" s="1019">
        <v>8.6999999999999993</v>
      </c>
      <c r="I12" s="1012"/>
      <c r="J12" s="1015"/>
      <c r="K12" s="1016"/>
      <c r="L12" s="1016"/>
      <c r="M12" s="1017"/>
      <c r="N12" s="1018"/>
    </row>
    <row r="13" spans="1:14" ht="39" thickBot="1">
      <c r="A13" s="1010" t="s">
        <v>334</v>
      </c>
      <c r="B13" s="1011" t="s">
        <v>335</v>
      </c>
      <c r="C13" s="1012"/>
      <c r="D13" s="1013" t="s">
        <v>20</v>
      </c>
      <c r="E13" s="1019">
        <v>613.70000000000005</v>
      </c>
      <c r="F13" s="1019">
        <v>634.29999999999995</v>
      </c>
      <c r="G13" s="1019">
        <v>628.5</v>
      </c>
      <c r="H13" s="1019">
        <v>5.8</v>
      </c>
      <c r="I13" s="1012"/>
      <c r="J13" s="1015"/>
      <c r="K13" s="1016"/>
      <c r="L13" s="1016"/>
      <c r="M13" s="1017"/>
      <c r="N13" s="1018"/>
    </row>
    <row r="14" spans="1:14" ht="39" thickBot="1">
      <c r="A14" s="1010" t="s">
        <v>336</v>
      </c>
      <c r="B14" s="1011" t="s">
        <v>337</v>
      </c>
      <c r="C14" s="1012"/>
      <c r="D14" s="1013" t="s">
        <v>20</v>
      </c>
      <c r="E14" s="1019">
        <v>60.7</v>
      </c>
      <c r="F14" s="1019">
        <v>67.099999999999994</v>
      </c>
      <c r="G14" s="1019">
        <v>61.2</v>
      </c>
      <c r="H14" s="1019">
        <v>5.9</v>
      </c>
      <c r="I14" s="1012" t="s">
        <v>338</v>
      </c>
      <c r="J14" s="1015" t="s">
        <v>339</v>
      </c>
      <c r="K14" s="1016" t="s">
        <v>340</v>
      </c>
      <c r="L14" s="1016" t="s">
        <v>341</v>
      </c>
      <c r="M14" s="1017"/>
      <c r="N14" s="1018"/>
    </row>
    <row r="15" spans="1:14" ht="26.25" thickBot="1">
      <c r="A15" s="1010" t="s">
        <v>342</v>
      </c>
      <c r="B15" s="1011" t="s">
        <v>343</v>
      </c>
      <c r="C15" s="1012"/>
      <c r="D15" s="1013" t="s">
        <v>20</v>
      </c>
      <c r="E15" s="1019">
        <v>47</v>
      </c>
      <c r="F15" s="1019">
        <v>76.7</v>
      </c>
      <c r="G15" s="1019">
        <v>75.599999999999994</v>
      </c>
      <c r="H15" s="1019">
        <v>1.1000000000000001</v>
      </c>
      <c r="I15" s="1012"/>
      <c r="J15" s="1015"/>
      <c r="K15" s="1016"/>
      <c r="L15" s="1016"/>
      <c r="M15" s="1017"/>
      <c r="N15" s="1018"/>
    </row>
    <row r="16" spans="1:14" ht="26.25" thickBot="1">
      <c r="A16" s="1010" t="s">
        <v>344</v>
      </c>
      <c r="B16" s="1011" t="s">
        <v>345</v>
      </c>
      <c r="C16" s="1012"/>
      <c r="D16" s="1013" t="s">
        <v>20</v>
      </c>
      <c r="E16" s="1019">
        <v>123.3</v>
      </c>
      <c r="F16" s="1019">
        <v>123.5</v>
      </c>
      <c r="G16" s="1019">
        <v>120.1</v>
      </c>
      <c r="H16" s="1019">
        <v>3.4</v>
      </c>
      <c r="I16" s="1012"/>
      <c r="J16" s="1015"/>
      <c r="K16" s="1016"/>
      <c r="L16" s="1016"/>
      <c r="M16" s="1017"/>
      <c r="N16" s="1018"/>
    </row>
    <row r="17" spans="1:14" ht="25.5">
      <c r="A17" s="1010" t="s">
        <v>346</v>
      </c>
      <c r="B17" s="1011" t="s">
        <v>347</v>
      </c>
      <c r="C17" s="1012"/>
      <c r="D17" s="1013"/>
      <c r="E17" s="1014">
        <f>SUM(E18:E19)</f>
        <v>91</v>
      </c>
      <c r="F17" s="1014">
        <f>SUM(F18:F19)</f>
        <v>93.399999999999991</v>
      </c>
      <c r="G17" s="1014">
        <f>SUM(G18:G19)</f>
        <v>91.699999999999989</v>
      </c>
      <c r="H17" s="1014">
        <f>SUM(H18:H19)</f>
        <v>1.7</v>
      </c>
      <c r="I17" s="1012"/>
      <c r="J17" s="1015"/>
      <c r="K17" s="1016"/>
      <c r="L17" s="1016"/>
      <c r="M17" s="1017"/>
      <c r="N17" s="1018"/>
    </row>
    <row r="18" spans="1:14">
      <c r="A18" s="1020"/>
      <c r="B18" s="1021"/>
      <c r="C18" s="1022"/>
      <c r="D18" s="1023" t="s">
        <v>44</v>
      </c>
      <c r="E18" s="1024">
        <v>12.1</v>
      </c>
      <c r="F18" s="1024">
        <v>12.1</v>
      </c>
      <c r="G18" s="1024">
        <v>12.1</v>
      </c>
      <c r="H18" s="1024">
        <v>0</v>
      </c>
      <c r="I18" s="1022"/>
      <c r="J18" s="1025"/>
      <c r="K18" s="1026"/>
      <c r="L18" s="1026"/>
      <c r="M18" s="1027"/>
      <c r="N18" s="1028"/>
    </row>
    <row r="19" spans="1:14" ht="13.5" thickBot="1">
      <c r="A19" s="1020"/>
      <c r="B19" s="1021"/>
      <c r="C19" s="1022"/>
      <c r="D19" s="1023" t="s">
        <v>20</v>
      </c>
      <c r="E19" s="1024">
        <v>78.900000000000006</v>
      </c>
      <c r="F19" s="1024">
        <v>81.3</v>
      </c>
      <c r="G19" s="1024">
        <v>79.599999999999994</v>
      </c>
      <c r="H19" s="1024">
        <v>1.7</v>
      </c>
      <c r="I19" s="1022"/>
      <c r="J19" s="1025"/>
      <c r="K19" s="1026"/>
      <c r="L19" s="1026"/>
      <c r="M19" s="1027"/>
      <c r="N19" s="1028"/>
    </row>
    <row r="20" spans="1:14" ht="51">
      <c r="A20" s="1010" t="s">
        <v>348</v>
      </c>
      <c r="B20" s="1011" t="s">
        <v>349</v>
      </c>
      <c r="C20" s="1012"/>
      <c r="D20" s="1013"/>
      <c r="E20" s="1014">
        <f>SUM(E21:E23)</f>
        <v>726.90000000000009</v>
      </c>
      <c r="F20" s="1014">
        <f>SUM(F21:F23)</f>
        <v>713.1</v>
      </c>
      <c r="G20" s="1014">
        <f>SUM(G21:G23)</f>
        <v>708.1</v>
      </c>
      <c r="H20" s="1014">
        <f>SUM(H21:H23)</f>
        <v>5</v>
      </c>
      <c r="I20" s="1012"/>
      <c r="J20" s="1015"/>
      <c r="K20" s="1016"/>
      <c r="L20" s="1016"/>
      <c r="M20" s="1017"/>
      <c r="N20" s="1018"/>
    </row>
    <row r="21" spans="1:14">
      <c r="A21" s="1020"/>
      <c r="B21" s="1021"/>
      <c r="C21" s="1022"/>
      <c r="D21" s="1023" t="s">
        <v>20</v>
      </c>
      <c r="E21" s="1024">
        <v>706.7</v>
      </c>
      <c r="F21" s="1024">
        <v>692.9</v>
      </c>
      <c r="G21" s="1024">
        <v>688</v>
      </c>
      <c r="H21" s="1024">
        <v>4.9000000000000004</v>
      </c>
      <c r="I21" s="1022"/>
      <c r="J21" s="1025"/>
      <c r="K21" s="1026"/>
      <c r="L21" s="1026"/>
      <c r="M21" s="1027"/>
      <c r="N21" s="1028"/>
    </row>
    <row r="22" spans="1:14">
      <c r="A22" s="1020"/>
      <c r="B22" s="1021"/>
      <c r="C22" s="1022"/>
      <c r="D22" s="1023" t="s">
        <v>44</v>
      </c>
      <c r="E22" s="1024">
        <v>10.199999999999999</v>
      </c>
      <c r="F22" s="1024">
        <v>10.199999999999999</v>
      </c>
      <c r="G22" s="1024">
        <v>10.199999999999999</v>
      </c>
      <c r="H22" s="1024">
        <v>0</v>
      </c>
      <c r="I22" s="1022"/>
      <c r="J22" s="1025"/>
      <c r="K22" s="1026"/>
      <c r="L22" s="1026"/>
      <c r="M22" s="1027"/>
      <c r="N22" s="1028"/>
    </row>
    <row r="23" spans="1:14" ht="13.5" thickBot="1">
      <c r="A23" s="1020"/>
      <c r="B23" s="1021"/>
      <c r="C23" s="1022"/>
      <c r="D23" s="1023" t="s">
        <v>43</v>
      </c>
      <c r="E23" s="1024">
        <v>10</v>
      </c>
      <c r="F23" s="1024">
        <v>10</v>
      </c>
      <c r="G23" s="1024">
        <v>9.9</v>
      </c>
      <c r="H23" s="1024">
        <v>0.1</v>
      </c>
      <c r="I23" s="1022"/>
      <c r="J23" s="1025"/>
      <c r="K23" s="1026"/>
      <c r="L23" s="1026"/>
      <c r="M23" s="1027"/>
      <c r="N23" s="1028"/>
    </row>
    <row r="24" spans="1:14" ht="26.25" thickBot="1">
      <c r="A24" s="1010" t="s">
        <v>350</v>
      </c>
      <c r="B24" s="1011" t="s">
        <v>351</v>
      </c>
      <c r="C24" s="1012"/>
      <c r="D24" s="1013" t="s">
        <v>20</v>
      </c>
      <c r="E24" s="1019">
        <v>82.4</v>
      </c>
      <c r="F24" s="1019">
        <v>79.400000000000006</v>
      </c>
      <c r="G24" s="1019">
        <v>75.900000000000006</v>
      </c>
      <c r="H24" s="1019">
        <v>3.5</v>
      </c>
      <c r="I24" s="1012"/>
      <c r="J24" s="1015"/>
      <c r="K24" s="1016"/>
      <c r="L24" s="1016"/>
      <c r="M24" s="1017"/>
      <c r="N24" s="1018"/>
    </row>
    <row r="25" spans="1:14" ht="26.25" thickBot="1">
      <c r="A25" s="1010" t="s">
        <v>352</v>
      </c>
      <c r="B25" s="1011" t="s">
        <v>353</v>
      </c>
      <c r="C25" s="1012"/>
      <c r="D25" s="1013" t="s">
        <v>20</v>
      </c>
      <c r="E25" s="1019">
        <v>84.7</v>
      </c>
      <c r="F25" s="1019">
        <v>80.8</v>
      </c>
      <c r="G25" s="1019">
        <v>78.8</v>
      </c>
      <c r="H25" s="1019">
        <v>2</v>
      </c>
      <c r="I25" s="1012"/>
      <c r="J25" s="1015"/>
      <c r="K25" s="1016"/>
      <c r="L25" s="1016"/>
      <c r="M25" s="1017"/>
      <c r="N25" s="1018"/>
    </row>
    <row r="26" spans="1:14" ht="51.75" thickBot="1">
      <c r="A26" s="1010" t="s">
        <v>354</v>
      </c>
      <c r="B26" s="1011" t="s">
        <v>355</v>
      </c>
      <c r="C26" s="1012"/>
      <c r="D26" s="1013" t="s">
        <v>20</v>
      </c>
      <c r="E26" s="1019">
        <v>790.8</v>
      </c>
      <c r="F26" s="1019">
        <v>770.9</v>
      </c>
      <c r="G26" s="1019">
        <v>762.8</v>
      </c>
      <c r="H26" s="1019">
        <v>8.1</v>
      </c>
      <c r="I26" s="1012"/>
      <c r="J26" s="1015"/>
      <c r="K26" s="1016"/>
      <c r="L26" s="1016"/>
      <c r="M26" s="1017"/>
      <c r="N26" s="1018"/>
    </row>
    <row r="27" spans="1:14" ht="26.25" thickBot="1">
      <c r="A27" s="1010" t="s">
        <v>356</v>
      </c>
      <c r="B27" s="1011" t="s">
        <v>357</v>
      </c>
      <c r="C27" s="1012"/>
      <c r="D27" s="1013" t="s">
        <v>20</v>
      </c>
      <c r="E27" s="1019">
        <v>97.5</v>
      </c>
      <c r="F27" s="1019">
        <v>87.2</v>
      </c>
      <c r="G27" s="1019">
        <v>86</v>
      </c>
      <c r="H27" s="1019">
        <v>1.2</v>
      </c>
      <c r="I27" s="1012"/>
      <c r="J27" s="1015"/>
      <c r="K27" s="1016"/>
      <c r="L27" s="1016"/>
      <c r="M27" s="1017"/>
      <c r="N27" s="1018"/>
    </row>
    <row r="28" spans="1:14" ht="26.25" thickBot="1">
      <c r="A28" s="1010" t="s">
        <v>358</v>
      </c>
      <c r="B28" s="1011" t="s">
        <v>359</v>
      </c>
      <c r="C28" s="1012"/>
      <c r="D28" s="1013" t="s">
        <v>20</v>
      </c>
      <c r="E28" s="1019">
        <v>102.1</v>
      </c>
      <c r="F28" s="1019">
        <v>92.5</v>
      </c>
      <c r="G28" s="1019">
        <v>91.3</v>
      </c>
      <c r="H28" s="1019">
        <v>1.2</v>
      </c>
      <c r="I28" s="1012"/>
      <c r="J28" s="1015"/>
      <c r="K28" s="1016"/>
      <c r="L28" s="1016"/>
      <c r="M28" s="1017"/>
      <c r="N28" s="1018"/>
    </row>
    <row r="29" spans="1:14" ht="26.25" thickBot="1">
      <c r="A29" s="1010" t="s">
        <v>360</v>
      </c>
      <c r="B29" s="1011" t="s">
        <v>361</v>
      </c>
      <c r="C29" s="1012"/>
      <c r="D29" s="1013" t="s">
        <v>20</v>
      </c>
      <c r="E29" s="1019">
        <v>106.1</v>
      </c>
      <c r="F29" s="1019">
        <v>93.1</v>
      </c>
      <c r="G29" s="1019">
        <v>91.1</v>
      </c>
      <c r="H29" s="1019">
        <v>2</v>
      </c>
      <c r="I29" s="1012"/>
      <c r="J29" s="1015"/>
      <c r="K29" s="1016"/>
      <c r="L29" s="1016"/>
      <c r="M29" s="1017"/>
      <c r="N29" s="1018"/>
    </row>
    <row r="30" spans="1:14" ht="26.25" thickBot="1">
      <c r="A30" s="1010" t="s">
        <v>362</v>
      </c>
      <c r="B30" s="1011" t="s">
        <v>363</v>
      </c>
      <c r="C30" s="1012"/>
      <c r="D30" s="1013" t="s">
        <v>20</v>
      </c>
      <c r="E30" s="1019">
        <v>324.5</v>
      </c>
      <c r="F30" s="1019">
        <v>297.3</v>
      </c>
      <c r="G30" s="1019">
        <v>294</v>
      </c>
      <c r="H30" s="1019">
        <v>3.3</v>
      </c>
      <c r="I30" s="1012"/>
      <c r="J30" s="1015"/>
      <c r="K30" s="1016"/>
      <c r="L30" s="1016"/>
      <c r="M30" s="1017"/>
      <c r="N30" s="1018"/>
    </row>
    <row r="31" spans="1:14" ht="26.25" thickBot="1">
      <c r="A31" s="1010" t="s">
        <v>364</v>
      </c>
      <c r="B31" s="1011" t="s">
        <v>365</v>
      </c>
      <c r="C31" s="1012"/>
      <c r="D31" s="1013" t="s">
        <v>20</v>
      </c>
      <c r="E31" s="1019">
        <v>209.7</v>
      </c>
      <c r="F31" s="1019">
        <v>216.7</v>
      </c>
      <c r="G31" s="1019">
        <v>210.4</v>
      </c>
      <c r="H31" s="1019">
        <v>6.3</v>
      </c>
      <c r="I31" s="1012"/>
      <c r="J31" s="1015"/>
      <c r="K31" s="1016"/>
      <c r="L31" s="1016"/>
      <c r="M31" s="1017"/>
      <c r="N31" s="1018"/>
    </row>
    <row r="32" spans="1:14" ht="26.25" thickBot="1">
      <c r="A32" s="1010" t="s">
        <v>366</v>
      </c>
      <c r="B32" s="1011" t="s">
        <v>367</v>
      </c>
      <c r="C32" s="1012"/>
      <c r="D32" s="1013" t="s">
        <v>20</v>
      </c>
      <c r="E32" s="1019">
        <v>143.1</v>
      </c>
      <c r="F32" s="1019">
        <v>165.6</v>
      </c>
      <c r="G32" s="1019">
        <v>160.4</v>
      </c>
      <c r="H32" s="1019">
        <v>5.2</v>
      </c>
      <c r="I32" s="1012"/>
      <c r="J32" s="1015"/>
      <c r="K32" s="1016"/>
      <c r="L32" s="1016"/>
      <c r="M32" s="1017"/>
      <c r="N32" s="1018"/>
    </row>
    <row r="33" spans="1:14" ht="26.25" thickBot="1">
      <c r="A33" s="1010" t="s">
        <v>368</v>
      </c>
      <c r="B33" s="1011" t="s">
        <v>369</v>
      </c>
      <c r="C33" s="1012"/>
      <c r="D33" s="1013" t="s">
        <v>20</v>
      </c>
      <c r="E33" s="1019">
        <v>13.5</v>
      </c>
      <c r="F33" s="1019">
        <v>28.3</v>
      </c>
      <c r="G33" s="1019">
        <v>28.1</v>
      </c>
      <c r="H33" s="1019">
        <v>0.2</v>
      </c>
      <c r="I33" s="1012"/>
      <c r="J33" s="1015"/>
      <c r="K33" s="1016"/>
      <c r="L33" s="1016"/>
      <c r="M33" s="1017"/>
      <c r="N33" s="1018"/>
    </row>
    <row r="34" spans="1:14" ht="26.25" thickBot="1">
      <c r="A34" s="1010" t="s">
        <v>370</v>
      </c>
      <c r="B34" s="1011" t="s">
        <v>371</v>
      </c>
      <c r="C34" s="1012"/>
      <c r="D34" s="1013" t="s">
        <v>20</v>
      </c>
      <c r="E34" s="1019">
        <v>403.8</v>
      </c>
      <c r="F34" s="1019">
        <v>335.9</v>
      </c>
      <c r="G34" s="1019">
        <v>333.8</v>
      </c>
      <c r="H34" s="1019">
        <v>2.1</v>
      </c>
      <c r="I34" s="1012"/>
      <c r="J34" s="1015"/>
      <c r="K34" s="1016"/>
      <c r="L34" s="1016"/>
      <c r="M34" s="1017"/>
      <c r="N34" s="1018"/>
    </row>
    <row r="35" spans="1:14" ht="26.25" thickBot="1">
      <c r="A35" s="1010" t="s">
        <v>372</v>
      </c>
      <c r="B35" s="1011" t="s">
        <v>373</v>
      </c>
      <c r="C35" s="1012"/>
      <c r="D35" s="1013" t="s">
        <v>20</v>
      </c>
      <c r="E35" s="1019">
        <v>720.8</v>
      </c>
      <c r="F35" s="1019">
        <v>754.3</v>
      </c>
      <c r="G35" s="1019">
        <v>752.1</v>
      </c>
      <c r="H35" s="1019">
        <v>2.2000000000000002</v>
      </c>
      <c r="I35" s="1012"/>
      <c r="J35" s="1015"/>
      <c r="K35" s="1016"/>
      <c r="L35" s="1016"/>
      <c r="M35" s="1017"/>
      <c r="N35" s="1018"/>
    </row>
    <row r="36" spans="1:14" ht="26.25" thickBot="1">
      <c r="A36" s="1010" t="s">
        <v>374</v>
      </c>
      <c r="B36" s="1011" t="s">
        <v>375</v>
      </c>
      <c r="C36" s="1012"/>
      <c r="D36" s="1013" t="s">
        <v>20</v>
      </c>
      <c r="E36" s="1019">
        <v>86.5</v>
      </c>
      <c r="F36" s="1019">
        <v>89.4</v>
      </c>
      <c r="G36" s="1019">
        <v>86.9</v>
      </c>
      <c r="H36" s="1019">
        <v>2.5</v>
      </c>
      <c r="I36" s="1012"/>
      <c r="J36" s="1015"/>
      <c r="K36" s="1016"/>
      <c r="L36" s="1016"/>
      <c r="M36" s="1017"/>
      <c r="N36" s="1018"/>
    </row>
    <row r="37" spans="1:14" ht="26.25" thickBot="1">
      <c r="A37" s="1010" t="s">
        <v>376</v>
      </c>
      <c r="B37" s="1011" t="s">
        <v>377</v>
      </c>
      <c r="C37" s="1012"/>
      <c r="D37" s="1013" t="s">
        <v>21</v>
      </c>
      <c r="E37" s="1019">
        <v>2.6</v>
      </c>
      <c r="F37" s="1019">
        <v>2.6</v>
      </c>
      <c r="G37" s="1019">
        <v>2</v>
      </c>
      <c r="H37" s="1019">
        <v>0.6</v>
      </c>
      <c r="I37" s="1012"/>
      <c r="J37" s="1015"/>
      <c r="K37" s="1016"/>
      <c r="L37" s="1016"/>
      <c r="M37" s="1017"/>
      <c r="N37" s="1018"/>
    </row>
    <row r="38" spans="1:14" ht="26.25" thickBot="1">
      <c r="A38" s="1010" t="s">
        <v>378</v>
      </c>
      <c r="B38" s="1011" t="s">
        <v>379</v>
      </c>
      <c r="C38" s="1012"/>
      <c r="D38" s="1013" t="s">
        <v>21</v>
      </c>
      <c r="E38" s="1019">
        <v>15</v>
      </c>
      <c r="F38" s="1019">
        <v>15</v>
      </c>
      <c r="G38" s="1019">
        <v>14.7</v>
      </c>
      <c r="H38" s="1019">
        <v>0.3</v>
      </c>
      <c r="I38" s="1012"/>
      <c r="J38" s="1015"/>
      <c r="K38" s="1016"/>
      <c r="L38" s="1016"/>
      <c r="M38" s="1017"/>
      <c r="N38" s="1018"/>
    </row>
    <row r="39" spans="1:14" ht="26.25" thickBot="1">
      <c r="A39" s="1010" t="s">
        <v>380</v>
      </c>
      <c r="B39" s="1011" t="s">
        <v>381</v>
      </c>
      <c r="C39" s="1012"/>
      <c r="D39" s="1013" t="s">
        <v>21</v>
      </c>
      <c r="E39" s="1019">
        <v>73.3</v>
      </c>
      <c r="F39" s="1019">
        <v>73.3</v>
      </c>
      <c r="G39" s="1019">
        <v>73.2</v>
      </c>
      <c r="H39" s="1019">
        <v>0.1</v>
      </c>
      <c r="I39" s="1012"/>
      <c r="J39" s="1015"/>
      <c r="K39" s="1016"/>
      <c r="L39" s="1016"/>
      <c r="M39" s="1017"/>
      <c r="N39" s="1018"/>
    </row>
    <row r="40" spans="1:14" ht="26.25" thickBot="1">
      <c r="A40" s="1010" t="s">
        <v>382</v>
      </c>
      <c r="B40" s="1011" t="s">
        <v>383</v>
      </c>
      <c r="C40" s="1012"/>
      <c r="D40" s="1013" t="s">
        <v>21</v>
      </c>
      <c r="E40" s="1019">
        <v>19</v>
      </c>
      <c r="F40" s="1019">
        <v>20.100000000000001</v>
      </c>
      <c r="G40" s="1019">
        <v>19.8</v>
      </c>
      <c r="H40" s="1019">
        <v>0.3</v>
      </c>
      <c r="I40" s="1012"/>
      <c r="J40" s="1015"/>
      <c r="K40" s="1016"/>
      <c r="L40" s="1016"/>
      <c r="M40" s="1017"/>
      <c r="N40" s="1018"/>
    </row>
    <row r="41" spans="1:14" ht="39" thickBot="1">
      <c r="A41" s="1010" t="s">
        <v>384</v>
      </c>
      <c r="B41" s="1011" t="s">
        <v>385</v>
      </c>
      <c r="C41" s="1012"/>
      <c r="D41" s="1013" t="s">
        <v>21</v>
      </c>
      <c r="E41" s="1019">
        <v>0.6</v>
      </c>
      <c r="F41" s="1019">
        <v>0.6</v>
      </c>
      <c r="G41" s="1019">
        <v>0.6</v>
      </c>
      <c r="H41" s="1019">
        <v>0</v>
      </c>
      <c r="I41" s="1012"/>
      <c r="J41" s="1015"/>
      <c r="K41" s="1016"/>
      <c r="L41" s="1016"/>
      <c r="M41" s="1017"/>
      <c r="N41" s="1018"/>
    </row>
    <row r="42" spans="1:14" ht="26.25" thickBot="1">
      <c r="A42" s="1010" t="s">
        <v>386</v>
      </c>
      <c r="B42" s="1011" t="s">
        <v>387</v>
      </c>
      <c r="C42" s="1012"/>
      <c r="D42" s="1013" t="s">
        <v>21</v>
      </c>
      <c r="E42" s="1019">
        <v>36.4</v>
      </c>
      <c r="F42" s="1019">
        <v>36.4</v>
      </c>
      <c r="G42" s="1019">
        <v>32.1</v>
      </c>
      <c r="H42" s="1019">
        <v>4.2</v>
      </c>
      <c r="I42" s="1012"/>
      <c r="J42" s="1015"/>
      <c r="K42" s="1016"/>
      <c r="L42" s="1016"/>
      <c r="M42" s="1017"/>
      <c r="N42" s="1018"/>
    </row>
    <row r="43" spans="1:14" ht="39" thickBot="1">
      <c r="A43" s="1010" t="s">
        <v>388</v>
      </c>
      <c r="B43" s="1011" t="s">
        <v>389</v>
      </c>
      <c r="C43" s="1012"/>
      <c r="D43" s="1013" t="s">
        <v>21</v>
      </c>
      <c r="E43" s="1019">
        <v>21.5</v>
      </c>
      <c r="F43" s="1019">
        <v>21.5</v>
      </c>
      <c r="G43" s="1019">
        <v>21.4</v>
      </c>
      <c r="H43" s="1019">
        <v>0.1</v>
      </c>
      <c r="I43" s="1012"/>
      <c r="J43" s="1015"/>
      <c r="K43" s="1016"/>
      <c r="L43" s="1016"/>
      <c r="M43" s="1017"/>
      <c r="N43" s="1018"/>
    </row>
    <row r="44" spans="1:14" ht="39" thickBot="1">
      <c r="A44" s="1010" t="s">
        <v>390</v>
      </c>
      <c r="B44" s="1011" t="s">
        <v>391</v>
      </c>
      <c r="C44" s="1012"/>
      <c r="D44" s="1013" t="s">
        <v>21</v>
      </c>
      <c r="E44" s="1019">
        <v>70.7</v>
      </c>
      <c r="F44" s="1019">
        <v>120.2</v>
      </c>
      <c r="G44" s="1019">
        <v>89.6</v>
      </c>
      <c r="H44" s="1019">
        <v>30.6</v>
      </c>
      <c r="I44" s="1012"/>
      <c r="J44" s="1015"/>
      <c r="K44" s="1016"/>
      <c r="L44" s="1016"/>
      <c r="M44" s="1017"/>
      <c r="N44" s="1018"/>
    </row>
    <row r="45" spans="1:14" ht="26.25" thickBot="1">
      <c r="A45" s="1010" t="s">
        <v>392</v>
      </c>
      <c r="B45" s="1011" t="s">
        <v>393</v>
      </c>
      <c r="C45" s="1012"/>
      <c r="D45" s="1013" t="s">
        <v>21</v>
      </c>
      <c r="E45" s="1019">
        <v>15.2</v>
      </c>
      <c r="F45" s="1019">
        <v>15.1</v>
      </c>
      <c r="G45" s="1019">
        <v>13.9</v>
      </c>
      <c r="H45" s="1019">
        <v>1.2</v>
      </c>
      <c r="I45" s="1012"/>
      <c r="J45" s="1015"/>
      <c r="K45" s="1016"/>
      <c r="L45" s="1016"/>
      <c r="M45" s="1017"/>
      <c r="N45" s="1018"/>
    </row>
    <row r="46" spans="1:14" ht="26.25" thickBot="1">
      <c r="A46" s="1010" t="s">
        <v>394</v>
      </c>
      <c r="B46" s="1011" t="s">
        <v>395</v>
      </c>
      <c r="C46" s="1012"/>
      <c r="D46" s="1013" t="s">
        <v>21</v>
      </c>
      <c r="E46" s="1019">
        <v>8.4</v>
      </c>
      <c r="F46" s="1019">
        <v>8.4</v>
      </c>
      <c r="G46" s="1019">
        <v>6.5</v>
      </c>
      <c r="H46" s="1019">
        <v>1.9</v>
      </c>
      <c r="I46" s="1012"/>
      <c r="J46" s="1015"/>
      <c r="K46" s="1016"/>
      <c r="L46" s="1016"/>
      <c r="M46" s="1017"/>
      <c r="N46" s="1018"/>
    </row>
    <row r="47" spans="1:14" ht="26.25" thickBot="1">
      <c r="A47" s="1010" t="s">
        <v>396</v>
      </c>
      <c r="B47" s="1011" t="s">
        <v>397</v>
      </c>
      <c r="C47" s="1012"/>
      <c r="D47" s="1013" t="s">
        <v>21</v>
      </c>
      <c r="E47" s="1019">
        <v>2.1</v>
      </c>
      <c r="F47" s="1019">
        <v>2</v>
      </c>
      <c r="G47" s="1019">
        <v>1.6</v>
      </c>
      <c r="H47" s="1019">
        <v>0.4</v>
      </c>
      <c r="I47" s="1012"/>
      <c r="J47" s="1015"/>
      <c r="K47" s="1016"/>
      <c r="L47" s="1016"/>
      <c r="M47" s="1017"/>
      <c r="N47" s="1018"/>
    </row>
    <row r="48" spans="1:14" ht="26.25" thickBot="1">
      <c r="A48" s="1010" t="s">
        <v>398</v>
      </c>
      <c r="B48" s="1011" t="s">
        <v>399</v>
      </c>
      <c r="C48" s="1012"/>
      <c r="D48" s="1013" t="s">
        <v>21</v>
      </c>
      <c r="E48" s="1019">
        <v>24.3</v>
      </c>
      <c r="F48" s="1019">
        <v>19.7</v>
      </c>
      <c r="G48" s="1019">
        <v>18.899999999999999</v>
      </c>
      <c r="H48" s="1019">
        <v>0.8</v>
      </c>
      <c r="I48" s="1012"/>
      <c r="J48" s="1015"/>
      <c r="K48" s="1016"/>
      <c r="L48" s="1016"/>
      <c r="M48" s="1017"/>
      <c r="N48" s="1018"/>
    </row>
    <row r="49" spans="1:14" ht="26.25" thickBot="1">
      <c r="A49" s="1010" t="s">
        <v>400</v>
      </c>
      <c r="B49" s="1011" t="s">
        <v>401</v>
      </c>
      <c r="C49" s="1012"/>
      <c r="D49" s="1013" t="s">
        <v>21</v>
      </c>
      <c r="E49" s="1019">
        <v>16</v>
      </c>
      <c r="F49" s="1019">
        <v>22.5</v>
      </c>
      <c r="G49" s="1019">
        <v>17.899999999999999</v>
      </c>
      <c r="H49" s="1019">
        <v>4.5999999999999996</v>
      </c>
      <c r="I49" s="1012"/>
      <c r="J49" s="1015"/>
      <c r="K49" s="1016"/>
      <c r="L49" s="1016"/>
      <c r="M49" s="1017"/>
      <c r="N49" s="1018"/>
    </row>
    <row r="50" spans="1:14" ht="26.25" thickBot="1">
      <c r="A50" s="1010" t="s">
        <v>402</v>
      </c>
      <c r="B50" s="1011" t="s">
        <v>403</v>
      </c>
      <c r="C50" s="1012"/>
      <c r="D50" s="1013" t="s">
        <v>21</v>
      </c>
      <c r="E50" s="1019">
        <v>4.5</v>
      </c>
      <c r="F50" s="1019">
        <v>4.5</v>
      </c>
      <c r="G50" s="1019">
        <v>4.4000000000000004</v>
      </c>
      <c r="H50" s="1019">
        <v>0.1</v>
      </c>
      <c r="I50" s="1012"/>
      <c r="J50" s="1015"/>
      <c r="K50" s="1016"/>
      <c r="L50" s="1016"/>
      <c r="M50" s="1017"/>
      <c r="N50" s="1018"/>
    </row>
    <row r="51" spans="1:14" ht="39" thickBot="1">
      <c r="A51" s="1010" t="s">
        <v>404</v>
      </c>
      <c r="B51" s="1011" t="s">
        <v>405</v>
      </c>
      <c r="C51" s="1012"/>
      <c r="D51" s="1013" t="s">
        <v>21</v>
      </c>
      <c r="E51" s="1019">
        <v>1.4</v>
      </c>
      <c r="F51" s="1019">
        <v>1.4</v>
      </c>
      <c r="G51" s="1019">
        <v>1.4</v>
      </c>
      <c r="H51" s="1019">
        <v>0</v>
      </c>
      <c r="I51" s="1012"/>
      <c r="J51" s="1015"/>
      <c r="K51" s="1016"/>
      <c r="L51" s="1016"/>
      <c r="M51" s="1017"/>
      <c r="N51" s="1018"/>
    </row>
    <row r="52" spans="1:14" ht="26.25" thickBot="1">
      <c r="A52" s="1010" t="s">
        <v>406</v>
      </c>
      <c r="B52" s="1011" t="s">
        <v>407</v>
      </c>
      <c r="C52" s="1012"/>
      <c r="D52" s="1013" t="s">
        <v>21</v>
      </c>
      <c r="E52" s="1019">
        <v>90.5</v>
      </c>
      <c r="F52" s="1019">
        <v>90.5</v>
      </c>
      <c r="G52" s="1019">
        <v>90.1</v>
      </c>
      <c r="H52" s="1019">
        <v>0.4</v>
      </c>
      <c r="I52" s="1012"/>
      <c r="J52" s="1015"/>
      <c r="K52" s="1016"/>
      <c r="L52" s="1016"/>
      <c r="M52" s="1017"/>
      <c r="N52" s="1018"/>
    </row>
    <row r="53" spans="1:14" ht="26.25" thickBot="1">
      <c r="A53" s="1010" t="s">
        <v>408</v>
      </c>
      <c r="B53" s="1011" t="s">
        <v>409</v>
      </c>
      <c r="C53" s="1012"/>
      <c r="D53" s="1013" t="s">
        <v>21</v>
      </c>
      <c r="E53" s="1019">
        <v>62</v>
      </c>
      <c r="F53" s="1019">
        <v>62</v>
      </c>
      <c r="G53" s="1019">
        <v>61.9</v>
      </c>
      <c r="H53" s="1019">
        <v>0.1</v>
      </c>
      <c r="I53" s="1012"/>
      <c r="J53" s="1015"/>
      <c r="K53" s="1016"/>
      <c r="L53" s="1016"/>
      <c r="M53" s="1017"/>
      <c r="N53" s="1018"/>
    </row>
    <row r="54" spans="1:14" ht="25.5">
      <c r="A54" s="1010" t="s">
        <v>410</v>
      </c>
      <c r="B54" s="1011" t="s">
        <v>411</v>
      </c>
      <c r="C54" s="1012"/>
      <c r="D54" s="1013"/>
      <c r="E54" s="1014">
        <f>SUM(E55:E55)</f>
        <v>0</v>
      </c>
      <c r="F54" s="1014">
        <f>SUM(F55:F55)</f>
        <v>28.1</v>
      </c>
      <c r="G54" s="1014">
        <f>SUM(G55:G55)</f>
        <v>28</v>
      </c>
      <c r="H54" s="1014">
        <f>SUM(H55:H55)</f>
        <v>0.1</v>
      </c>
      <c r="I54" s="1012"/>
      <c r="J54" s="1015"/>
      <c r="K54" s="1016"/>
      <c r="L54" s="1016"/>
      <c r="M54" s="1017"/>
      <c r="N54" s="1018"/>
    </row>
    <row r="55" spans="1:14" ht="13.5" thickBot="1">
      <c r="A55" s="1020"/>
      <c r="B55" s="1021"/>
      <c r="C55" s="1022"/>
      <c r="D55" s="1023" t="s">
        <v>21</v>
      </c>
      <c r="E55" s="1024">
        <v>0</v>
      </c>
      <c r="F55" s="1024">
        <v>28.1</v>
      </c>
      <c r="G55" s="1024">
        <v>28</v>
      </c>
      <c r="H55" s="1024">
        <v>0.1</v>
      </c>
      <c r="I55" s="1022"/>
      <c r="J55" s="1025"/>
      <c r="K55" s="1026"/>
      <c r="L55" s="1026"/>
      <c r="M55" s="1027"/>
      <c r="N55" s="1028"/>
    </row>
    <row r="56" spans="1:14" ht="26.25" thickBot="1">
      <c r="A56" s="1010" t="s">
        <v>412</v>
      </c>
      <c r="B56" s="1011" t="s">
        <v>413</v>
      </c>
      <c r="C56" s="1012"/>
      <c r="D56" s="1013" t="s">
        <v>21</v>
      </c>
      <c r="E56" s="1019">
        <v>49.3</v>
      </c>
      <c r="F56" s="1019">
        <v>49.3</v>
      </c>
      <c r="G56" s="1019">
        <v>48.6</v>
      </c>
      <c r="H56" s="1019">
        <v>0.7</v>
      </c>
      <c r="I56" s="1012"/>
      <c r="J56" s="1015"/>
      <c r="K56" s="1016"/>
      <c r="L56" s="1016"/>
      <c r="M56" s="1017"/>
      <c r="N56" s="1018"/>
    </row>
    <row r="57" spans="1:14" ht="36" customHeight="1" thickBot="1">
      <c r="A57" s="1010"/>
      <c r="B57" s="1011"/>
      <c r="C57" s="1012"/>
      <c r="D57" s="1013"/>
      <c r="E57" s="1019"/>
      <c r="F57" s="1019"/>
      <c r="G57" s="1019"/>
      <c r="H57" s="1019"/>
      <c r="I57" s="1012"/>
      <c r="J57" s="1015"/>
      <c r="K57" s="1016"/>
      <c r="L57" s="1016"/>
      <c r="M57" s="1017"/>
      <c r="N57" s="1018"/>
    </row>
    <row r="58" spans="1:14" ht="36" customHeight="1">
      <c r="A58" s="1010" t="s">
        <v>414</v>
      </c>
      <c r="B58" s="1011" t="s">
        <v>415</v>
      </c>
      <c r="C58" s="1012" t="s">
        <v>730</v>
      </c>
      <c r="D58" s="1013"/>
      <c r="E58" s="1014">
        <f>SUM(E59:E62)</f>
        <v>3.3</v>
      </c>
      <c r="F58" s="1014">
        <f>SUM(F59:F62)</f>
        <v>3.3</v>
      </c>
      <c r="G58" s="1014">
        <f>SUM(G59:G62)</f>
        <v>3.3</v>
      </c>
      <c r="H58" s="1014">
        <f>SUM(H59:H62)</f>
        <v>0</v>
      </c>
      <c r="I58" s="1012" t="s">
        <v>416</v>
      </c>
      <c r="J58" s="1015" t="s">
        <v>417</v>
      </c>
      <c r="K58" s="1016" t="s">
        <v>418</v>
      </c>
      <c r="L58" s="1016" t="s">
        <v>419</v>
      </c>
      <c r="M58" s="1017"/>
      <c r="N58" s="1018" t="s">
        <v>420</v>
      </c>
    </row>
    <row r="59" spans="1:14">
      <c r="A59" s="1020"/>
      <c r="B59" s="1021"/>
      <c r="C59" s="1022"/>
      <c r="D59" s="1023"/>
      <c r="E59" s="1024">
        <v>0</v>
      </c>
      <c r="F59" s="1024">
        <v>0</v>
      </c>
      <c r="G59" s="1024">
        <v>0</v>
      </c>
      <c r="H59" s="1024">
        <v>0</v>
      </c>
      <c r="I59" s="1022" t="s">
        <v>421</v>
      </c>
      <c r="J59" s="1025" t="s">
        <v>417</v>
      </c>
      <c r="K59" s="1026" t="s">
        <v>422</v>
      </c>
      <c r="L59" s="1025">
        <v>17</v>
      </c>
      <c r="M59" s="1027"/>
      <c r="N59" s="1028"/>
    </row>
    <row r="60" spans="1:14" ht="51">
      <c r="A60" s="1020"/>
      <c r="B60" s="1021"/>
      <c r="C60" s="1022"/>
      <c r="D60" s="1023"/>
      <c r="E60" s="1024">
        <v>0</v>
      </c>
      <c r="F60" s="1024">
        <v>0</v>
      </c>
      <c r="G60" s="1024">
        <v>0</v>
      </c>
      <c r="H60" s="1024">
        <v>0</v>
      </c>
      <c r="I60" s="1022" t="s">
        <v>423</v>
      </c>
      <c r="J60" s="1025" t="s">
        <v>424</v>
      </c>
      <c r="K60" s="1026" t="s">
        <v>418</v>
      </c>
      <c r="L60" s="1026" t="s">
        <v>419</v>
      </c>
      <c r="M60" s="1027"/>
      <c r="N60" s="1028" t="s">
        <v>425</v>
      </c>
    </row>
    <row r="61" spans="1:14" ht="38.25">
      <c r="A61" s="1020"/>
      <c r="B61" s="1021"/>
      <c r="C61" s="1022"/>
      <c r="D61" s="1023"/>
      <c r="E61" s="1024">
        <v>0</v>
      </c>
      <c r="F61" s="1024">
        <v>0</v>
      </c>
      <c r="G61" s="1024">
        <v>0</v>
      </c>
      <c r="H61" s="1024">
        <v>0</v>
      </c>
      <c r="I61" s="1022" t="s">
        <v>338</v>
      </c>
      <c r="J61" s="1025" t="s">
        <v>339</v>
      </c>
      <c r="K61" s="1026" t="s">
        <v>340</v>
      </c>
      <c r="L61" s="1026" t="s">
        <v>341</v>
      </c>
      <c r="M61" s="1027"/>
      <c r="N61" s="1028"/>
    </row>
    <row r="62" spans="1:14" ht="13.5" thickBot="1">
      <c r="A62" s="1020"/>
      <c r="B62" s="1021"/>
      <c r="C62" s="1022"/>
      <c r="D62" s="1023" t="s">
        <v>24</v>
      </c>
      <c r="E62" s="1024">
        <v>3.3</v>
      </c>
      <c r="F62" s="1024">
        <v>3.3</v>
      </c>
      <c r="G62" s="1024">
        <v>3.3</v>
      </c>
      <c r="H62" s="1024">
        <v>0</v>
      </c>
      <c r="I62" s="1022"/>
      <c r="J62" s="1025"/>
      <c r="K62" s="1026"/>
      <c r="L62" s="1026"/>
      <c r="M62" s="1027"/>
      <c r="N62" s="1028"/>
    </row>
    <row r="63" spans="1:14" ht="63.75">
      <c r="A63" s="1010" t="s">
        <v>426</v>
      </c>
      <c r="B63" s="1011" t="s">
        <v>427</v>
      </c>
      <c r="C63" s="1012" t="s">
        <v>428</v>
      </c>
      <c r="D63" s="1013"/>
      <c r="E63" s="1014">
        <f>SUM(E64:E66)</f>
        <v>743.7</v>
      </c>
      <c r="F63" s="1014">
        <f>SUM(F64:F66)</f>
        <v>727.2</v>
      </c>
      <c r="G63" s="1014">
        <f>SUM(G64:G66)-0.1</f>
        <v>718.5</v>
      </c>
      <c r="H63" s="1014">
        <f>SUM(H64:H66)+0.1</f>
        <v>8.6999999999999993</v>
      </c>
      <c r="I63" s="1012" t="s">
        <v>429</v>
      </c>
      <c r="J63" s="1015" t="s">
        <v>417</v>
      </c>
      <c r="K63" s="1016" t="s">
        <v>430</v>
      </c>
      <c r="L63" s="1016" t="s">
        <v>431</v>
      </c>
      <c r="M63" s="1017"/>
      <c r="N63" s="1018" t="s">
        <v>432</v>
      </c>
    </row>
    <row r="64" spans="1:14" ht="56.25">
      <c r="A64" s="1020"/>
      <c r="B64" s="1021"/>
      <c r="C64" s="1022"/>
      <c r="D64" s="1023"/>
      <c r="E64" s="1024">
        <v>0</v>
      </c>
      <c r="F64" s="1024">
        <v>0</v>
      </c>
      <c r="G64" s="1024">
        <v>0</v>
      </c>
      <c r="H64" s="1024">
        <v>0</v>
      </c>
      <c r="I64" s="1022" t="s">
        <v>433</v>
      </c>
      <c r="J64" s="1025" t="s">
        <v>321</v>
      </c>
      <c r="K64" s="1026" t="s">
        <v>434</v>
      </c>
      <c r="L64" s="1025" t="s">
        <v>434</v>
      </c>
      <c r="M64" s="1027" t="s">
        <v>435</v>
      </c>
      <c r="N64" s="1028"/>
    </row>
    <row r="65" spans="1:14">
      <c r="A65" s="1020"/>
      <c r="B65" s="1021"/>
      <c r="C65" s="1022"/>
      <c r="D65" s="1023" t="s">
        <v>127</v>
      </c>
      <c r="E65" s="1024">
        <v>6</v>
      </c>
      <c r="F65" s="1024">
        <v>6</v>
      </c>
      <c r="G65" s="1024">
        <v>6</v>
      </c>
      <c r="H65" s="1024">
        <v>0</v>
      </c>
      <c r="I65" s="1022"/>
      <c r="J65" s="1025"/>
      <c r="K65" s="1026"/>
      <c r="L65" s="1026"/>
      <c r="M65" s="1027"/>
      <c r="N65" s="1028"/>
    </row>
    <row r="66" spans="1:14" ht="13.5" thickBot="1">
      <c r="A66" s="1020"/>
      <c r="B66" s="1021"/>
      <c r="C66" s="1022"/>
      <c r="D66" s="1023" t="s">
        <v>20</v>
      </c>
      <c r="E66" s="1024">
        <v>737.7</v>
      </c>
      <c r="F66" s="1024">
        <v>721.2</v>
      </c>
      <c r="G66" s="1024">
        <v>712.6</v>
      </c>
      <c r="H66" s="1024">
        <v>8.6</v>
      </c>
      <c r="I66" s="1022"/>
      <c r="J66" s="1025"/>
      <c r="K66" s="1026"/>
      <c r="L66" s="1026"/>
      <c r="M66" s="1027"/>
      <c r="N66" s="1028"/>
    </row>
    <row r="67" spans="1:14" ht="157.5">
      <c r="A67" s="1010" t="s">
        <v>436</v>
      </c>
      <c r="B67" s="1011" t="s">
        <v>27</v>
      </c>
      <c r="C67" s="1012" t="s">
        <v>437</v>
      </c>
      <c r="D67" s="1013"/>
      <c r="E67" s="1014">
        <f>SUM(E68:E69)</f>
        <v>152</v>
      </c>
      <c r="F67" s="1014">
        <f>SUM(F68:F69)</f>
        <v>150.80000000000001</v>
      </c>
      <c r="G67" s="1014">
        <f>SUM(G68:G69)</f>
        <v>122.7</v>
      </c>
      <c r="H67" s="1014">
        <f>SUM(H68:H69)</f>
        <v>28.099999999999998</v>
      </c>
      <c r="I67" s="1012" t="s">
        <v>438</v>
      </c>
      <c r="J67" s="1015" t="s">
        <v>417</v>
      </c>
      <c r="K67" s="1016" t="s">
        <v>439</v>
      </c>
      <c r="L67" s="1016" t="s">
        <v>440</v>
      </c>
      <c r="M67" s="1017" t="s">
        <v>731</v>
      </c>
      <c r="N67" s="1018" t="s">
        <v>441</v>
      </c>
    </row>
    <row r="68" spans="1:14">
      <c r="A68" s="1020"/>
      <c r="B68" s="1021"/>
      <c r="C68" s="1022"/>
      <c r="D68" s="1023" t="s">
        <v>20</v>
      </c>
      <c r="E68" s="1024">
        <v>108</v>
      </c>
      <c r="F68" s="1024">
        <v>124.8</v>
      </c>
      <c r="G68" s="1024">
        <v>98.9</v>
      </c>
      <c r="H68" s="1024">
        <v>25.9</v>
      </c>
      <c r="I68" s="1022"/>
      <c r="J68" s="1025"/>
      <c r="K68" s="1026"/>
      <c r="L68" s="1026"/>
      <c r="M68" s="1027"/>
      <c r="N68" s="1028"/>
    </row>
    <row r="69" spans="1:14" ht="13.5" thickBot="1">
      <c r="A69" s="1020"/>
      <c r="B69" s="1021"/>
      <c r="C69" s="1022"/>
      <c r="D69" s="1023" t="s">
        <v>127</v>
      </c>
      <c r="E69" s="1024">
        <v>44</v>
      </c>
      <c r="F69" s="1024">
        <v>26</v>
      </c>
      <c r="G69" s="1024">
        <v>23.8</v>
      </c>
      <c r="H69" s="1024">
        <v>2.2000000000000002</v>
      </c>
      <c r="I69" s="1022"/>
      <c r="J69" s="1025"/>
      <c r="K69" s="1026"/>
      <c r="L69" s="1026"/>
      <c r="M69" s="1027"/>
      <c r="N69" s="1028"/>
    </row>
    <row r="70" spans="1:14" ht="63.75">
      <c r="A70" s="1010" t="s">
        <v>442</v>
      </c>
      <c r="B70" s="1011" t="s">
        <v>174</v>
      </c>
      <c r="C70" s="1012" t="s">
        <v>443</v>
      </c>
      <c r="D70" s="1013" t="s">
        <v>20</v>
      </c>
      <c r="E70" s="1014">
        <f>SUM(E71:E71)+36</f>
        <v>36</v>
      </c>
      <c r="F70" s="1014">
        <f>SUM(F71:F71)+36</f>
        <v>36</v>
      </c>
      <c r="G70" s="1014">
        <f>SUM(G71:G71)+23.3</f>
        <v>23.3</v>
      </c>
      <c r="H70" s="1014">
        <f>SUM(H71:H71)+12.7</f>
        <v>12.7</v>
      </c>
      <c r="I70" s="1012" t="s">
        <v>444</v>
      </c>
      <c r="J70" s="1015" t="s">
        <v>417</v>
      </c>
      <c r="K70" s="1016" t="s">
        <v>445</v>
      </c>
      <c r="L70" s="1016" t="s">
        <v>446</v>
      </c>
      <c r="M70" s="1017"/>
      <c r="N70" s="1018"/>
    </row>
    <row r="71" spans="1:14" ht="26.25" thickBot="1">
      <c r="A71" s="1020"/>
      <c r="B71" s="1021"/>
      <c r="C71" s="1022"/>
      <c r="D71" s="1023"/>
      <c r="E71" s="1024">
        <v>0</v>
      </c>
      <c r="F71" s="1024">
        <v>0</v>
      </c>
      <c r="G71" s="1024">
        <v>0</v>
      </c>
      <c r="H71" s="1024">
        <v>0</v>
      </c>
      <c r="I71" s="1022" t="s">
        <v>447</v>
      </c>
      <c r="J71" s="1025" t="s">
        <v>321</v>
      </c>
      <c r="K71" s="1026" t="s">
        <v>448</v>
      </c>
      <c r="L71" s="1026" t="s">
        <v>449</v>
      </c>
      <c r="M71" s="1027"/>
      <c r="N71" s="1028"/>
    </row>
    <row r="72" spans="1:14" ht="114.75">
      <c r="A72" s="1010" t="s">
        <v>450</v>
      </c>
      <c r="B72" s="1011" t="s">
        <v>150</v>
      </c>
      <c r="C72" s="1012" t="s">
        <v>451</v>
      </c>
      <c r="D72" s="1013"/>
      <c r="E72" s="1014">
        <f>SUM(E73:E76)</f>
        <v>156.6</v>
      </c>
      <c r="F72" s="1014">
        <f>SUM(F73:F76)</f>
        <v>156.6</v>
      </c>
      <c r="G72" s="1014">
        <f>SUM(G73:G76)</f>
        <v>128.6</v>
      </c>
      <c r="H72" s="1014">
        <f>SUM(H73:H76)</f>
        <v>28</v>
      </c>
      <c r="I72" s="1012" t="s">
        <v>452</v>
      </c>
      <c r="J72" s="1015" t="s">
        <v>417</v>
      </c>
      <c r="K72" s="1016" t="s">
        <v>453</v>
      </c>
      <c r="L72" s="1016" t="s">
        <v>454</v>
      </c>
      <c r="M72" s="1017"/>
      <c r="N72" s="1018" t="s">
        <v>455</v>
      </c>
    </row>
    <row r="73" spans="1:14" ht="102">
      <c r="A73" s="1020"/>
      <c r="B73" s="1021"/>
      <c r="C73" s="1022"/>
      <c r="D73" s="1023"/>
      <c r="E73" s="1024">
        <v>0</v>
      </c>
      <c r="F73" s="1024">
        <v>0</v>
      </c>
      <c r="G73" s="1024">
        <v>0</v>
      </c>
      <c r="H73" s="1024">
        <v>0</v>
      </c>
      <c r="I73" s="1022" t="s">
        <v>456</v>
      </c>
      <c r="J73" s="1025" t="s">
        <v>457</v>
      </c>
      <c r="K73" s="1026" t="s">
        <v>458</v>
      </c>
      <c r="L73" s="1026" t="s">
        <v>459</v>
      </c>
      <c r="M73" s="1027"/>
      <c r="N73" s="1028" t="s">
        <v>460</v>
      </c>
    </row>
    <row r="74" spans="1:14" ht="76.5">
      <c r="A74" s="1020"/>
      <c r="B74" s="1021"/>
      <c r="C74" s="1022"/>
      <c r="D74" s="1023"/>
      <c r="E74" s="1024">
        <v>0</v>
      </c>
      <c r="F74" s="1024">
        <v>0</v>
      </c>
      <c r="G74" s="1024">
        <v>0</v>
      </c>
      <c r="H74" s="1024">
        <v>0</v>
      </c>
      <c r="I74" s="1022" t="s">
        <v>461</v>
      </c>
      <c r="J74" s="1025" t="s">
        <v>417</v>
      </c>
      <c r="K74" s="1026" t="s">
        <v>462</v>
      </c>
      <c r="L74" s="1026" t="s">
        <v>462</v>
      </c>
      <c r="M74" s="1027"/>
      <c r="N74" s="1028" t="s">
        <v>463</v>
      </c>
    </row>
    <row r="75" spans="1:14" ht="51">
      <c r="A75" s="1020"/>
      <c r="B75" s="1021"/>
      <c r="C75" s="1022"/>
      <c r="D75" s="1023"/>
      <c r="E75" s="1024">
        <v>0</v>
      </c>
      <c r="F75" s="1024">
        <v>0</v>
      </c>
      <c r="G75" s="1024">
        <v>0</v>
      </c>
      <c r="H75" s="1024">
        <v>0</v>
      </c>
      <c r="I75" s="1022" t="s">
        <v>464</v>
      </c>
      <c r="J75" s="1025" t="s">
        <v>417</v>
      </c>
      <c r="K75" s="1026" t="s">
        <v>465</v>
      </c>
      <c r="L75" s="1026" t="s">
        <v>466</v>
      </c>
      <c r="M75" s="1027"/>
      <c r="N75" s="1028" t="s">
        <v>467</v>
      </c>
    </row>
    <row r="76" spans="1:14" ht="13.5" thickBot="1">
      <c r="A76" s="1020"/>
      <c r="B76" s="1021"/>
      <c r="C76" s="1022"/>
      <c r="D76" s="1023" t="s">
        <v>20</v>
      </c>
      <c r="E76" s="1024">
        <v>156.6</v>
      </c>
      <c r="F76" s="1024">
        <v>156.6</v>
      </c>
      <c r="G76" s="1024">
        <v>128.6</v>
      </c>
      <c r="H76" s="1024">
        <v>28</v>
      </c>
      <c r="I76" s="1022"/>
      <c r="J76" s="1025"/>
      <c r="K76" s="1026"/>
      <c r="L76" s="1026"/>
      <c r="M76" s="1027"/>
      <c r="N76" s="1028"/>
    </row>
    <row r="77" spans="1:14" ht="26.25" thickBot="1">
      <c r="A77" s="1010" t="s">
        <v>468</v>
      </c>
      <c r="B77" s="1011" t="s">
        <v>194</v>
      </c>
      <c r="C77" s="1012" t="s">
        <v>469</v>
      </c>
      <c r="D77" s="1013" t="s">
        <v>20</v>
      </c>
      <c r="E77" s="1019">
        <v>61</v>
      </c>
      <c r="F77" s="1019">
        <v>61</v>
      </c>
      <c r="G77" s="1019">
        <v>46.9</v>
      </c>
      <c r="H77" s="1019">
        <v>14.1</v>
      </c>
      <c r="I77" s="1012" t="s">
        <v>470</v>
      </c>
      <c r="J77" s="1015" t="s">
        <v>321</v>
      </c>
      <c r="K77" s="1016" t="s">
        <v>471</v>
      </c>
      <c r="L77" s="1016" t="s">
        <v>472</v>
      </c>
      <c r="M77" s="1017"/>
      <c r="N77" s="1018"/>
    </row>
    <row r="78" spans="1:14" ht="38.25">
      <c r="A78" s="1010" t="s">
        <v>473</v>
      </c>
      <c r="B78" s="1011" t="s">
        <v>38</v>
      </c>
      <c r="C78" s="1012" t="s">
        <v>474</v>
      </c>
      <c r="D78" s="1013" t="s">
        <v>20</v>
      </c>
      <c r="E78" s="1014">
        <f>SUM(E79:E79)+22</f>
        <v>22</v>
      </c>
      <c r="F78" s="1014">
        <f>SUM(F79:F79)+22</f>
        <v>22</v>
      </c>
      <c r="G78" s="1014">
        <f>SUM(G79:G79)+21.5</f>
        <v>21.5</v>
      </c>
      <c r="H78" s="1014">
        <f>SUM(H79:H79)+0.5</f>
        <v>0.5</v>
      </c>
      <c r="I78" s="1012" t="s">
        <v>475</v>
      </c>
      <c r="J78" s="1015" t="s">
        <v>424</v>
      </c>
      <c r="K78" s="1016" t="s">
        <v>462</v>
      </c>
      <c r="L78" s="1016" t="s">
        <v>462</v>
      </c>
      <c r="M78" s="1017"/>
      <c r="N78" s="1018" t="s">
        <v>476</v>
      </c>
    </row>
    <row r="79" spans="1:14" ht="128.25" thickBot="1">
      <c r="A79" s="1020"/>
      <c r="B79" s="1021"/>
      <c r="C79" s="1022"/>
      <c r="D79" s="1023"/>
      <c r="E79" s="1024">
        <v>0</v>
      </c>
      <c r="F79" s="1024">
        <v>0</v>
      </c>
      <c r="G79" s="1024">
        <v>0</v>
      </c>
      <c r="H79" s="1024">
        <v>0</v>
      </c>
      <c r="I79" s="1022" t="s">
        <v>477</v>
      </c>
      <c r="J79" s="1025" t="s">
        <v>321</v>
      </c>
      <c r="K79" s="1026" t="s">
        <v>478</v>
      </c>
      <c r="L79" s="1026" t="s">
        <v>479</v>
      </c>
      <c r="M79" s="1027"/>
      <c r="N79" s="1028" t="s">
        <v>480</v>
      </c>
    </row>
    <row r="80" spans="1:14" ht="26.25" thickBot="1">
      <c r="A80" s="1010" t="s">
        <v>481</v>
      </c>
      <c r="B80" s="1011" t="s">
        <v>482</v>
      </c>
      <c r="C80" s="1012" t="s">
        <v>483</v>
      </c>
      <c r="D80" s="1013" t="s">
        <v>20</v>
      </c>
      <c r="E80" s="1019">
        <v>43.7</v>
      </c>
      <c r="F80" s="1019">
        <v>24.3</v>
      </c>
      <c r="G80" s="1019">
        <v>14.7</v>
      </c>
      <c r="H80" s="1019">
        <v>9.6</v>
      </c>
      <c r="I80" s="1012" t="s">
        <v>484</v>
      </c>
      <c r="J80" s="1015" t="s">
        <v>321</v>
      </c>
      <c r="K80" s="1016" t="s">
        <v>485</v>
      </c>
      <c r="L80" s="1016" t="s">
        <v>486</v>
      </c>
      <c r="M80" s="1017"/>
      <c r="N80" s="1018"/>
    </row>
    <row r="81" spans="1:14" ht="64.5" thickBot="1">
      <c r="A81" s="1010" t="s">
        <v>487</v>
      </c>
      <c r="B81" s="1011" t="s">
        <v>195</v>
      </c>
      <c r="C81" s="1012" t="s">
        <v>488</v>
      </c>
      <c r="D81" s="1013" t="s">
        <v>20</v>
      </c>
      <c r="E81" s="1019">
        <v>12</v>
      </c>
      <c r="F81" s="1019">
        <v>12</v>
      </c>
      <c r="G81" s="1019">
        <v>12</v>
      </c>
      <c r="H81" s="1019">
        <v>0</v>
      </c>
      <c r="I81" s="1012" t="s">
        <v>489</v>
      </c>
      <c r="J81" s="1015" t="s">
        <v>417</v>
      </c>
      <c r="K81" s="1016" t="s">
        <v>462</v>
      </c>
      <c r="L81" s="1016" t="s">
        <v>462</v>
      </c>
      <c r="M81" s="1017"/>
      <c r="N81" s="1018" t="s">
        <v>490</v>
      </c>
    </row>
    <row r="82" spans="1:14" ht="26.25" thickBot="1">
      <c r="A82" s="1010" t="s">
        <v>491</v>
      </c>
      <c r="B82" s="1011" t="s">
        <v>48</v>
      </c>
      <c r="C82" s="1012"/>
      <c r="D82" s="1013"/>
      <c r="E82" s="1014">
        <f>SUM(E83:E84)</f>
        <v>234</v>
      </c>
      <c r="F82" s="1014">
        <f>SUM(F83:F84)</f>
        <v>234</v>
      </c>
      <c r="G82" s="1014">
        <f>SUM(G83:G84)</f>
        <v>216.79999999999998</v>
      </c>
      <c r="H82" s="1014">
        <f>SUM(H83:H84)</f>
        <v>17.200000000000003</v>
      </c>
      <c r="I82" s="1012"/>
      <c r="J82" s="1015"/>
      <c r="K82" s="1016"/>
      <c r="L82" s="1016"/>
      <c r="M82" s="1017"/>
      <c r="N82" s="1018"/>
    </row>
    <row r="83" spans="1:14" ht="26.25" thickBot="1">
      <c r="A83" s="1010" t="s">
        <v>492</v>
      </c>
      <c r="B83" s="1011" t="s">
        <v>48</v>
      </c>
      <c r="C83" s="1012" t="s">
        <v>326</v>
      </c>
      <c r="D83" s="1013" t="s">
        <v>20</v>
      </c>
      <c r="E83" s="1019">
        <v>229.8</v>
      </c>
      <c r="F83" s="1019">
        <v>229.8</v>
      </c>
      <c r="G83" s="1019">
        <v>212.7</v>
      </c>
      <c r="H83" s="1019">
        <v>17.100000000000001</v>
      </c>
      <c r="I83" s="1012" t="s">
        <v>493</v>
      </c>
      <c r="J83" s="1015" t="s">
        <v>321</v>
      </c>
      <c r="K83" s="1016" t="s">
        <v>454</v>
      </c>
      <c r="L83" s="1016" t="s">
        <v>454</v>
      </c>
      <c r="M83" s="1017"/>
      <c r="N83" s="1018"/>
    </row>
    <row r="84" spans="1:14" ht="26.25" thickBot="1">
      <c r="A84" s="1010" t="s">
        <v>494</v>
      </c>
      <c r="B84" s="1011" t="s">
        <v>495</v>
      </c>
      <c r="C84" s="1012"/>
      <c r="D84" s="1013" t="s">
        <v>20</v>
      </c>
      <c r="E84" s="1019">
        <v>4.2</v>
      </c>
      <c r="F84" s="1019">
        <v>4.2</v>
      </c>
      <c r="G84" s="1019">
        <v>4.0999999999999996</v>
      </c>
      <c r="H84" s="1019">
        <v>0.1</v>
      </c>
      <c r="I84" s="1012"/>
      <c r="J84" s="1015"/>
      <c r="K84" s="1016"/>
      <c r="L84" s="1016"/>
      <c r="M84" s="1017"/>
      <c r="N84" s="1018"/>
    </row>
    <row r="85" spans="1:14" ht="26.25" thickBot="1">
      <c r="A85" s="1010" t="s">
        <v>496</v>
      </c>
      <c r="B85" s="1011" t="s">
        <v>51</v>
      </c>
      <c r="C85" s="1012" t="s">
        <v>497</v>
      </c>
      <c r="D85" s="1013"/>
      <c r="E85" s="1014">
        <f>SUM(E86:E86)</f>
        <v>366.7</v>
      </c>
      <c r="F85" s="1014">
        <f>SUM(F86:F86)</f>
        <v>366.7</v>
      </c>
      <c r="G85" s="1014">
        <f>SUM(G86:G86)</f>
        <v>308.3</v>
      </c>
      <c r="H85" s="1014">
        <f>SUM(H86:H86)</f>
        <v>58.4</v>
      </c>
      <c r="I85" s="1012"/>
      <c r="J85" s="1015"/>
      <c r="K85" s="1016"/>
      <c r="L85" s="1016"/>
      <c r="M85" s="1017"/>
      <c r="N85" s="1018"/>
    </row>
    <row r="86" spans="1:14" ht="26.25" thickBot="1">
      <c r="A86" s="1010" t="s">
        <v>498</v>
      </c>
      <c r="B86" s="1011" t="s">
        <v>51</v>
      </c>
      <c r="C86" s="1012" t="s">
        <v>499</v>
      </c>
      <c r="D86" s="1013" t="s">
        <v>20</v>
      </c>
      <c r="E86" s="1019">
        <v>366.7</v>
      </c>
      <c r="F86" s="1019">
        <v>366.7</v>
      </c>
      <c r="G86" s="1019">
        <v>308.3</v>
      </c>
      <c r="H86" s="1019">
        <v>58.4</v>
      </c>
      <c r="I86" s="1012" t="s">
        <v>500</v>
      </c>
      <c r="J86" s="1015" t="s">
        <v>321</v>
      </c>
      <c r="K86" s="1016" t="s">
        <v>501</v>
      </c>
      <c r="L86" s="1016" t="s">
        <v>501</v>
      </c>
      <c r="M86" s="1017"/>
      <c r="N86" s="1018"/>
    </row>
    <row r="87" spans="1:14" ht="26.25" thickBot="1">
      <c r="A87" s="1010" t="s">
        <v>502</v>
      </c>
      <c r="B87" s="1011" t="s">
        <v>114</v>
      </c>
      <c r="C87" s="1012" t="s">
        <v>497</v>
      </c>
      <c r="D87" s="1013"/>
      <c r="E87" s="1014">
        <f>SUM(E88:E88)</f>
        <v>215.1</v>
      </c>
      <c r="F87" s="1014">
        <f>SUM(F88:F88)</f>
        <v>277.89999999999998</v>
      </c>
      <c r="G87" s="1014">
        <f>SUM(G88:G88)</f>
        <v>245</v>
      </c>
      <c r="H87" s="1014">
        <f>SUM(H88:H88)</f>
        <v>32.9</v>
      </c>
      <c r="I87" s="1012" t="s">
        <v>503</v>
      </c>
      <c r="J87" s="1015" t="s">
        <v>321</v>
      </c>
      <c r="K87" s="1016" t="s">
        <v>419</v>
      </c>
      <c r="L87" s="1016" t="s">
        <v>419</v>
      </c>
      <c r="M87" s="1017"/>
      <c r="N87" s="1018"/>
    </row>
    <row r="88" spans="1:14" ht="51">
      <c r="A88" s="1010" t="s">
        <v>504</v>
      </c>
      <c r="B88" s="1011" t="s">
        <v>114</v>
      </c>
      <c r="C88" s="1012" t="s">
        <v>505</v>
      </c>
      <c r="D88" s="1013"/>
      <c r="E88" s="1014">
        <f>SUM(E89:E91)</f>
        <v>215.1</v>
      </c>
      <c r="F88" s="1014">
        <f>SUM(F89:F91)</f>
        <v>277.89999999999998</v>
      </c>
      <c r="G88" s="1014">
        <f>SUM(G89:G91)</f>
        <v>245</v>
      </c>
      <c r="H88" s="1014">
        <f>SUM(H89:H91)</f>
        <v>32.9</v>
      </c>
      <c r="I88" s="1012" t="s">
        <v>503</v>
      </c>
      <c r="J88" s="1015" t="s">
        <v>321</v>
      </c>
      <c r="K88" s="1016" t="s">
        <v>506</v>
      </c>
      <c r="L88" s="1016" t="s">
        <v>506</v>
      </c>
      <c r="M88" s="1017"/>
      <c r="N88" s="1018"/>
    </row>
    <row r="89" spans="1:14" ht="25.5">
      <c r="A89" s="1020"/>
      <c r="B89" s="1021"/>
      <c r="C89" s="1022"/>
      <c r="D89" s="1023"/>
      <c r="E89" s="1024">
        <v>0</v>
      </c>
      <c r="F89" s="1024">
        <v>0</v>
      </c>
      <c r="G89" s="1024">
        <v>0</v>
      </c>
      <c r="H89" s="1024">
        <v>0</v>
      </c>
      <c r="I89" s="1022" t="s">
        <v>507</v>
      </c>
      <c r="J89" s="1025" t="s">
        <v>417</v>
      </c>
      <c r="K89" s="1026" t="s">
        <v>462</v>
      </c>
      <c r="L89" s="1026" t="s">
        <v>419</v>
      </c>
      <c r="M89" s="1027"/>
      <c r="N89" s="1028" t="s">
        <v>508</v>
      </c>
    </row>
    <row r="90" spans="1:14">
      <c r="A90" s="1020"/>
      <c r="B90" s="1021"/>
      <c r="C90" s="1022"/>
      <c r="D90" s="1023" t="s">
        <v>127</v>
      </c>
      <c r="E90" s="1024">
        <v>0</v>
      </c>
      <c r="F90" s="1024">
        <v>18</v>
      </c>
      <c r="G90" s="1024">
        <v>0</v>
      </c>
      <c r="H90" s="1024">
        <v>18</v>
      </c>
      <c r="I90" s="1022"/>
      <c r="J90" s="1025"/>
      <c r="K90" s="1026"/>
      <c r="L90" s="1026"/>
      <c r="M90" s="1027"/>
      <c r="N90" s="1028"/>
    </row>
    <row r="91" spans="1:14" ht="13.5" thickBot="1">
      <c r="A91" s="1020"/>
      <c r="B91" s="1021"/>
      <c r="C91" s="1022"/>
      <c r="D91" s="1023" t="s">
        <v>20</v>
      </c>
      <c r="E91" s="1024">
        <v>215.1</v>
      </c>
      <c r="F91" s="1024">
        <v>259.89999999999998</v>
      </c>
      <c r="G91" s="1024">
        <v>245</v>
      </c>
      <c r="H91" s="1024">
        <v>14.9</v>
      </c>
      <c r="I91" s="1022"/>
      <c r="J91" s="1025"/>
      <c r="K91" s="1026"/>
      <c r="L91" s="1026"/>
      <c r="M91" s="1027"/>
      <c r="N91" s="1028"/>
    </row>
    <row r="92" spans="1:14" ht="26.25" thickBot="1">
      <c r="A92" s="1010" t="s">
        <v>509</v>
      </c>
      <c r="B92" s="1011" t="s">
        <v>510</v>
      </c>
      <c r="C92" s="1012" t="s">
        <v>497</v>
      </c>
      <c r="D92" s="1013"/>
      <c r="E92" s="1014">
        <f>SUM(E93:E93)</f>
        <v>15.7</v>
      </c>
      <c r="F92" s="1014">
        <f>SUM(F93:F93)</f>
        <v>15.7</v>
      </c>
      <c r="G92" s="1014">
        <f>SUM(G93:G93)</f>
        <v>9.4</v>
      </c>
      <c r="H92" s="1014">
        <f>SUM(H93:H93)</f>
        <v>6.3</v>
      </c>
      <c r="I92" s="1012"/>
      <c r="J92" s="1015"/>
      <c r="K92" s="1016"/>
      <c r="L92" s="1016"/>
      <c r="M92" s="1017"/>
      <c r="N92" s="1018"/>
    </row>
    <row r="93" spans="1:14" ht="26.25" thickBot="1">
      <c r="A93" s="1010" t="s">
        <v>511</v>
      </c>
      <c r="B93" s="1011" t="s">
        <v>510</v>
      </c>
      <c r="C93" s="1012"/>
      <c r="D93" s="1013" t="s">
        <v>20</v>
      </c>
      <c r="E93" s="1019">
        <v>15.7</v>
      </c>
      <c r="F93" s="1019">
        <v>15.7</v>
      </c>
      <c r="G93" s="1019">
        <v>9.4</v>
      </c>
      <c r="H93" s="1019">
        <v>6.3</v>
      </c>
      <c r="I93" s="1012"/>
      <c r="J93" s="1015"/>
      <c r="K93" s="1016"/>
      <c r="L93" s="1016"/>
      <c r="M93" s="1017"/>
      <c r="N93" s="1018"/>
    </row>
    <row r="94" spans="1:14" ht="26.25" thickBot="1">
      <c r="A94" s="1010" t="s">
        <v>512</v>
      </c>
      <c r="B94" s="1011" t="s">
        <v>513</v>
      </c>
      <c r="C94" s="1012" t="s">
        <v>514</v>
      </c>
      <c r="D94" s="1013"/>
      <c r="E94" s="1014">
        <f>E95+E99+E105+E109</f>
        <v>195.3</v>
      </c>
      <c r="F94" s="1014">
        <f>F95+F99+F105+F109</f>
        <v>216.5</v>
      </c>
      <c r="G94" s="1014">
        <f>G95+G99+G105+G109</f>
        <v>177.99999999999997</v>
      </c>
      <c r="H94" s="1014">
        <f>H95+H99+H105+H109+0.1</f>
        <v>38.5</v>
      </c>
      <c r="I94" s="1012"/>
      <c r="J94" s="1015"/>
      <c r="K94" s="1016"/>
      <c r="L94" s="1016"/>
      <c r="M94" s="1017"/>
      <c r="N94" s="1018"/>
    </row>
    <row r="95" spans="1:14" ht="76.5">
      <c r="A95" s="1010" t="s">
        <v>515</v>
      </c>
      <c r="B95" s="1011" t="s">
        <v>516</v>
      </c>
      <c r="C95" s="1012" t="s">
        <v>517</v>
      </c>
      <c r="D95" s="1013"/>
      <c r="E95" s="1014">
        <f>SUM(E96:E98)</f>
        <v>95.9</v>
      </c>
      <c r="F95" s="1014">
        <f>SUM(F96:F98)</f>
        <v>97.6</v>
      </c>
      <c r="G95" s="1014">
        <f>SUM(G96:G98)</f>
        <v>77.699999999999989</v>
      </c>
      <c r="H95" s="1014">
        <f>SUM(H96:H98)</f>
        <v>19.899999999999999</v>
      </c>
      <c r="I95" s="1012" t="s">
        <v>518</v>
      </c>
      <c r="J95" s="1015" t="s">
        <v>321</v>
      </c>
      <c r="K95" s="1016" t="s">
        <v>465</v>
      </c>
      <c r="L95" s="1016" t="s">
        <v>465</v>
      </c>
      <c r="M95" s="1017"/>
      <c r="N95" s="1018" t="s">
        <v>519</v>
      </c>
    </row>
    <row r="96" spans="1:14" ht="38.25">
      <c r="A96" s="1020"/>
      <c r="B96" s="1021"/>
      <c r="C96" s="1022"/>
      <c r="D96" s="1023"/>
      <c r="E96" s="1024">
        <v>0</v>
      </c>
      <c r="F96" s="1024">
        <v>0</v>
      </c>
      <c r="G96" s="1024">
        <v>0</v>
      </c>
      <c r="H96" s="1024">
        <v>0</v>
      </c>
      <c r="I96" s="1022" t="s">
        <v>520</v>
      </c>
      <c r="J96" s="1025" t="s">
        <v>417</v>
      </c>
      <c r="K96" s="1026" t="s">
        <v>462</v>
      </c>
      <c r="L96" s="1026" t="s">
        <v>462</v>
      </c>
      <c r="M96" s="1027"/>
      <c r="N96" s="1028" t="s">
        <v>521</v>
      </c>
    </row>
    <row r="97" spans="1:14">
      <c r="A97" s="1020"/>
      <c r="B97" s="1021"/>
      <c r="C97" s="1022"/>
      <c r="D97" s="1023" t="s">
        <v>20</v>
      </c>
      <c r="E97" s="1024">
        <v>73.3</v>
      </c>
      <c r="F97" s="1024">
        <v>75.7</v>
      </c>
      <c r="G97" s="1024">
        <v>55.8</v>
      </c>
      <c r="H97" s="1024">
        <v>19.899999999999999</v>
      </c>
      <c r="I97" s="1022"/>
      <c r="J97" s="1025"/>
      <c r="K97" s="1026"/>
      <c r="L97" s="1026"/>
      <c r="M97" s="1027"/>
      <c r="N97" s="1028"/>
    </row>
    <row r="98" spans="1:14" ht="13.5" thickBot="1">
      <c r="A98" s="1020"/>
      <c r="B98" s="1021"/>
      <c r="C98" s="1022"/>
      <c r="D98" s="1023" t="s">
        <v>127</v>
      </c>
      <c r="E98" s="1024">
        <v>22.6</v>
      </c>
      <c r="F98" s="1024">
        <v>21.9</v>
      </c>
      <c r="G98" s="1024">
        <v>21.9</v>
      </c>
      <c r="H98" s="1024">
        <v>0</v>
      </c>
      <c r="I98" s="1022"/>
      <c r="J98" s="1025"/>
      <c r="K98" s="1026"/>
      <c r="L98" s="1026"/>
      <c r="M98" s="1027"/>
      <c r="N98" s="1028"/>
    </row>
    <row r="99" spans="1:14" ht="76.5">
      <c r="A99" s="1010" t="s">
        <v>522</v>
      </c>
      <c r="B99" s="1011" t="s">
        <v>523</v>
      </c>
      <c r="C99" s="1012" t="s">
        <v>524</v>
      </c>
      <c r="D99" s="1013"/>
      <c r="E99" s="1014">
        <f>SUM(E100:E104)</f>
        <v>49.6</v>
      </c>
      <c r="F99" s="1014">
        <f>SUM(F100:F104)</f>
        <v>62.5</v>
      </c>
      <c r="G99" s="1014">
        <f>SUM(G100:G104)-0.1</f>
        <v>57.6</v>
      </c>
      <c r="H99" s="1014">
        <f>SUM(H100:H104)</f>
        <v>4.8</v>
      </c>
      <c r="I99" s="1012" t="s">
        <v>57</v>
      </c>
      <c r="J99" s="1015" t="s">
        <v>321</v>
      </c>
      <c r="K99" s="1016" t="s">
        <v>453</v>
      </c>
      <c r="L99" s="1016" t="s">
        <v>454</v>
      </c>
      <c r="M99" s="1017"/>
      <c r="N99" s="1018" t="s">
        <v>525</v>
      </c>
    </row>
    <row r="100" spans="1:14" ht="63.75">
      <c r="A100" s="1020"/>
      <c r="B100" s="1021"/>
      <c r="C100" s="1022"/>
      <c r="D100" s="1023"/>
      <c r="E100" s="1024">
        <v>0</v>
      </c>
      <c r="F100" s="1024">
        <v>0</v>
      </c>
      <c r="G100" s="1024">
        <v>0</v>
      </c>
      <c r="H100" s="1024">
        <v>0</v>
      </c>
      <c r="I100" s="1022" t="s">
        <v>271</v>
      </c>
      <c r="J100" s="1025" t="s">
        <v>417</v>
      </c>
      <c r="K100" s="1026" t="s">
        <v>526</v>
      </c>
      <c r="L100" s="1026" t="s">
        <v>526</v>
      </c>
      <c r="M100" s="1027"/>
      <c r="N100" s="1028" t="s">
        <v>527</v>
      </c>
    </row>
    <row r="101" spans="1:14" ht="51">
      <c r="A101" s="1020"/>
      <c r="B101" s="1021"/>
      <c r="C101" s="1022"/>
      <c r="D101" s="1023"/>
      <c r="E101" s="1024">
        <v>0</v>
      </c>
      <c r="F101" s="1024">
        <v>0</v>
      </c>
      <c r="G101" s="1024">
        <v>0</v>
      </c>
      <c r="H101" s="1024">
        <v>0</v>
      </c>
      <c r="I101" s="1022" t="s">
        <v>270</v>
      </c>
      <c r="J101" s="1025" t="s">
        <v>424</v>
      </c>
      <c r="K101" s="1026" t="s">
        <v>528</v>
      </c>
      <c r="L101" s="1026" t="s">
        <v>485</v>
      </c>
      <c r="M101" s="1027"/>
      <c r="N101" s="1028" t="s">
        <v>529</v>
      </c>
    </row>
    <row r="102" spans="1:14">
      <c r="A102" s="1020"/>
      <c r="B102" s="1021"/>
      <c r="C102" s="1022"/>
      <c r="D102" s="1023" t="s">
        <v>20</v>
      </c>
      <c r="E102" s="1024">
        <v>49.6</v>
      </c>
      <c r="F102" s="1024">
        <v>49.6</v>
      </c>
      <c r="G102" s="1024">
        <v>44.8</v>
      </c>
      <c r="H102" s="1024">
        <v>4.8</v>
      </c>
      <c r="I102" s="1022"/>
      <c r="J102" s="1025"/>
      <c r="K102" s="1026"/>
      <c r="L102" s="1026"/>
      <c r="M102" s="1027"/>
      <c r="N102" s="1028"/>
    </row>
    <row r="103" spans="1:14">
      <c r="A103" s="1020"/>
      <c r="B103" s="1021"/>
      <c r="C103" s="1022"/>
      <c r="D103" s="1023" t="s">
        <v>127</v>
      </c>
      <c r="E103" s="1024">
        <v>0</v>
      </c>
      <c r="F103" s="1024">
        <v>2.2000000000000002</v>
      </c>
      <c r="G103" s="1024">
        <v>2.2000000000000002</v>
      </c>
      <c r="H103" s="1024">
        <v>0</v>
      </c>
      <c r="I103" s="1022"/>
      <c r="J103" s="1025"/>
      <c r="K103" s="1026"/>
      <c r="L103" s="1026"/>
      <c r="M103" s="1027"/>
      <c r="N103" s="1028"/>
    </row>
    <row r="104" spans="1:14" ht="13.5" thickBot="1">
      <c r="A104" s="1020"/>
      <c r="B104" s="1021"/>
      <c r="C104" s="1022"/>
      <c r="D104" s="1023" t="s">
        <v>530</v>
      </c>
      <c r="E104" s="1024">
        <v>0</v>
      </c>
      <c r="F104" s="1024">
        <v>10.7</v>
      </c>
      <c r="G104" s="1024">
        <v>10.7</v>
      </c>
      <c r="H104" s="1024">
        <v>0</v>
      </c>
      <c r="I104" s="1022"/>
      <c r="J104" s="1025"/>
      <c r="K104" s="1026"/>
      <c r="L104" s="1026"/>
      <c r="M104" s="1027"/>
      <c r="N104" s="1028"/>
    </row>
    <row r="105" spans="1:14" ht="280.5">
      <c r="A105" s="1010" t="s">
        <v>531</v>
      </c>
      <c r="B105" s="1011" t="s">
        <v>532</v>
      </c>
      <c r="C105" s="1012" t="s">
        <v>524</v>
      </c>
      <c r="D105" s="1013"/>
      <c r="E105" s="1014">
        <f>SUM(E106:E108)</f>
        <v>18.399999999999999</v>
      </c>
      <c r="F105" s="1014">
        <f>SUM(F106:F108)</f>
        <v>25</v>
      </c>
      <c r="G105" s="1014">
        <f>SUM(G106:G108)</f>
        <v>22.7</v>
      </c>
      <c r="H105" s="1014">
        <f>SUM(H106:H108)</f>
        <v>2.2999999999999998</v>
      </c>
      <c r="I105" s="1012" t="s">
        <v>533</v>
      </c>
      <c r="J105" s="1015" t="s">
        <v>417</v>
      </c>
      <c r="K105" s="1016" t="s">
        <v>534</v>
      </c>
      <c r="L105" s="1016" t="s">
        <v>534</v>
      </c>
      <c r="M105" s="1017"/>
      <c r="N105" s="1018" t="s">
        <v>535</v>
      </c>
    </row>
    <row r="106" spans="1:14" ht="25.5">
      <c r="A106" s="1020"/>
      <c r="B106" s="1021"/>
      <c r="C106" s="1022"/>
      <c r="D106" s="1023"/>
      <c r="E106" s="1024">
        <v>0</v>
      </c>
      <c r="F106" s="1024">
        <v>0</v>
      </c>
      <c r="G106" s="1024">
        <v>0</v>
      </c>
      <c r="H106" s="1024">
        <v>0</v>
      </c>
      <c r="I106" s="1022" t="s">
        <v>536</v>
      </c>
      <c r="J106" s="1025" t="s">
        <v>321</v>
      </c>
      <c r="K106" s="1026" t="s">
        <v>419</v>
      </c>
      <c r="L106" s="1026" t="s">
        <v>419</v>
      </c>
      <c r="M106" s="1027"/>
      <c r="N106" s="1028"/>
    </row>
    <row r="107" spans="1:14">
      <c r="A107" s="1020"/>
      <c r="B107" s="1021"/>
      <c r="C107" s="1022"/>
      <c r="D107" s="1023" t="s">
        <v>127</v>
      </c>
      <c r="E107" s="1024">
        <v>0</v>
      </c>
      <c r="F107" s="1024">
        <v>0.7</v>
      </c>
      <c r="G107" s="1024">
        <v>0</v>
      </c>
      <c r="H107" s="1024">
        <v>0.7</v>
      </c>
      <c r="I107" s="1022"/>
      <c r="J107" s="1025"/>
      <c r="K107" s="1026"/>
      <c r="L107" s="1026"/>
      <c r="M107" s="1027"/>
      <c r="N107" s="1028"/>
    </row>
    <row r="108" spans="1:14" ht="13.5" thickBot="1">
      <c r="A108" s="1020"/>
      <c r="B108" s="1021"/>
      <c r="C108" s="1022"/>
      <c r="D108" s="1023" t="s">
        <v>20</v>
      </c>
      <c r="E108" s="1024">
        <v>18.399999999999999</v>
      </c>
      <c r="F108" s="1024">
        <v>24.3</v>
      </c>
      <c r="G108" s="1024">
        <v>22.7</v>
      </c>
      <c r="H108" s="1024">
        <v>1.6</v>
      </c>
      <c r="I108" s="1022"/>
      <c r="J108" s="1025"/>
      <c r="K108" s="1026"/>
      <c r="L108" s="1026"/>
      <c r="M108" s="1027"/>
      <c r="N108" s="1028"/>
    </row>
    <row r="109" spans="1:14" ht="25.5">
      <c r="A109" s="1010" t="s">
        <v>537</v>
      </c>
      <c r="B109" s="1011" t="s">
        <v>538</v>
      </c>
      <c r="C109" s="1012" t="s">
        <v>524</v>
      </c>
      <c r="D109" s="1013" t="s">
        <v>20</v>
      </c>
      <c r="E109" s="1014">
        <f>SUM(E110:E110)+31.4</f>
        <v>31.4</v>
      </c>
      <c r="F109" s="1014">
        <f>SUM(F110:F110)+31.4</f>
        <v>31.4</v>
      </c>
      <c r="G109" s="1014">
        <f>SUM(G110:G110)+20</f>
        <v>20</v>
      </c>
      <c r="H109" s="1014">
        <f>SUM(H110:H110)+11.4</f>
        <v>11.4</v>
      </c>
      <c r="I109" s="1012" t="s">
        <v>539</v>
      </c>
      <c r="J109" s="1015" t="s">
        <v>321</v>
      </c>
      <c r="K109" s="1016" t="s">
        <v>462</v>
      </c>
      <c r="L109" s="1016" t="s">
        <v>462</v>
      </c>
      <c r="M109" s="1017"/>
      <c r="N109" s="1018" t="s">
        <v>540</v>
      </c>
    </row>
    <row r="110" spans="1:14" ht="51.75" thickBot="1">
      <c r="A110" s="1020"/>
      <c r="B110" s="1021"/>
      <c r="C110" s="1022"/>
      <c r="D110" s="1023"/>
      <c r="E110" s="1024">
        <v>0</v>
      </c>
      <c r="F110" s="1024">
        <v>0</v>
      </c>
      <c r="G110" s="1024">
        <v>0</v>
      </c>
      <c r="H110" s="1024">
        <v>0</v>
      </c>
      <c r="I110" s="1022" t="s">
        <v>541</v>
      </c>
      <c r="J110" s="1025" t="s">
        <v>417</v>
      </c>
      <c r="K110" s="1026" t="s">
        <v>462</v>
      </c>
      <c r="L110" s="1026" t="s">
        <v>419</v>
      </c>
      <c r="M110" s="1027"/>
      <c r="N110" s="1028" t="s">
        <v>542</v>
      </c>
    </row>
    <row r="111" spans="1:14" ht="51.75" thickBot="1">
      <c r="A111" s="1010" t="s">
        <v>543</v>
      </c>
      <c r="B111" s="1011" t="s">
        <v>58</v>
      </c>
      <c r="C111" s="1012" t="s">
        <v>544</v>
      </c>
      <c r="D111" s="1013"/>
      <c r="E111" s="1014">
        <f>E112+E114</f>
        <v>2995.2</v>
      </c>
      <c r="F111" s="1014">
        <f>F112+F114</f>
        <v>2941.2</v>
      </c>
      <c r="G111" s="1014">
        <f>G112+G114</f>
        <v>2934.6</v>
      </c>
      <c r="H111" s="1014">
        <f>H112+H114</f>
        <v>6.6</v>
      </c>
      <c r="I111" s="1012"/>
      <c r="J111" s="1015"/>
      <c r="K111" s="1016"/>
      <c r="L111" s="1016"/>
      <c r="M111" s="1017"/>
      <c r="N111" s="1018"/>
    </row>
    <row r="112" spans="1:14" ht="25.5">
      <c r="A112" s="1010" t="s">
        <v>545</v>
      </c>
      <c r="B112" s="1011" t="s">
        <v>546</v>
      </c>
      <c r="C112" s="1012" t="s">
        <v>547</v>
      </c>
      <c r="D112" s="1013"/>
      <c r="E112" s="1014">
        <f>SUM(E113:E113)</f>
        <v>2904.2</v>
      </c>
      <c r="F112" s="1014">
        <f>SUM(F113:F113)</f>
        <v>2904.2</v>
      </c>
      <c r="G112" s="1014">
        <f>SUM(G113:G113)</f>
        <v>2904.2</v>
      </c>
      <c r="H112" s="1014">
        <f>SUM(H113:H113)</f>
        <v>0</v>
      </c>
      <c r="I112" s="1012" t="s">
        <v>548</v>
      </c>
      <c r="J112" s="1015" t="s">
        <v>321</v>
      </c>
      <c r="K112" s="1016" t="s">
        <v>549</v>
      </c>
      <c r="L112" s="1016" t="s">
        <v>549</v>
      </c>
      <c r="M112" s="1017"/>
      <c r="N112" s="1018"/>
    </row>
    <row r="113" spans="1:14" ht="13.5" thickBot="1">
      <c r="A113" s="1020"/>
      <c r="B113" s="1021"/>
      <c r="C113" s="1022"/>
      <c r="D113" s="1023" t="s">
        <v>20</v>
      </c>
      <c r="E113" s="1024">
        <v>2904.2</v>
      </c>
      <c r="F113" s="1024">
        <v>2904.2</v>
      </c>
      <c r="G113" s="1024">
        <v>2904.2</v>
      </c>
      <c r="H113" s="1024">
        <v>0</v>
      </c>
      <c r="I113" s="1022"/>
      <c r="J113" s="1025"/>
      <c r="K113" s="1026"/>
      <c r="L113" s="1026"/>
      <c r="M113" s="1027"/>
      <c r="N113" s="1028"/>
    </row>
    <row r="114" spans="1:14" ht="26.25" thickBot="1">
      <c r="A114" s="1010" t="s">
        <v>550</v>
      </c>
      <c r="B114" s="1011" t="s">
        <v>551</v>
      </c>
      <c r="C114" s="1012"/>
      <c r="D114" s="1013" t="s">
        <v>20</v>
      </c>
      <c r="E114" s="1019">
        <v>91</v>
      </c>
      <c r="F114" s="1019">
        <v>37</v>
      </c>
      <c r="G114" s="1019">
        <v>30.4</v>
      </c>
      <c r="H114" s="1019">
        <v>6.6</v>
      </c>
      <c r="I114" s="1012"/>
      <c r="J114" s="1015"/>
      <c r="K114" s="1016"/>
      <c r="L114" s="1016"/>
      <c r="M114" s="1017"/>
      <c r="N114" s="1018"/>
    </row>
    <row r="115" spans="1:14" ht="26.25" thickBot="1">
      <c r="A115" s="1010" t="s">
        <v>552</v>
      </c>
      <c r="B115" s="1011" t="s">
        <v>59</v>
      </c>
      <c r="C115" s="1012" t="s">
        <v>497</v>
      </c>
      <c r="D115" s="1013"/>
      <c r="E115" s="1014">
        <f>SUM(E116:E116)</f>
        <v>29</v>
      </c>
      <c r="F115" s="1014">
        <f>SUM(F116:F116)</f>
        <v>29</v>
      </c>
      <c r="G115" s="1014">
        <f>SUM(G116:G116)</f>
        <v>0</v>
      </c>
      <c r="H115" s="1014">
        <f>SUM(H116:H116)</f>
        <v>29</v>
      </c>
      <c r="I115" s="1012"/>
      <c r="J115" s="1015"/>
      <c r="K115" s="1016"/>
      <c r="L115" s="1016"/>
      <c r="M115" s="1017"/>
      <c r="N115" s="1018"/>
    </row>
    <row r="116" spans="1:14" ht="26.25" thickBot="1">
      <c r="A116" s="1010" t="s">
        <v>553</v>
      </c>
      <c r="B116" s="1011" t="s">
        <v>59</v>
      </c>
      <c r="C116" s="1012" t="s">
        <v>497</v>
      </c>
      <c r="D116" s="1013" t="s">
        <v>20</v>
      </c>
      <c r="E116" s="1019">
        <v>29</v>
      </c>
      <c r="F116" s="1019">
        <v>29</v>
      </c>
      <c r="G116" s="1019">
        <v>0</v>
      </c>
      <c r="H116" s="1019">
        <v>29</v>
      </c>
      <c r="I116" s="1012"/>
      <c r="J116" s="1015"/>
      <c r="K116" s="1016"/>
      <c r="L116" s="1016"/>
      <c r="M116" s="1017"/>
      <c r="N116" s="1018"/>
    </row>
    <row r="117" spans="1:14" ht="26.25" thickBot="1">
      <c r="A117" s="1010" t="s">
        <v>554</v>
      </c>
      <c r="B117" s="1011" t="s">
        <v>555</v>
      </c>
      <c r="C117" s="1012" t="s">
        <v>556</v>
      </c>
      <c r="D117" s="1013"/>
      <c r="E117" s="1014">
        <f>E118+E121+E123+E125+E126+E127+E128+E129+E130+E131+E137</f>
        <v>425.7</v>
      </c>
      <c r="F117" s="1014">
        <f>F118+F121+F123+F125+F126+F127+F128+F129+F130+F131+F137</f>
        <v>445.7</v>
      </c>
      <c r="G117" s="1014">
        <f>G118+G121+G123+G125+G126+G127+G128+G129+G130+G131+G137-0.1</f>
        <v>102.80000000000001</v>
      </c>
      <c r="H117" s="1014">
        <f>H118+H121+H123+H125+H126+H127+H128+H129+H130+H131+H137+0.1</f>
        <v>342.90000000000003</v>
      </c>
      <c r="I117" s="1012"/>
      <c r="J117" s="1015"/>
      <c r="K117" s="1016"/>
      <c r="L117" s="1016"/>
      <c r="M117" s="1017"/>
      <c r="N117" s="1018"/>
    </row>
    <row r="118" spans="1:14" ht="76.5">
      <c r="A118" s="1010" t="s">
        <v>557</v>
      </c>
      <c r="B118" s="1011" t="s">
        <v>62</v>
      </c>
      <c r="C118" s="1012" t="s">
        <v>558</v>
      </c>
      <c r="D118" s="1013"/>
      <c r="E118" s="1014">
        <f>SUM(E119:E120)</f>
        <v>26</v>
      </c>
      <c r="F118" s="1014">
        <f>SUM(F119:F120)</f>
        <v>46</v>
      </c>
      <c r="G118" s="1014">
        <f>SUM(G119:G120)</f>
        <v>30.2</v>
      </c>
      <c r="H118" s="1014">
        <f>SUM(H119:H120)</f>
        <v>15.8</v>
      </c>
      <c r="I118" s="1012" t="s">
        <v>559</v>
      </c>
      <c r="J118" s="1015" t="s">
        <v>560</v>
      </c>
      <c r="K118" s="1016" t="s">
        <v>561</v>
      </c>
      <c r="L118" s="1016" t="s">
        <v>479</v>
      </c>
      <c r="M118" s="1017"/>
      <c r="N118" s="1018" t="s">
        <v>562</v>
      </c>
    </row>
    <row r="119" spans="1:14">
      <c r="A119" s="1020"/>
      <c r="B119" s="1021"/>
      <c r="C119" s="1022"/>
      <c r="D119" s="1023" t="s">
        <v>275</v>
      </c>
      <c r="E119" s="1024">
        <v>0</v>
      </c>
      <c r="F119" s="1024">
        <v>20</v>
      </c>
      <c r="G119" s="1024">
        <v>4.2</v>
      </c>
      <c r="H119" s="1024">
        <v>15.8</v>
      </c>
      <c r="I119" s="1022"/>
      <c r="J119" s="1025"/>
      <c r="K119" s="1026"/>
      <c r="L119" s="1026"/>
      <c r="M119" s="1027"/>
      <c r="N119" s="1028"/>
    </row>
    <row r="120" spans="1:14" ht="13.5" thickBot="1">
      <c r="A120" s="1020"/>
      <c r="B120" s="1021"/>
      <c r="C120" s="1022"/>
      <c r="D120" s="1023" t="s">
        <v>20</v>
      </c>
      <c r="E120" s="1024">
        <v>26</v>
      </c>
      <c r="F120" s="1024">
        <v>26</v>
      </c>
      <c r="G120" s="1024">
        <v>26</v>
      </c>
      <c r="H120" s="1024">
        <v>0</v>
      </c>
      <c r="I120" s="1022"/>
      <c r="J120" s="1025"/>
      <c r="K120" s="1026"/>
      <c r="L120" s="1026"/>
      <c r="M120" s="1027"/>
      <c r="N120" s="1028"/>
    </row>
    <row r="121" spans="1:14" ht="25.5">
      <c r="A121" s="1010" t="s">
        <v>563</v>
      </c>
      <c r="B121" s="1011" t="s">
        <v>63</v>
      </c>
      <c r="C121" s="1012" t="s">
        <v>564</v>
      </c>
      <c r="D121" s="1013"/>
      <c r="E121" s="1014">
        <f>SUM(E122:E122)</f>
        <v>27</v>
      </c>
      <c r="F121" s="1014">
        <f>SUM(F122:F122)</f>
        <v>27</v>
      </c>
      <c r="G121" s="1014">
        <f>SUM(G122:G122)</f>
        <v>27</v>
      </c>
      <c r="H121" s="1014">
        <f>SUM(H122:H122)</f>
        <v>0</v>
      </c>
      <c r="I121" s="1012" t="s">
        <v>565</v>
      </c>
      <c r="J121" s="1015" t="s">
        <v>417</v>
      </c>
      <c r="K121" s="1016" t="s">
        <v>566</v>
      </c>
      <c r="L121" s="1016" t="s">
        <v>566</v>
      </c>
      <c r="M121" s="1017"/>
      <c r="N121" s="1018" t="s">
        <v>567</v>
      </c>
    </row>
    <row r="122" spans="1:14" ht="13.5" thickBot="1">
      <c r="A122" s="1020"/>
      <c r="B122" s="1021"/>
      <c r="C122" s="1022"/>
      <c r="D122" s="1023" t="s">
        <v>24</v>
      </c>
      <c r="E122" s="1024">
        <v>27</v>
      </c>
      <c r="F122" s="1024">
        <v>27</v>
      </c>
      <c r="G122" s="1024">
        <v>27</v>
      </c>
      <c r="H122" s="1024">
        <v>0</v>
      </c>
      <c r="I122" s="1022"/>
      <c r="J122" s="1025"/>
      <c r="K122" s="1026"/>
      <c r="L122" s="1026"/>
      <c r="M122" s="1027"/>
      <c r="N122" s="1028"/>
    </row>
    <row r="123" spans="1:14" ht="51">
      <c r="A123" s="1010" t="s">
        <v>568</v>
      </c>
      <c r="B123" s="1011" t="s">
        <v>64</v>
      </c>
      <c r="C123" s="1012" t="s">
        <v>564</v>
      </c>
      <c r="D123" s="1013"/>
      <c r="E123" s="1014">
        <f>SUM(E124:E124)</f>
        <v>68</v>
      </c>
      <c r="F123" s="1014">
        <f>SUM(F124:F124)</f>
        <v>68</v>
      </c>
      <c r="G123" s="1014">
        <f>SUM(G124:G124)</f>
        <v>6.9</v>
      </c>
      <c r="H123" s="1014">
        <f>SUM(H124:H124)</f>
        <v>61.1</v>
      </c>
      <c r="I123" s="1012" t="s">
        <v>569</v>
      </c>
      <c r="J123" s="1015" t="s">
        <v>417</v>
      </c>
      <c r="K123" s="1016" t="s">
        <v>570</v>
      </c>
      <c r="L123" s="1016" t="s">
        <v>549</v>
      </c>
      <c r="M123" s="1017"/>
      <c r="N123" s="1018" t="s">
        <v>571</v>
      </c>
    </row>
    <row r="124" spans="1:14" ht="13.5" thickBot="1">
      <c r="A124" s="1020"/>
      <c r="B124" s="1021"/>
      <c r="C124" s="1022"/>
      <c r="D124" s="1023" t="s">
        <v>24</v>
      </c>
      <c r="E124" s="1024">
        <v>68</v>
      </c>
      <c r="F124" s="1024">
        <v>68</v>
      </c>
      <c r="G124" s="1024">
        <v>6.9</v>
      </c>
      <c r="H124" s="1024">
        <v>61.1</v>
      </c>
      <c r="I124" s="1022"/>
      <c r="J124" s="1025"/>
      <c r="K124" s="1026"/>
      <c r="L124" s="1026"/>
      <c r="M124" s="1027"/>
      <c r="N124" s="1028"/>
    </row>
    <row r="125" spans="1:14" ht="39" thickBot="1">
      <c r="A125" s="1010" t="s">
        <v>572</v>
      </c>
      <c r="B125" s="1011" t="s">
        <v>573</v>
      </c>
      <c r="C125" s="1012" t="s">
        <v>564</v>
      </c>
      <c r="D125" s="1013" t="s">
        <v>24</v>
      </c>
      <c r="E125" s="1019">
        <v>4.5</v>
      </c>
      <c r="F125" s="1019">
        <v>4.5</v>
      </c>
      <c r="G125" s="1019">
        <v>4.3</v>
      </c>
      <c r="H125" s="1019">
        <v>0.2</v>
      </c>
      <c r="I125" s="1012" t="s">
        <v>574</v>
      </c>
      <c r="J125" s="1015" t="s">
        <v>417</v>
      </c>
      <c r="K125" s="1016" t="s">
        <v>549</v>
      </c>
      <c r="L125" s="1016" t="s">
        <v>419</v>
      </c>
      <c r="M125" s="1017"/>
      <c r="N125" s="1018" t="s">
        <v>575</v>
      </c>
    </row>
    <row r="126" spans="1:14" ht="77.25" thickBot="1">
      <c r="A126" s="1010" t="s">
        <v>576</v>
      </c>
      <c r="B126" s="1011" t="s">
        <v>276</v>
      </c>
      <c r="C126" s="1012" t="s">
        <v>577</v>
      </c>
      <c r="D126" s="1013" t="s">
        <v>20</v>
      </c>
      <c r="E126" s="1019">
        <v>4</v>
      </c>
      <c r="F126" s="1019">
        <v>4</v>
      </c>
      <c r="G126" s="1019">
        <v>0</v>
      </c>
      <c r="H126" s="1019">
        <v>4</v>
      </c>
      <c r="I126" s="1012" t="s">
        <v>578</v>
      </c>
      <c r="J126" s="1015" t="s">
        <v>560</v>
      </c>
      <c r="K126" s="1016" t="s">
        <v>453</v>
      </c>
      <c r="L126" s="1016" t="s">
        <v>419</v>
      </c>
      <c r="M126" s="1017"/>
      <c r="N126" s="1018" t="s">
        <v>579</v>
      </c>
    </row>
    <row r="127" spans="1:14" ht="39" thickBot="1">
      <c r="A127" s="1010" t="s">
        <v>580</v>
      </c>
      <c r="B127" s="1011" t="s">
        <v>151</v>
      </c>
      <c r="C127" s="1012" t="s">
        <v>564</v>
      </c>
      <c r="D127" s="1013" t="s">
        <v>20</v>
      </c>
      <c r="E127" s="1019">
        <v>7.6</v>
      </c>
      <c r="F127" s="1019">
        <v>7.6</v>
      </c>
      <c r="G127" s="1019">
        <v>4.5</v>
      </c>
      <c r="H127" s="1019">
        <v>3.1</v>
      </c>
      <c r="I127" s="1012" t="s">
        <v>581</v>
      </c>
      <c r="J127" s="1015" t="s">
        <v>417</v>
      </c>
      <c r="K127" s="1016" t="s">
        <v>582</v>
      </c>
      <c r="L127" s="1016" t="s">
        <v>582</v>
      </c>
      <c r="M127" s="1017"/>
      <c r="N127" s="1018" t="s">
        <v>583</v>
      </c>
    </row>
    <row r="128" spans="1:14" ht="26.25" thickBot="1">
      <c r="A128" s="1010" t="s">
        <v>584</v>
      </c>
      <c r="B128" s="1011" t="s">
        <v>67</v>
      </c>
      <c r="C128" s="1012"/>
      <c r="D128" s="1013" t="s">
        <v>20</v>
      </c>
      <c r="E128" s="1019">
        <v>1.7</v>
      </c>
      <c r="F128" s="1019">
        <v>1.7</v>
      </c>
      <c r="G128" s="1019">
        <v>1.6</v>
      </c>
      <c r="H128" s="1019">
        <v>0.1</v>
      </c>
      <c r="I128" s="1012" t="s">
        <v>585</v>
      </c>
      <c r="J128" s="1015" t="s">
        <v>417</v>
      </c>
      <c r="K128" s="1016" t="s">
        <v>586</v>
      </c>
      <c r="L128" s="1016" t="s">
        <v>586</v>
      </c>
      <c r="M128" s="1017"/>
      <c r="N128" s="1018" t="s">
        <v>587</v>
      </c>
    </row>
    <row r="129" spans="1:14" ht="39" thickBot="1">
      <c r="A129" s="1010" t="s">
        <v>588</v>
      </c>
      <c r="B129" s="1011" t="s">
        <v>69</v>
      </c>
      <c r="C129" s="1012" t="s">
        <v>589</v>
      </c>
      <c r="D129" s="1013" t="s">
        <v>20</v>
      </c>
      <c r="E129" s="1019">
        <v>2</v>
      </c>
      <c r="F129" s="1019">
        <v>2</v>
      </c>
      <c r="G129" s="1019">
        <v>0.5</v>
      </c>
      <c r="H129" s="1019">
        <v>1.5</v>
      </c>
      <c r="I129" s="1012" t="s">
        <v>590</v>
      </c>
      <c r="J129" s="1015" t="s">
        <v>417</v>
      </c>
      <c r="K129" s="1016" t="s">
        <v>591</v>
      </c>
      <c r="L129" s="1016" t="s">
        <v>592</v>
      </c>
      <c r="M129" s="1017"/>
      <c r="N129" s="1018" t="s">
        <v>593</v>
      </c>
    </row>
    <row r="130" spans="1:14" ht="26.25" thickBot="1">
      <c r="A130" s="1010" t="s">
        <v>594</v>
      </c>
      <c r="B130" s="1011" t="s">
        <v>71</v>
      </c>
      <c r="C130" s="1012" t="s">
        <v>556</v>
      </c>
      <c r="D130" s="1013" t="s">
        <v>20</v>
      </c>
      <c r="E130" s="1019">
        <v>5</v>
      </c>
      <c r="F130" s="1019">
        <v>5</v>
      </c>
      <c r="G130" s="1019">
        <v>2.9</v>
      </c>
      <c r="H130" s="1019">
        <v>2.1</v>
      </c>
      <c r="I130" s="1012" t="s">
        <v>277</v>
      </c>
      <c r="J130" s="1015" t="s">
        <v>417</v>
      </c>
      <c r="K130" s="1016" t="s">
        <v>462</v>
      </c>
      <c r="L130" s="1016" t="s">
        <v>462</v>
      </c>
      <c r="M130" s="1017"/>
      <c r="N130" s="1018" t="s">
        <v>595</v>
      </c>
    </row>
    <row r="131" spans="1:14" ht="25.5">
      <c r="A131" s="1010" t="s">
        <v>596</v>
      </c>
      <c r="B131" s="1011" t="s">
        <v>597</v>
      </c>
      <c r="C131" s="1012" t="s">
        <v>556</v>
      </c>
      <c r="D131" s="1013"/>
      <c r="E131" s="1014">
        <f>SUM(E132:E136)</f>
        <v>125.9</v>
      </c>
      <c r="F131" s="1014">
        <f>SUM(F132:F136)</f>
        <v>125.9</v>
      </c>
      <c r="G131" s="1014">
        <f>SUM(G132:G136)</f>
        <v>25</v>
      </c>
      <c r="H131" s="1014">
        <f>SUM(H132:H136)</f>
        <v>100.9</v>
      </c>
      <c r="I131" s="1012" t="s">
        <v>598</v>
      </c>
      <c r="J131" s="1015" t="s">
        <v>599</v>
      </c>
      <c r="K131" s="1016" t="s">
        <v>600</v>
      </c>
      <c r="L131" s="1016" t="s">
        <v>600</v>
      </c>
      <c r="M131" s="1017"/>
      <c r="N131" s="1018" t="s">
        <v>601</v>
      </c>
    </row>
    <row r="132" spans="1:14" ht="25.5">
      <c r="A132" s="1020"/>
      <c r="B132" s="1021"/>
      <c r="C132" s="1022"/>
      <c r="D132" s="1023"/>
      <c r="E132" s="1024">
        <v>0</v>
      </c>
      <c r="F132" s="1024">
        <v>0</v>
      </c>
      <c r="G132" s="1024">
        <v>0</v>
      </c>
      <c r="H132" s="1024">
        <v>0</v>
      </c>
      <c r="I132" s="1022" t="s">
        <v>602</v>
      </c>
      <c r="J132" s="1025" t="s">
        <v>599</v>
      </c>
      <c r="K132" s="1026" t="s">
        <v>600</v>
      </c>
      <c r="L132" s="1026" t="s">
        <v>603</v>
      </c>
      <c r="M132" s="1027"/>
      <c r="N132" s="1028" t="s">
        <v>604</v>
      </c>
    </row>
    <row r="133" spans="1:14" ht="25.5">
      <c r="A133" s="1020"/>
      <c r="B133" s="1021"/>
      <c r="C133" s="1022"/>
      <c r="D133" s="1023"/>
      <c r="E133" s="1024">
        <v>0</v>
      </c>
      <c r="F133" s="1024">
        <v>0</v>
      </c>
      <c r="G133" s="1024">
        <v>0</v>
      </c>
      <c r="H133" s="1024">
        <v>0</v>
      </c>
      <c r="I133" s="1022" t="s">
        <v>605</v>
      </c>
      <c r="J133" s="1025" t="s">
        <v>599</v>
      </c>
      <c r="K133" s="1026" t="s">
        <v>600</v>
      </c>
      <c r="L133" s="1026" t="s">
        <v>419</v>
      </c>
      <c r="M133" s="1027"/>
      <c r="N133" s="1028" t="s">
        <v>606</v>
      </c>
    </row>
    <row r="134" spans="1:14" ht="38.25">
      <c r="A134" s="1020"/>
      <c r="B134" s="1021"/>
      <c r="C134" s="1022"/>
      <c r="D134" s="1023"/>
      <c r="E134" s="1024">
        <v>0</v>
      </c>
      <c r="F134" s="1024">
        <v>0</v>
      </c>
      <c r="G134" s="1024">
        <v>0</v>
      </c>
      <c r="H134" s="1024">
        <v>0</v>
      </c>
      <c r="I134" s="1022" t="s">
        <v>607</v>
      </c>
      <c r="J134" s="1025" t="s">
        <v>599</v>
      </c>
      <c r="K134" s="1026" t="s">
        <v>600</v>
      </c>
      <c r="L134" s="1026" t="s">
        <v>419</v>
      </c>
      <c r="M134" s="1027"/>
      <c r="N134" s="1028" t="s">
        <v>608</v>
      </c>
    </row>
    <row r="135" spans="1:14">
      <c r="A135" s="1020"/>
      <c r="B135" s="1021"/>
      <c r="C135" s="1022"/>
      <c r="D135" s="1023" t="s">
        <v>25</v>
      </c>
      <c r="E135" s="1024">
        <v>78.7</v>
      </c>
      <c r="F135" s="1024">
        <v>78.7</v>
      </c>
      <c r="G135" s="1024">
        <v>0</v>
      </c>
      <c r="H135" s="1024">
        <v>78.7</v>
      </c>
      <c r="I135" s="1022"/>
      <c r="J135" s="1025"/>
      <c r="K135" s="1026"/>
      <c r="L135" s="1026"/>
      <c r="M135" s="1027"/>
      <c r="N135" s="1028"/>
    </row>
    <row r="136" spans="1:14" ht="13.5" thickBot="1">
      <c r="A136" s="1020"/>
      <c r="B136" s="1021"/>
      <c r="C136" s="1022"/>
      <c r="D136" s="1023" t="s">
        <v>24</v>
      </c>
      <c r="E136" s="1024">
        <v>47.2</v>
      </c>
      <c r="F136" s="1024">
        <v>47.2</v>
      </c>
      <c r="G136" s="1024">
        <v>25</v>
      </c>
      <c r="H136" s="1024">
        <v>22.2</v>
      </c>
      <c r="I136" s="1022"/>
      <c r="J136" s="1025"/>
      <c r="K136" s="1026"/>
      <c r="L136" s="1026"/>
      <c r="M136" s="1027"/>
      <c r="N136" s="1028"/>
    </row>
    <row r="137" spans="1:14" ht="51">
      <c r="A137" s="1010" t="s">
        <v>609</v>
      </c>
      <c r="B137" s="1011" t="s">
        <v>610</v>
      </c>
      <c r="C137" s="1012" t="s">
        <v>611</v>
      </c>
      <c r="D137" s="1013"/>
      <c r="E137" s="1014">
        <f>SUM(E138:E140)</f>
        <v>154</v>
      </c>
      <c r="F137" s="1014">
        <f>SUM(F138:F140)</f>
        <v>154</v>
      </c>
      <c r="G137" s="1014">
        <f>SUM(G138:G140)</f>
        <v>0</v>
      </c>
      <c r="H137" s="1014">
        <f>SUM(H138:H140)</f>
        <v>154</v>
      </c>
      <c r="I137" s="1012" t="s">
        <v>612</v>
      </c>
      <c r="J137" s="1015" t="s">
        <v>599</v>
      </c>
      <c r="K137" s="1016" t="s">
        <v>600</v>
      </c>
      <c r="L137" s="1016" t="s">
        <v>419</v>
      </c>
      <c r="M137" s="1017"/>
      <c r="N137" s="1018"/>
    </row>
    <row r="138" spans="1:14" ht="51">
      <c r="A138" s="1020"/>
      <c r="B138" s="1021"/>
      <c r="C138" s="1022"/>
      <c r="D138" s="1023"/>
      <c r="E138" s="1024">
        <v>0</v>
      </c>
      <c r="F138" s="1024">
        <v>0</v>
      </c>
      <c r="G138" s="1024">
        <v>0</v>
      </c>
      <c r="H138" s="1024">
        <v>0</v>
      </c>
      <c r="I138" s="1022" t="s">
        <v>613</v>
      </c>
      <c r="J138" s="1025" t="s">
        <v>599</v>
      </c>
      <c r="K138" s="1026" t="s">
        <v>600</v>
      </c>
      <c r="L138" s="1026" t="s">
        <v>419</v>
      </c>
      <c r="M138" s="1027"/>
      <c r="N138" s="1028" t="s">
        <v>614</v>
      </c>
    </row>
    <row r="139" spans="1:14">
      <c r="A139" s="1020"/>
      <c r="B139" s="1021"/>
      <c r="C139" s="1022"/>
      <c r="D139" s="1023" t="s">
        <v>25</v>
      </c>
      <c r="E139" s="1024">
        <v>79.8</v>
      </c>
      <c r="F139" s="1024">
        <v>79.8</v>
      </c>
      <c r="G139" s="1024">
        <v>0</v>
      </c>
      <c r="H139" s="1024">
        <v>79.8</v>
      </c>
      <c r="I139" s="1022"/>
      <c r="J139" s="1025"/>
      <c r="K139" s="1026"/>
      <c r="L139" s="1026"/>
      <c r="M139" s="1027"/>
      <c r="N139" s="1028"/>
    </row>
    <row r="140" spans="1:14" ht="13.5" thickBot="1">
      <c r="A140" s="1020"/>
      <c r="B140" s="1021"/>
      <c r="C140" s="1022"/>
      <c r="D140" s="1023" t="s">
        <v>127</v>
      </c>
      <c r="E140" s="1024">
        <v>74.2</v>
      </c>
      <c r="F140" s="1024">
        <v>74.2</v>
      </c>
      <c r="G140" s="1024">
        <v>0</v>
      </c>
      <c r="H140" s="1024">
        <v>74.2</v>
      </c>
      <c r="I140" s="1022"/>
      <c r="J140" s="1025"/>
      <c r="K140" s="1026"/>
      <c r="L140" s="1026"/>
      <c r="M140" s="1027"/>
      <c r="N140" s="1028"/>
    </row>
    <row r="141" spans="1:14" ht="26.25" thickBot="1">
      <c r="A141" s="1010" t="s">
        <v>615</v>
      </c>
      <c r="B141" s="1011" t="s">
        <v>616</v>
      </c>
      <c r="C141" s="1012" t="s">
        <v>617</v>
      </c>
      <c r="D141" s="1013"/>
      <c r="E141" s="1014">
        <f>SUM(E142:E142)</f>
        <v>26</v>
      </c>
      <c r="F141" s="1014">
        <f>SUM(F142:F142)</f>
        <v>26</v>
      </c>
      <c r="G141" s="1014">
        <f>SUM(G142:G142)</f>
        <v>25.9</v>
      </c>
      <c r="H141" s="1014">
        <f>SUM(H142:H142)</f>
        <v>0.1</v>
      </c>
      <c r="I141" s="1012"/>
      <c r="J141" s="1015"/>
      <c r="K141" s="1016"/>
      <c r="L141" s="1016"/>
      <c r="M141" s="1017"/>
      <c r="N141" s="1018"/>
    </row>
    <row r="142" spans="1:14" ht="127.5">
      <c r="A142" s="1010" t="s">
        <v>618</v>
      </c>
      <c r="B142" s="1011" t="s">
        <v>616</v>
      </c>
      <c r="C142" s="1012" t="s">
        <v>619</v>
      </c>
      <c r="D142" s="1013" t="s">
        <v>20</v>
      </c>
      <c r="E142" s="1014">
        <f>SUM(E143:E143)+26</f>
        <v>26</v>
      </c>
      <c r="F142" s="1014">
        <f>SUM(F143:F143)+26</f>
        <v>26</v>
      </c>
      <c r="G142" s="1014">
        <f>SUM(G143:G143)+25.9</f>
        <v>25.9</v>
      </c>
      <c r="H142" s="1014">
        <f>SUM(H143:H143)+0.1</f>
        <v>0.1</v>
      </c>
      <c r="I142" s="1012" t="s">
        <v>620</v>
      </c>
      <c r="J142" s="1015" t="s">
        <v>417</v>
      </c>
      <c r="K142" s="1016" t="s">
        <v>418</v>
      </c>
      <c r="L142" s="1016" t="s">
        <v>621</v>
      </c>
      <c r="M142" s="1017"/>
      <c r="N142" s="1018" t="s">
        <v>622</v>
      </c>
    </row>
    <row r="143" spans="1:14" ht="51.75" thickBot="1">
      <c r="A143" s="1020"/>
      <c r="B143" s="1021"/>
      <c r="C143" s="1022"/>
      <c r="D143" s="1023"/>
      <c r="E143" s="1024">
        <v>0</v>
      </c>
      <c r="F143" s="1024">
        <v>0</v>
      </c>
      <c r="G143" s="1024">
        <v>0</v>
      </c>
      <c r="H143" s="1024">
        <v>0</v>
      </c>
      <c r="I143" s="1022" t="s">
        <v>623</v>
      </c>
      <c r="J143" s="1025" t="s">
        <v>417</v>
      </c>
      <c r="K143" s="1026" t="s">
        <v>462</v>
      </c>
      <c r="L143" s="1026" t="s">
        <v>624</v>
      </c>
      <c r="M143" s="1027"/>
      <c r="N143" s="1028" t="s">
        <v>625</v>
      </c>
    </row>
    <row r="144" spans="1:14" ht="26.25" thickBot="1">
      <c r="A144" s="1010" t="s">
        <v>626</v>
      </c>
      <c r="B144" s="1011" t="s">
        <v>627</v>
      </c>
      <c r="C144" s="1012"/>
      <c r="D144" s="1013"/>
      <c r="E144" s="1014">
        <f>SUM(E145:E146)</f>
        <v>5.4</v>
      </c>
      <c r="F144" s="1014">
        <f>SUM(F145:F146)</f>
        <v>48.6</v>
      </c>
      <c r="G144" s="1014">
        <f>SUM(G145:G146)</f>
        <v>26.6</v>
      </c>
      <c r="H144" s="1014">
        <f>SUM(H145:H146)</f>
        <v>21.999999999999996</v>
      </c>
      <c r="I144" s="1012"/>
      <c r="J144" s="1015"/>
      <c r="K144" s="1016"/>
      <c r="L144" s="1016"/>
      <c r="M144" s="1017"/>
      <c r="N144" s="1018"/>
    </row>
    <row r="145" spans="1:14" ht="51.75" thickBot="1">
      <c r="A145" s="1010" t="s">
        <v>628</v>
      </c>
      <c r="B145" s="1011" t="s">
        <v>629</v>
      </c>
      <c r="C145" s="1012" t="s">
        <v>524</v>
      </c>
      <c r="D145" s="1013" t="s">
        <v>21</v>
      </c>
      <c r="E145" s="1019">
        <v>5.4</v>
      </c>
      <c r="F145" s="1019">
        <v>5.4</v>
      </c>
      <c r="G145" s="1019">
        <v>5.4</v>
      </c>
      <c r="H145" s="1019">
        <v>0</v>
      </c>
      <c r="I145" s="1012" t="s">
        <v>630</v>
      </c>
      <c r="J145" s="1015" t="s">
        <v>417</v>
      </c>
      <c r="K145" s="1016" t="s">
        <v>462</v>
      </c>
      <c r="L145" s="1016" t="s">
        <v>462</v>
      </c>
      <c r="M145" s="1017"/>
      <c r="N145" s="1018" t="s">
        <v>631</v>
      </c>
    </row>
    <row r="146" spans="1:14" ht="38.25">
      <c r="A146" s="1010" t="s">
        <v>632</v>
      </c>
      <c r="B146" s="1011" t="s">
        <v>633</v>
      </c>
      <c r="C146" s="1012" t="s">
        <v>634</v>
      </c>
      <c r="D146" s="1013"/>
      <c r="E146" s="1014">
        <f>SUM(E147:E149)</f>
        <v>0</v>
      </c>
      <c r="F146" s="1014">
        <f>SUM(F147:F149)</f>
        <v>43.2</v>
      </c>
      <c r="G146" s="1014">
        <f>SUM(G147:G149)-0.1</f>
        <v>21.2</v>
      </c>
      <c r="H146" s="1014">
        <f>SUM(H147:H149)-0.1</f>
        <v>21.999999999999996</v>
      </c>
      <c r="I146" s="1012"/>
      <c r="J146" s="1015"/>
      <c r="K146" s="1016"/>
      <c r="L146" s="1016"/>
      <c r="M146" s="1017"/>
      <c r="N146" s="1018"/>
    </row>
    <row r="147" spans="1:14">
      <c r="A147" s="1020"/>
      <c r="B147" s="1021"/>
      <c r="C147" s="1022"/>
      <c r="D147" s="1023" t="s">
        <v>167</v>
      </c>
      <c r="E147" s="1024">
        <v>0</v>
      </c>
      <c r="F147" s="1024">
        <v>12.6</v>
      </c>
      <c r="G147" s="1024">
        <v>0.8</v>
      </c>
      <c r="H147" s="1024">
        <v>11.9</v>
      </c>
      <c r="I147" s="1022"/>
      <c r="J147" s="1025"/>
      <c r="K147" s="1026"/>
      <c r="L147" s="1026"/>
      <c r="M147" s="1027"/>
      <c r="N147" s="1028"/>
    </row>
    <row r="148" spans="1:14">
      <c r="A148" s="1020"/>
      <c r="B148" s="1021"/>
      <c r="C148" s="1022"/>
      <c r="D148" s="1023" t="s">
        <v>21</v>
      </c>
      <c r="E148" s="1024">
        <v>0</v>
      </c>
      <c r="F148" s="1024">
        <v>30.4</v>
      </c>
      <c r="G148" s="1024">
        <v>20.5</v>
      </c>
      <c r="H148" s="1024">
        <v>10</v>
      </c>
      <c r="I148" s="1022"/>
      <c r="J148" s="1025"/>
      <c r="K148" s="1026"/>
      <c r="L148" s="1026"/>
      <c r="M148" s="1027"/>
      <c r="N148" s="1028"/>
    </row>
    <row r="149" spans="1:14" ht="13.5" thickBot="1">
      <c r="A149" s="1020"/>
      <c r="B149" s="1021"/>
      <c r="C149" s="1022"/>
      <c r="D149" s="1023" t="s">
        <v>732</v>
      </c>
      <c r="E149" s="1024">
        <v>0</v>
      </c>
      <c r="F149" s="1024">
        <v>0.2</v>
      </c>
      <c r="G149" s="1024">
        <v>0</v>
      </c>
      <c r="H149" s="1024">
        <v>0.2</v>
      </c>
      <c r="I149" s="1022"/>
      <c r="J149" s="1025"/>
      <c r="K149" s="1026"/>
      <c r="L149" s="1026"/>
      <c r="M149" s="1027"/>
      <c r="N149" s="1028"/>
    </row>
    <row r="150" spans="1:14" ht="39" thickBot="1">
      <c r="A150" s="1001" t="s">
        <v>635</v>
      </c>
      <c r="B150" s="1002" t="s">
        <v>636</v>
      </c>
      <c r="C150" s="1003" t="s">
        <v>637</v>
      </c>
      <c r="D150" s="1004"/>
      <c r="E150" s="1005">
        <f t="shared" ref="E150:H151" si="0">SUM(E151:E151)</f>
        <v>513.1</v>
      </c>
      <c r="F150" s="1005">
        <f t="shared" si="0"/>
        <v>513.1</v>
      </c>
      <c r="G150" s="1005">
        <f t="shared" si="0"/>
        <v>485.7</v>
      </c>
      <c r="H150" s="1005">
        <f t="shared" si="0"/>
        <v>27.400000000000002</v>
      </c>
      <c r="I150" s="1003"/>
      <c r="J150" s="1006"/>
      <c r="K150" s="1007"/>
      <c r="L150" s="1007"/>
      <c r="M150" s="1008"/>
      <c r="N150" s="1009"/>
    </row>
    <row r="151" spans="1:14" ht="26.25" thickBot="1">
      <c r="A151" s="1010" t="s">
        <v>638</v>
      </c>
      <c r="B151" s="1011" t="s">
        <v>639</v>
      </c>
      <c r="C151" s="1012" t="s">
        <v>640</v>
      </c>
      <c r="D151" s="1013"/>
      <c r="E151" s="1014">
        <f t="shared" si="0"/>
        <v>513.1</v>
      </c>
      <c r="F151" s="1014">
        <f t="shared" si="0"/>
        <v>513.1</v>
      </c>
      <c r="G151" s="1014">
        <f t="shared" si="0"/>
        <v>485.7</v>
      </c>
      <c r="H151" s="1014">
        <f t="shared" si="0"/>
        <v>27.400000000000002</v>
      </c>
      <c r="I151" s="1012"/>
      <c r="J151" s="1015"/>
      <c r="K151" s="1016"/>
      <c r="L151" s="1016"/>
      <c r="M151" s="1017"/>
      <c r="N151" s="1018"/>
    </row>
    <row r="152" spans="1:14" ht="51">
      <c r="A152" s="1010" t="s">
        <v>641</v>
      </c>
      <c r="B152" s="1011" t="s">
        <v>117</v>
      </c>
      <c r="C152" s="1012" t="s">
        <v>642</v>
      </c>
      <c r="D152" s="1013"/>
      <c r="E152" s="1014">
        <f>SUM(E153:E160)</f>
        <v>513.1</v>
      </c>
      <c r="F152" s="1014">
        <f>SUM(F153:F160)</f>
        <v>513.1</v>
      </c>
      <c r="G152" s="1014">
        <f>SUM(G153:G160)</f>
        <v>485.7</v>
      </c>
      <c r="H152" s="1014">
        <f>SUM(H153:H160)</f>
        <v>27.400000000000002</v>
      </c>
      <c r="I152" s="1012" t="s">
        <v>643</v>
      </c>
      <c r="J152" s="1015" t="s">
        <v>417</v>
      </c>
      <c r="K152" s="1016" t="s">
        <v>644</v>
      </c>
      <c r="L152" s="1016" t="s">
        <v>644</v>
      </c>
      <c r="M152" s="1017"/>
      <c r="N152" s="1018" t="s">
        <v>645</v>
      </c>
    </row>
    <row r="153" spans="1:14" ht="25.5">
      <c r="A153" s="1020"/>
      <c r="B153" s="1021"/>
      <c r="C153" s="1022"/>
      <c r="D153" s="1023"/>
      <c r="E153" s="1024">
        <v>0</v>
      </c>
      <c r="F153" s="1024">
        <v>0</v>
      </c>
      <c r="G153" s="1024">
        <v>0</v>
      </c>
      <c r="H153" s="1024">
        <v>0</v>
      </c>
      <c r="I153" s="1022" t="s">
        <v>646</v>
      </c>
      <c r="J153" s="1025" t="s">
        <v>417</v>
      </c>
      <c r="K153" s="1026" t="s">
        <v>644</v>
      </c>
      <c r="L153" s="1026" t="s">
        <v>644</v>
      </c>
      <c r="M153" s="1027"/>
      <c r="N153" s="1028" t="s">
        <v>647</v>
      </c>
    </row>
    <row r="154" spans="1:14">
      <c r="A154" s="1020"/>
      <c r="B154" s="1021"/>
      <c r="C154" s="1022"/>
      <c r="D154" s="1023"/>
      <c r="E154" s="1024">
        <v>0</v>
      </c>
      <c r="F154" s="1024">
        <v>0</v>
      </c>
      <c r="G154" s="1024">
        <v>0</v>
      </c>
      <c r="H154" s="1024">
        <v>0</v>
      </c>
      <c r="I154" s="1022" t="s">
        <v>648</v>
      </c>
      <c r="J154" s="1025" t="s">
        <v>417</v>
      </c>
      <c r="K154" s="1026" t="s">
        <v>621</v>
      </c>
      <c r="L154" s="1026" t="s">
        <v>621</v>
      </c>
      <c r="M154" s="1027"/>
      <c r="N154" s="1028" t="s">
        <v>649</v>
      </c>
    </row>
    <row r="155" spans="1:14" ht="63.75">
      <c r="A155" s="1020"/>
      <c r="B155" s="1021"/>
      <c r="C155" s="1022"/>
      <c r="D155" s="1023"/>
      <c r="E155" s="1024">
        <v>0</v>
      </c>
      <c r="F155" s="1024">
        <v>0</v>
      </c>
      <c r="G155" s="1024">
        <v>0</v>
      </c>
      <c r="H155" s="1024">
        <v>0</v>
      </c>
      <c r="I155" s="1022" t="s">
        <v>650</v>
      </c>
      <c r="J155" s="1025" t="s">
        <v>417</v>
      </c>
      <c r="K155" s="1026" t="s">
        <v>418</v>
      </c>
      <c r="L155" s="1026" t="s">
        <v>418</v>
      </c>
      <c r="M155" s="1027"/>
      <c r="N155" s="1028" t="s">
        <v>651</v>
      </c>
    </row>
    <row r="156" spans="1:14">
      <c r="A156" s="1020"/>
      <c r="B156" s="1021"/>
      <c r="C156" s="1022"/>
      <c r="D156" s="1023"/>
      <c r="E156" s="1024">
        <v>0</v>
      </c>
      <c r="F156" s="1024">
        <v>0</v>
      </c>
      <c r="G156" s="1024">
        <v>0</v>
      </c>
      <c r="H156" s="1024">
        <v>0</v>
      </c>
      <c r="I156" s="1022" t="s">
        <v>652</v>
      </c>
      <c r="J156" s="1025" t="s">
        <v>417</v>
      </c>
      <c r="K156" s="1026" t="s">
        <v>465</v>
      </c>
      <c r="L156" s="1026" t="s">
        <v>465</v>
      </c>
      <c r="M156" s="1027"/>
      <c r="N156" s="1028" t="s">
        <v>653</v>
      </c>
    </row>
    <row r="157" spans="1:14">
      <c r="A157" s="1020"/>
      <c r="B157" s="1021"/>
      <c r="C157" s="1022"/>
      <c r="D157" s="1023"/>
      <c r="E157" s="1024">
        <v>0</v>
      </c>
      <c r="F157" s="1024">
        <v>0</v>
      </c>
      <c r="G157" s="1024">
        <v>0</v>
      </c>
      <c r="H157" s="1024">
        <v>0</v>
      </c>
      <c r="I157" s="1022" t="s">
        <v>654</v>
      </c>
      <c r="J157" s="1025" t="s">
        <v>417</v>
      </c>
      <c r="K157" s="1026" t="s">
        <v>655</v>
      </c>
      <c r="L157" s="1026" t="s">
        <v>655</v>
      </c>
      <c r="M157" s="1027"/>
      <c r="N157" s="1028" t="s">
        <v>656</v>
      </c>
    </row>
    <row r="158" spans="1:14" ht="38.25">
      <c r="A158" s="1020"/>
      <c r="B158" s="1021"/>
      <c r="C158" s="1022"/>
      <c r="D158" s="1023"/>
      <c r="E158" s="1024">
        <v>0</v>
      </c>
      <c r="F158" s="1024">
        <v>0</v>
      </c>
      <c r="G158" s="1024">
        <v>0</v>
      </c>
      <c r="H158" s="1024">
        <v>0</v>
      </c>
      <c r="I158" s="1022" t="s">
        <v>657</v>
      </c>
      <c r="J158" s="1025" t="s">
        <v>417</v>
      </c>
      <c r="K158" s="1026" t="s">
        <v>462</v>
      </c>
      <c r="L158" s="1026" t="s">
        <v>462</v>
      </c>
      <c r="M158" s="1027"/>
      <c r="N158" s="1028" t="s">
        <v>658</v>
      </c>
    </row>
    <row r="159" spans="1:14">
      <c r="A159" s="1020"/>
      <c r="B159" s="1021"/>
      <c r="C159" s="1022"/>
      <c r="D159" s="1023" t="s">
        <v>127</v>
      </c>
      <c r="E159" s="1024">
        <v>8</v>
      </c>
      <c r="F159" s="1024">
        <v>8</v>
      </c>
      <c r="G159" s="1024">
        <v>7.9</v>
      </c>
      <c r="H159" s="1024">
        <v>0.1</v>
      </c>
      <c r="I159" s="1022"/>
      <c r="J159" s="1025"/>
      <c r="K159" s="1026"/>
      <c r="L159" s="1026"/>
      <c r="M159" s="1027"/>
      <c r="N159" s="1028"/>
    </row>
    <row r="160" spans="1:14" ht="13.5" thickBot="1">
      <c r="A160" s="1020"/>
      <c r="B160" s="1021"/>
      <c r="C160" s="1022"/>
      <c r="D160" s="1023" t="s">
        <v>20</v>
      </c>
      <c r="E160" s="1024">
        <v>505.1</v>
      </c>
      <c r="F160" s="1024">
        <v>505.1</v>
      </c>
      <c r="G160" s="1024">
        <v>477.8</v>
      </c>
      <c r="H160" s="1024">
        <v>27.3</v>
      </c>
      <c r="I160" s="1022"/>
      <c r="J160" s="1025"/>
      <c r="K160" s="1026"/>
      <c r="L160" s="1026"/>
      <c r="M160" s="1027"/>
      <c r="N160" s="1028"/>
    </row>
    <row r="161" spans="1:14" ht="64.5" thickBot="1">
      <c r="A161" s="1001" t="s">
        <v>659</v>
      </c>
      <c r="B161" s="1002" t="s">
        <v>660</v>
      </c>
      <c r="C161" s="1003" t="s">
        <v>661</v>
      </c>
      <c r="D161" s="1004"/>
      <c r="E161" s="1005">
        <f>SUM(E162:E162)</f>
        <v>63</v>
      </c>
      <c r="F161" s="1005">
        <f>SUM(F162:F162)</f>
        <v>63</v>
      </c>
      <c r="G161" s="1005">
        <f>SUM(G162:G162)</f>
        <v>55.2</v>
      </c>
      <c r="H161" s="1005">
        <f>SUM(H162:H162)</f>
        <v>7.8</v>
      </c>
      <c r="I161" s="1003"/>
      <c r="J161" s="1006"/>
      <c r="K161" s="1007"/>
      <c r="L161" s="1007"/>
      <c r="M161" s="1008"/>
      <c r="N161" s="1009"/>
    </row>
    <row r="162" spans="1:14" ht="26.25" thickBot="1">
      <c r="A162" s="1010" t="s">
        <v>662</v>
      </c>
      <c r="B162" s="1011" t="s">
        <v>663</v>
      </c>
      <c r="C162" s="1012"/>
      <c r="D162" s="1013"/>
      <c r="E162" s="1014">
        <f>E163+E165+E167</f>
        <v>63</v>
      </c>
      <c r="F162" s="1014">
        <f>F163+F165+F167</f>
        <v>63</v>
      </c>
      <c r="G162" s="1014">
        <f>G163+G165+G167</f>
        <v>55.2</v>
      </c>
      <c r="H162" s="1014">
        <f>H163+H165+H167</f>
        <v>7.8</v>
      </c>
      <c r="I162" s="1012"/>
      <c r="J162" s="1015"/>
      <c r="K162" s="1016"/>
      <c r="L162" s="1016"/>
      <c r="M162" s="1017"/>
      <c r="N162" s="1018"/>
    </row>
    <row r="163" spans="1:14" ht="51">
      <c r="A163" s="1010" t="s">
        <v>664</v>
      </c>
      <c r="B163" s="1011" t="s">
        <v>191</v>
      </c>
      <c r="C163" s="1012" t="s">
        <v>665</v>
      </c>
      <c r="D163" s="1013"/>
      <c r="E163" s="1014">
        <f>SUM(E164:E164)</f>
        <v>34.5</v>
      </c>
      <c r="F163" s="1014">
        <f>SUM(F164:F164)</f>
        <v>34.5</v>
      </c>
      <c r="G163" s="1014">
        <f>SUM(G164:G164)</f>
        <v>34.5</v>
      </c>
      <c r="H163" s="1014">
        <f>SUM(H164:H164)</f>
        <v>0</v>
      </c>
      <c r="I163" s="1012" t="s">
        <v>666</v>
      </c>
      <c r="J163" s="1015" t="s">
        <v>417</v>
      </c>
      <c r="K163" s="1016" t="s">
        <v>462</v>
      </c>
      <c r="L163" s="1016" t="s">
        <v>462</v>
      </c>
      <c r="M163" s="1017"/>
      <c r="N163" s="1018" t="s">
        <v>667</v>
      </c>
    </row>
    <row r="164" spans="1:14" ht="13.5" thickBot="1">
      <c r="A164" s="1020"/>
      <c r="B164" s="1021"/>
      <c r="C164" s="1022"/>
      <c r="D164" s="1023" t="s">
        <v>127</v>
      </c>
      <c r="E164" s="1024">
        <v>34.5</v>
      </c>
      <c r="F164" s="1024">
        <v>34.5</v>
      </c>
      <c r="G164" s="1024">
        <v>34.5</v>
      </c>
      <c r="H164" s="1024">
        <v>0</v>
      </c>
      <c r="I164" s="1022"/>
      <c r="J164" s="1025"/>
      <c r="K164" s="1026"/>
      <c r="L164" s="1026"/>
      <c r="M164" s="1027"/>
      <c r="N164" s="1028"/>
    </row>
    <row r="165" spans="1:14" ht="51">
      <c r="A165" s="1010" t="s">
        <v>668</v>
      </c>
      <c r="B165" s="1011" t="s">
        <v>669</v>
      </c>
      <c r="C165" s="1012" t="s">
        <v>670</v>
      </c>
      <c r="D165" s="1013" t="s">
        <v>20</v>
      </c>
      <c r="E165" s="1014">
        <f>SUM(E166:E166)+8.5</f>
        <v>8.5</v>
      </c>
      <c r="F165" s="1014">
        <f>SUM(F166:F166)+8.5</f>
        <v>8.5</v>
      </c>
      <c r="G165" s="1014">
        <f>SUM(G166:G166)+0.7</f>
        <v>0.7</v>
      </c>
      <c r="H165" s="1014">
        <f>SUM(H166:H166)+7.8</f>
        <v>7.8</v>
      </c>
      <c r="I165" s="1012" t="s">
        <v>447</v>
      </c>
      <c r="J165" s="1015" t="s">
        <v>321</v>
      </c>
      <c r="K165" s="1016" t="s">
        <v>671</v>
      </c>
      <c r="L165" s="1016" t="s">
        <v>419</v>
      </c>
      <c r="M165" s="1017"/>
      <c r="N165" s="1018" t="s">
        <v>672</v>
      </c>
    </row>
    <row r="166" spans="1:14" ht="79.5" thickBot="1">
      <c r="A166" s="1020"/>
      <c r="B166" s="1021"/>
      <c r="C166" s="1022"/>
      <c r="D166" s="1023"/>
      <c r="E166" s="1024">
        <v>0</v>
      </c>
      <c r="F166" s="1024">
        <v>0</v>
      </c>
      <c r="G166" s="1024">
        <v>0</v>
      </c>
      <c r="H166" s="1024">
        <v>0</v>
      </c>
      <c r="I166" s="1022" t="s">
        <v>673</v>
      </c>
      <c r="J166" s="1025" t="s">
        <v>417</v>
      </c>
      <c r="K166" s="1026" t="s">
        <v>419</v>
      </c>
      <c r="L166" s="1026" t="s">
        <v>419</v>
      </c>
      <c r="M166" s="1027" t="s">
        <v>674</v>
      </c>
      <c r="N166" s="1028" t="s">
        <v>675</v>
      </c>
    </row>
    <row r="167" spans="1:14" ht="77.25" thickBot="1">
      <c r="A167" s="1010" t="s">
        <v>676</v>
      </c>
      <c r="B167" s="1011" t="s">
        <v>677</v>
      </c>
      <c r="C167" s="1012" t="s">
        <v>670</v>
      </c>
      <c r="D167" s="1013" t="s">
        <v>20</v>
      </c>
      <c r="E167" s="1019">
        <v>20</v>
      </c>
      <c r="F167" s="1019">
        <v>20</v>
      </c>
      <c r="G167" s="1019">
        <v>20</v>
      </c>
      <c r="H167" s="1019">
        <v>0</v>
      </c>
      <c r="I167" s="1012" t="s">
        <v>678</v>
      </c>
      <c r="J167" s="1015" t="s">
        <v>417</v>
      </c>
      <c r="K167" s="1016" t="s">
        <v>419</v>
      </c>
      <c r="L167" s="1016" t="s">
        <v>419</v>
      </c>
      <c r="M167" s="1017"/>
      <c r="N167" s="1018" t="s">
        <v>679</v>
      </c>
    </row>
    <row r="168" spans="1:14" ht="26.25" thickBot="1">
      <c r="A168" s="1001" t="s">
        <v>680</v>
      </c>
      <c r="B168" s="1002" t="s">
        <v>681</v>
      </c>
      <c r="C168" s="1003"/>
      <c r="D168" s="1004"/>
      <c r="E168" s="1005">
        <f>SUM(E169:E169)</f>
        <v>316.8</v>
      </c>
      <c r="F168" s="1005">
        <f>SUM(F169:F169)</f>
        <v>301.8</v>
      </c>
      <c r="G168" s="1005">
        <f>SUM(G169:G169)</f>
        <v>211.29999999999998</v>
      </c>
      <c r="H168" s="1005">
        <f>SUM(H169:H169)</f>
        <v>90.5</v>
      </c>
      <c r="I168" s="1003"/>
      <c r="J168" s="1006"/>
      <c r="K168" s="1007"/>
      <c r="L168" s="1007"/>
      <c r="M168" s="1008"/>
      <c r="N168" s="1009"/>
    </row>
    <row r="169" spans="1:14" ht="26.25" thickBot="1">
      <c r="A169" s="1010" t="s">
        <v>682</v>
      </c>
      <c r="B169" s="1011" t="s">
        <v>683</v>
      </c>
      <c r="C169" s="1012" t="s">
        <v>437</v>
      </c>
      <c r="D169" s="1013"/>
      <c r="E169" s="1014">
        <f>E170+E174+E178+E180+E181+E182</f>
        <v>316.8</v>
      </c>
      <c r="F169" s="1014">
        <f>F170+F174+F178+F180+F181+F182</f>
        <v>301.8</v>
      </c>
      <c r="G169" s="1014">
        <f>G170+G174+G178+G180+G181+G182+0.1</f>
        <v>211.29999999999998</v>
      </c>
      <c r="H169" s="1014">
        <f>H170+H174+H178+H180+H181+H182-0.1</f>
        <v>90.5</v>
      </c>
      <c r="I169" s="1012"/>
      <c r="J169" s="1015"/>
      <c r="K169" s="1016"/>
      <c r="L169" s="1016"/>
      <c r="M169" s="1017"/>
      <c r="N169" s="1018"/>
    </row>
    <row r="170" spans="1:14" ht="25.5">
      <c r="A170" s="1010" t="s">
        <v>684</v>
      </c>
      <c r="B170" s="1011" t="s">
        <v>685</v>
      </c>
      <c r="C170" s="1012" t="s">
        <v>437</v>
      </c>
      <c r="D170" s="1013"/>
      <c r="E170" s="1014">
        <f>SUM(E171:E173)</f>
        <v>37.700000000000003</v>
      </c>
      <c r="F170" s="1014">
        <f>SUM(F171:F173)</f>
        <v>37.700000000000003</v>
      </c>
      <c r="G170" s="1014">
        <f>SUM(G171:G173)</f>
        <v>23.6</v>
      </c>
      <c r="H170" s="1014">
        <f>SUM(H171:H173)</f>
        <v>14.1</v>
      </c>
      <c r="I170" s="1012" t="s">
        <v>686</v>
      </c>
      <c r="J170" s="1015" t="s">
        <v>687</v>
      </c>
      <c r="K170" s="1016" t="s">
        <v>603</v>
      </c>
      <c r="L170" s="1016" t="s">
        <v>419</v>
      </c>
      <c r="M170" s="1017"/>
      <c r="N170" s="1018" t="s">
        <v>688</v>
      </c>
    </row>
    <row r="171" spans="1:14" ht="25.5">
      <c r="A171" s="1020"/>
      <c r="B171" s="1021"/>
      <c r="C171" s="1022"/>
      <c r="D171" s="1023"/>
      <c r="E171" s="1024">
        <v>0</v>
      </c>
      <c r="F171" s="1024">
        <v>0</v>
      </c>
      <c r="G171" s="1024">
        <v>0</v>
      </c>
      <c r="H171" s="1024">
        <v>0</v>
      </c>
      <c r="I171" s="1022" t="s">
        <v>689</v>
      </c>
      <c r="J171" s="1025" t="s">
        <v>417</v>
      </c>
      <c r="K171" s="1026" t="s">
        <v>462</v>
      </c>
      <c r="L171" s="1026" t="s">
        <v>419</v>
      </c>
      <c r="M171" s="1027"/>
      <c r="N171" s="1028" t="s">
        <v>690</v>
      </c>
    </row>
    <row r="172" spans="1:14" ht="25.5">
      <c r="A172" s="1020"/>
      <c r="B172" s="1021"/>
      <c r="C172" s="1022"/>
      <c r="D172" s="1023"/>
      <c r="E172" s="1024">
        <v>0</v>
      </c>
      <c r="F172" s="1024">
        <v>0</v>
      </c>
      <c r="G172" s="1024">
        <v>0</v>
      </c>
      <c r="H172" s="1024">
        <v>0</v>
      </c>
      <c r="I172" s="1022" t="s">
        <v>691</v>
      </c>
      <c r="J172" s="1025" t="s">
        <v>417</v>
      </c>
      <c r="K172" s="1026" t="s">
        <v>655</v>
      </c>
      <c r="L172" s="1026" t="s">
        <v>419</v>
      </c>
      <c r="M172" s="1027"/>
      <c r="N172" s="1028" t="s">
        <v>733</v>
      </c>
    </row>
    <row r="173" spans="1:14" ht="13.5" thickBot="1">
      <c r="A173" s="1020"/>
      <c r="B173" s="1021"/>
      <c r="C173" s="1022"/>
      <c r="D173" s="1023" t="s">
        <v>20</v>
      </c>
      <c r="E173" s="1024">
        <v>37.700000000000003</v>
      </c>
      <c r="F173" s="1024">
        <v>37.700000000000003</v>
      </c>
      <c r="G173" s="1024">
        <v>23.6</v>
      </c>
      <c r="H173" s="1024">
        <v>14.1</v>
      </c>
      <c r="I173" s="1022"/>
      <c r="J173" s="1025"/>
      <c r="K173" s="1026"/>
      <c r="L173" s="1026"/>
      <c r="M173" s="1027"/>
      <c r="N173" s="1028"/>
    </row>
    <row r="174" spans="1:14" ht="25.5">
      <c r="A174" s="1010" t="s">
        <v>692</v>
      </c>
      <c r="B174" s="1011" t="s">
        <v>693</v>
      </c>
      <c r="C174" s="1012" t="s">
        <v>437</v>
      </c>
      <c r="D174" s="1013"/>
      <c r="E174" s="1014">
        <f>SUM(E175:E177)</f>
        <v>52</v>
      </c>
      <c r="F174" s="1014">
        <f>SUM(F175:F177)</f>
        <v>52</v>
      </c>
      <c r="G174" s="1014">
        <f>SUM(G175:G177)</f>
        <v>13</v>
      </c>
      <c r="H174" s="1014">
        <f>SUM(H175:H177)</f>
        <v>39</v>
      </c>
      <c r="I174" s="1012" t="s">
        <v>694</v>
      </c>
      <c r="J174" s="1015" t="s">
        <v>417</v>
      </c>
      <c r="K174" s="1016" t="s">
        <v>462</v>
      </c>
      <c r="L174" s="1016" t="s">
        <v>462</v>
      </c>
      <c r="M174" s="1017"/>
      <c r="N174" s="1018" t="s">
        <v>695</v>
      </c>
    </row>
    <row r="175" spans="1:14" ht="25.5">
      <c r="A175" s="1020"/>
      <c r="B175" s="1021"/>
      <c r="C175" s="1022"/>
      <c r="D175" s="1023"/>
      <c r="E175" s="1024">
        <v>0</v>
      </c>
      <c r="F175" s="1024">
        <v>0</v>
      </c>
      <c r="G175" s="1024">
        <v>0</v>
      </c>
      <c r="H175" s="1024">
        <v>0</v>
      </c>
      <c r="I175" s="1022" t="s">
        <v>696</v>
      </c>
      <c r="J175" s="1025" t="s">
        <v>599</v>
      </c>
      <c r="K175" s="1026" t="s">
        <v>445</v>
      </c>
      <c r="L175" s="1026" t="s">
        <v>419</v>
      </c>
      <c r="M175" s="1027"/>
      <c r="N175" s="1028" t="s">
        <v>697</v>
      </c>
    </row>
    <row r="176" spans="1:14">
      <c r="A176" s="1020"/>
      <c r="B176" s="1021"/>
      <c r="C176" s="1022"/>
      <c r="D176" s="1023" t="s">
        <v>20</v>
      </c>
      <c r="E176" s="1024">
        <v>40</v>
      </c>
      <c r="F176" s="1024">
        <v>40</v>
      </c>
      <c r="G176" s="1024">
        <v>1</v>
      </c>
      <c r="H176" s="1024">
        <v>39</v>
      </c>
      <c r="I176" s="1022"/>
      <c r="J176" s="1025"/>
      <c r="K176" s="1026"/>
      <c r="L176" s="1026"/>
      <c r="M176" s="1027"/>
      <c r="N176" s="1028"/>
    </row>
    <row r="177" spans="1:14" ht="13.5" thickBot="1">
      <c r="A177" s="1020"/>
      <c r="B177" s="1021"/>
      <c r="C177" s="1022"/>
      <c r="D177" s="1023" t="s">
        <v>127</v>
      </c>
      <c r="E177" s="1024">
        <v>12</v>
      </c>
      <c r="F177" s="1024">
        <v>12</v>
      </c>
      <c r="G177" s="1024">
        <v>12</v>
      </c>
      <c r="H177" s="1024">
        <v>0</v>
      </c>
      <c r="I177" s="1022"/>
      <c r="J177" s="1025"/>
      <c r="K177" s="1026"/>
      <c r="L177" s="1026"/>
      <c r="M177" s="1027"/>
      <c r="N177" s="1028"/>
    </row>
    <row r="178" spans="1:14" ht="38.25">
      <c r="A178" s="1010" t="s">
        <v>698</v>
      </c>
      <c r="B178" s="1011" t="s">
        <v>155</v>
      </c>
      <c r="C178" s="1012" t="s">
        <v>437</v>
      </c>
      <c r="D178" s="1013"/>
      <c r="E178" s="1014">
        <f>SUM(E179:E179)</f>
        <v>15.3</v>
      </c>
      <c r="F178" s="1014">
        <f>SUM(F179:F179)</f>
        <v>15.3</v>
      </c>
      <c r="G178" s="1014">
        <f>SUM(G179:G179)</f>
        <v>15.3</v>
      </c>
      <c r="H178" s="1014">
        <f>SUM(H179:H179)</f>
        <v>0</v>
      </c>
      <c r="I178" s="1012" t="s">
        <v>699</v>
      </c>
      <c r="J178" s="1015" t="s">
        <v>599</v>
      </c>
      <c r="K178" s="1016" t="s">
        <v>600</v>
      </c>
      <c r="L178" s="1016" t="s">
        <v>419</v>
      </c>
      <c r="M178" s="1017"/>
      <c r="N178" s="1018" t="s">
        <v>734</v>
      </c>
    </row>
    <row r="179" spans="1:14" ht="13.5" thickBot="1">
      <c r="A179" s="1020"/>
      <c r="B179" s="1021"/>
      <c r="C179" s="1022"/>
      <c r="D179" s="1023" t="s">
        <v>127</v>
      </c>
      <c r="E179" s="1024">
        <v>15.3</v>
      </c>
      <c r="F179" s="1024">
        <v>15.3</v>
      </c>
      <c r="G179" s="1024">
        <v>15.3</v>
      </c>
      <c r="H179" s="1024">
        <v>0</v>
      </c>
      <c r="I179" s="1022"/>
      <c r="J179" s="1025"/>
      <c r="K179" s="1026"/>
      <c r="L179" s="1026"/>
      <c r="M179" s="1027"/>
      <c r="N179" s="1028"/>
    </row>
    <row r="180" spans="1:14" ht="26.25" thickBot="1">
      <c r="A180" s="1010" t="s">
        <v>700</v>
      </c>
      <c r="B180" s="1011" t="s">
        <v>701</v>
      </c>
      <c r="C180" s="1012" t="s">
        <v>437</v>
      </c>
      <c r="D180" s="1013" t="s">
        <v>127</v>
      </c>
      <c r="E180" s="1019">
        <v>191</v>
      </c>
      <c r="F180" s="1019">
        <v>191</v>
      </c>
      <c r="G180" s="1019">
        <v>156.6</v>
      </c>
      <c r="H180" s="1019">
        <v>34.4</v>
      </c>
      <c r="I180" s="1012" t="s">
        <v>702</v>
      </c>
      <c r="J180" s="1015" t="s">
        <v>599</v>
      </c>
      <c r="K180" s="1016" t="s">
        <v>703</v>
      </c>
      <c r="L180" s="1016" t="s">
        <v>419</v>
      </c>
      <c r="M180" s="1017" t="s">
        <v>704</v>
      </c>
      <c r="N180" s="1018" t="s">
        <v>735</v>
      </c>
    </row>
    <row r="181" spans="1:14" ht="26.25" thickBot="1">
      <c r="A181" s="1010" t="s">
        <v>705</v>
      </c>
      <c r="B181" s="1011" t="s">
        <v>706</v>
      </c>
      <c r="C181" s="1012" t="s">
        <v>437</v>
      </c>
      <c r="D181" s="1013" t="s">
        <v>20</v>
      </c>
      <c r="E181" s="1019">
        <v>18.8</v>
      </c>
      <c r="F181" s="1019">
        <v>3.8</v>
      </c>
      <c r="G181" s="1019">
        <v>2.7</v>
      </c>
      <c r="H181" s="1019">
        <v>1.1000000000000001</v>
      </c>
      <c r="I181" s="1012" t="s">
        <v>707</v>
      </c>
      <c r="J181" s="1015" t="s">
        <v>599</v>
      </c>
      <c r="K181" s="1016" t="s">
        <v>600</v>
      </c>
      <c r="L181" s="1016" t="s">
        <v>419</v>
      </c>
      <c r="M181" s="1017"/>
      <c r="N181" s="1018" t="s">
        <v>708</v>
      </c>
    </row>
    <row r="182" spans="1:14" ht="26.25" thickBot="1">
      <c r="A182" s="1029" t="s">
        <v>709</v>
      </c>
      <c r="B182" s="1030" t="s">
        <v>199</v>
      </c>
      <c r="C182" s="1031" t="s">
        <v>437</v>
      </c>
      <c r="D182" s="1032" t="s">
        <v>127</v>
      </c>
      <c r="E182" s="1033">
        <v>2</v>
      </c>
      <c r="F182" s="1033">
        <v>2</v>
      </c>
      <c r="G182" s="1033">
        <v>0</v>
      </c>
      <c r="H182" s="1033">
        <v>2</v>
      </c>
      <c r="I182" s="1031" t="s">
        <v>710</v>
      </c>
      <c r="J182" s="1034" t="s">
        <v>599</v>
      </c>
      <c r="K182" s="1035" t="s">
        <v>419</v>
      </c>
      <c r="L182" s="1035" t="s">
        <v>419</v>
      </c>
      <c r="M182" s="1036"/>
      <c r="N182" s="1037" t="s">
        <v>711</v>
      </c>
    </row>
    <row r="183" spans="1:14">
      <c r="A183" s="1038"/>
      <c r="B183" s="1038"/>
      <c r="C183" s="1039"/>
      <c r="D183" s="1040"/>
      <c r="E183" s="1041"/>
      <c r="F183" s="1041"/>
      <c r="G183" s="1041"/>
      <c r="H183" s="1041"/>
      <c r="I183" s="1039"/>
      <c r="J183" s="1042"/>
      <c r="K183" s="1043"/>
      <c r="L183" s="1043"/>
      <c r="M183" s="1044"/>
      <c r="N183" s="1039"/>
    </row>
    <row r="184" spans="1:14">
      <c r="A184" s="1038"/>
      <c r="B184" s="1038"/>
      <c r="C184" s="1039"/>
      <c r="D184" s="1040"/>
      <c r="E184" s="1041"/>
      <c r="F184" s="1041"/>
      <c r="G184" s="1041"/>
      <c r="H184" s="1041"/>
      <c r="I184" s="1039"/>
      <c r="J184" s="1042"/>
      <c r="K184" s="1043"/>
      <c r="L184" s="1043"/>
      <c r="M184" s="1044"/>
      <c r="N184" s="1039"/>
    </row>
    <row r="185" spans="1:14">
      <c r="A185" s="1038"/>
      <c r="B185" s="1038"/>
      <c r="C185" s="1039"/>
      <c r="D185" s="1040"/>
      <c r="E185" s="1041"/>
      <c r="F185" s="1041"/>
      <c r="G185" s="1041"/>
      <c r="H185" s="1041"/>
      <c r="I185" s="1039"/>
      <c r="J185" s="1042"/>
      <c r="K185" s="1043"/>
      <c r="L185" s="1043"/>
      <c r="M185" s="1044"/>
      <c r="N185" s="1039"/>
    </row>
    <row r="186" spans="1:14">
      <c r="A186" s="1038"/>
      <c r="B186" s="1038"/>
      <c r="C186" s="1039"/>
      <c r="D186" s="1040"/>
      <c r="E186" s="1041"/>
      <c r="F186" s="1041"/>
      <c r="G186" s="1041"/>
      <c r="H186" s="1041"/>
      <c r="I186" s="1039"/>
      <c r="J186" s="1042"/>
      <c r="K186" s="1043"/>
      <c r="L186" s="1043"/>
      <c r="M186" s="1044"/>
      <c r="N186" s="1039"/>
    </row>
    <row r="187" spans="1:14">
      <c r="A187" s="1038"/>
      <c r="B187" s="1038"/>
      <c r="C187" s="1039"/>
      <c r="D187" s="1040"/>
      <c r="E187" s="1041"/>
      <c r="F187" s="1041"/>
      <c r="G187" s="1041"/>
      <c r="H187" s="1041"/>
      <c r="I187" s="1039"/>
      <c r="J187" s="1042"/>
      <c r="K187" s="1043"/>
      <c r="L187" s="1043"/>
      <c r="M187" s="1044"/>
      <c r="N187" s="1039"/>
    </row>
    <row r="188" spans="1:14" ht="48">
      <c r="A188" s="973" t="s">
        <v>298</v>
      </c>
      <c r="B188" s="973" t="s">
        <v>299</v>
      </c>
      <c r="C188" s="973" t="s">
        <v>302</v>
      </c>
      <c r="D188" s="974" t="s">
        <v>303</v>
      </c>
      <c r="E188" s="974" t="s">
        <v>304</v>
      </c>
      <c r="F188" s="974" t="s">
        <v>305</v>
      </c>
    </row>
    <row r="189" spans="1:14">
      <c r="A189" s="1021" t="s">
        <v>167</v>
      </c>
      <c r="B189" s="1021" t="s">
        <v>712</v>
      </c>
      <c r="C189" s="1047">
        <v>0</v>
      </c>
      <c r="D189" s="1048">
        <v>12.6</v>
      </c>
      <c r="E189" s="1024">
        <v>0.8</v>
      </c>
      <c r="F189" s="1024">
        <v>11.9</v>
      </c>
    </row>
    <row r="190" spans="1:14">
      <c r="A190" s="1021" t="s">
        <v>275</v>
      </c>
      <c r="B190" s="1021" t="s">
        <v>713</v>
      </c>
      <c r="C190" s="1047">
        <v>0</v>
      </c>
      <c r="D190" s="1048">
        <v>20</v>
      </c>
      <c r="E190" s="1024">
        <v>4.2</v>
      </c>
      <c r="F190" s="1024">
        <v>15.8</v>
      </c>
    </row>
    <row r="191" spans="1:14" ht="25.5">
      <c r="A191" s="1021" t="s">
        <v>127</v>
      </c>
      <c r="B191" s="1021" t="s">
        <v>714</v>
      </c>
      <c r="C191" s="1047">
        <v>453.9</v>
      </c>
      <c r="D191" s="1048">
        <v>456.1</v>
      </c>
      <c r="E191" s="1024">
        <v>280.2</v>
      </c>
      <c r="F191" s="1024">
        <v>175.9</v>
      </c>
    </row>
    <row r="192" spans="1:14">
      <c r="A192" s="1021" t="s">
        <v>24</v>
      </c>
      <c r="B192" s="1021" t="s">
        <v>715</v>
      </c>
      <c r="C192" s="1047">
        <v>150</v>
      </c>
      <c r="D192" s="1048">
        <v>150</v>
      </c>
      <c r="E192" s="1024">
        <v>66.400000000000006</v>
      </c>
      <c r="F192" s="1024">
        <v>83.6</v>
      </c>
    </row>
    <row r="193" spans="1:6">
      <c r="A193" s="1021" t="s">
        <v>25</v>
      </c>
      <c r="B193" s="1021" t="s">
        <v>716</v>
      </c>
      <c r="C193" s="1047">
        <v>158.5</v>
      </c>
      <c r="D193" s="1048">
        <v>158.5</v>
      </c>
      <c r="E193" s="1024">
        <v>0</v>
      </c>
      <c r="F193" s="1024">
        <v>158.5</v>
      </c>
    </row>
    <row r="194" spans="1:6">
      <c r="A194" s="1021" t="s">
        <v>21</v>
      </c>
      <c r="B194" s="1021" t="s">
        <v>717</v>
      </c>
      <c r="C194" s="1047">
        <v>518.20000000000005</v>
      </c>
      <c r="D194" s="1048">
        <v>629</v>
      </c>
      <c r="E194" s="1024">
        <v>572.5</v>
      </c>
      <c r="F194" s="1024">
        <v>56.5</v>
      </c>
    </row>
    <row r="195" spans="1:6">
      <c r="A195" s="1021" t="s">
        <v>43</v>
      </c>
      <c r="B195" s="1021" t="s">
        <v>718</v>
      </c>
      <c r="C195" s="1047">
        <v>10</v>
      </c>
      <c r="D195" s="1048">
        <v>10</v>
      </c>
      <c r="E195" s="1024">
        <v>9.9</v>
      </c>
      <c r="F195" s="1024">
        <v>0.1</v>
      </c>
    </row>
    <row r="196" spans="1:6">
      <c r="A196" s="1021" t="s">
        <v>44</v>
      </c>
      <c r="B196" s="1021" t="s">
        <v>719</v>
      </c>
      <c r="C196" s="1047">
        <v>22.3</v>
      </c>
      <c r="D196" s="1048">
        <v>22.3</v>
      </c>
      <c r="E196" s="1024">
        <v>22.3</v>
      </c>
      <c r="F196" s="1024">
        <v>0</v>
      </c>
    </row>
    <row r="197" spans="1:6">
      <c r="A197" s="1021" t="s">
        <v>530</v>
      </c>
      <c r="B197" s="1021" t="s">
        <v>720</v>
      </c>
      <c r="C197" s="1047">
        <v>0</v>
      </c>
      <c r="D197" s="1048">
        <v>10.7</v>
      </c>
      <c r="E197" s="1024">
        <v>10.7</v>
      </c>
      <c r="F197" s="1024">
        <v>0</v>
      </c>
    </row>
    <row r="198" spans="1:6">
      <c r="A198" s="1021" t="s">
        <v>732</v>
      </c>
      <c r="B198" s="1021" t="s">
        <v>736</v>
      </c>
      <c r="C198" s="1047">
        <v>0</v>
      </c>
      <c r="D198" s="1048">
        <v>0.2</v>
      </c>
      <c r="E198" s="1024">
        <v>0</v>
      </c>
      <c r="F198" s="1024">
        <v>0.2</v>
      </c>
    </row>
    <row r="199" spans="1:6">
      <c r="A199" s="1021" t="s">
        <v>20</v>
      </c>
      <c r="B199" s="1021" t="s">
        <v>721</v>
      </c>
      <c r="C199" s="1047">
        <v>13650.2</v>
      </c>
      <c r="D199" s="1048">
        <v>13644.4</v>
      </c>
      <c r="E199" s="1024">
        <v>13058.6</v>
      </c>
      <c r="F199" s="1024">
        <v>585.79999999999995</v>
      </c>
    </row>
    <row r="200" spans="1:6">
      <c r="A200" s="1049"/>
      <c r="B200" s="1050" t="s">
        <v>97</v>
      </c>
      <c r="C200" s="1051">
        <f>SUM(C189:C199)</f>
        <v>14963.1</v>
      </c>
      <c r="D200" s="1052">
        <f>SUM(D189:D199)</f>
        <v>15113.8</v>
      </c>
      <c r="E200" s="1053">
        <f>SUM(E189:E199)</f>
        <v>14025.6</v>
      </c>
      <c r="F200" s="1053">
        <f>SUM(F189:F199)</f>
        <v>1088.3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81"/>
  <sheetViews>
    <sheetView view="pageBreakPreview" topLeftCell="A138" zoomScaleNormal="100" zoomScaleSheetLayoutView="100" workbookViewId="0">
      <selection activeCell="N147" sqref="N147:O147"/>
    </sheetView>
  </sheetViews>
  <sheetFormatPr defaultColWidth="9.140625" defaultRowHeight="15"/>
  <cols>
    <col min="1" max="1" width="3" style="87" customWidth="1"/>
    <col min="2" max="2" width="2.7109375" style="87" customWidth="1"/>
    <col min="3" max="3" width="3" style="87" customWidth="1"/>
    <col min="4" max="4" width="2.7109375" style="87" customWidth="1"/>
    <col min="5" max="5" width="34" style="87" customWidth="1"/>
    <col min="6" max="6" width="3.140625" style="87" customWidth="1"/>
    <col min="7" max="7" width="4.28515625" style="87" customWidth="1"/>
    <col min="8" max="8" width="10.85546875" style="87" customWidth="1"/>
    <col min="9" max="9" width="9.140625" style="87"/>
    <col min="10" max="11" width="8.7109375" style="87" customWidth="1"/>
    <col min="12" max="13" width="8.5703125" style="87" customWidth="1"/>
    <col min="14" max="14" width="36.5703125" style="87" customWidth="1"/>
    <col min="15" max="18" width="4.5703125" style="87" customWidth="1"/>
    <col min="19" max="19" width="9.140625" style="554"/>
    <col min="20" max="16384" width="9.140625" style="87"/>
  </cols>
  <sheetData>
    <row r="1" spans="1:19" ht="14.25" customHeight="1">
      <c r="N1" s="1606" t="s">
        <v>130</v>
      </c>
      <c r="O1" s="1607"/>
      <c r="P1" s="1607"/>
      <c r="Q1" s="1607"/>
      <c r="R1" s="1607"/>
    </row>
    <row r="2" spans="1:19" s="1" customFormat="1" ht="15" customHeight="1">
      <c r="A2" s="312"/>
      <c r="B2" s="312"/>
      <c r="C2" s="312"/>
      <c r="D2" s="312"/>
      <c r="E2" s="1591" t="s">
        <v>229</v>
      </c>
      <c r="F2" s="1591"/>
      <c r="G2" s="1591"/>
      <c r="H2" s="1591"/>
      <c r="I2" s="1591"/>
      <c r="J2" s="1591"/>
      <c r="K2" s="1591"/>
      <c r="L2" s="1591"/>
      <c r="M2" s="1591"/>
      <c r="N2" s="1591"/>
      <c r="O2" s="312"/>
      <c r="P2" s="312"/>
      <c r="Q2" s="312"/>
      <c r="R2" s="312"/>
      <c r="S2" s="345"/>
    </row>
    <row r="3" spans="1:19" s="1" customFormat="1">
      <c r="A3" s="312"/>
      <c r="B3" s="312"/>
      <c r="C3" s="312"/>
      <c r="D3" s="312"/>
      <c r="E3" s="1366" t="s">
        <v>123</v>
      </c>
      <c r="F3" s="1633"/>
      <c r="G3" s="1633"/>
      <c r="H3" s="1633"/>
      <c r="I3" s="1633"/>
      <c r="J3" s="1633"/>
      <c r="K3" s="1633"/>
      <c r="L3" s="1633"/>
      <c r="M3" s="1633"/>
      <c r="N3" s="1633"/>
      <c r="O3" s="312"/>
      <c r="P3" s="312"/>
      <c r="Q3" s="312"/>
      <c r="R3" s="312"/>
      <c r="S3" s="345"/>
    </row>
    <row r="4" spans="1:19" s="1" customFormat="1" ht="15" customHeight="1">
      <c r="A4" s="1608" t="s">
        <v>121</v>
      </c>
      <c r="B4" s="1608"/>
      <c r="C4" s="1608"/>
      <c r="D4" s="1608"/>
      <c r="E4" s="1608"/>
      <c r="F4" s="1608"/>
      <c r="G4" s="1608"/>
      <c r="H4" s="1608"/>
      <c r="I4" s="1608"/>
      <c r="J4" s="1608"/>
      <c r="K4" s="1608"/>
      <c r="L4" s="1608"/>
      <c r="M4" s="1608"/>
      <c r="N4" s="1608"/>
      <c r="O4" s="1608"/>
      <c r="P4" s="1608"/>
      <c r="Q4" s="1608"/>
      <c r="R4" s="1608"/>
      <c r="S4" s="345"/>
    </row>
    <row r="5" spans="1:19" s="1" customFormat="1" ht="13.5" thickBot="1">
      <c r="F5" s="2"/>
      <c r="G5" s="3"/>
      <c r="N5" s="1609" t="s">
        <v>122</v>
      </c>
      <c r="O5" s="1609"/>
      <c r="P5" s="1609"/>
      <c r="Q5" s="1609"/>
      <c r="R5" s="1609"/>
      <c r="S5" s="345"/>
    </row>
    <row r="6" spans="1:19" s="54" customFormat="1" ht="50.25" customHeight="1">
      <c r="A6" s="1610" t="s">
        <v>0</v>
      </c>
      <c r="B6" s="1613" t="s">
        <v>1</v>
      </c>
      <c r="C6" s="1613" t="s">
        <v>2</v>
      </c>
      <c r="D6" s="1613" t="s">
        <v>3</v>
      </c>
      <c r="E6" s="1616" t="s">
        <v>4</v>
      </c>
      <c r="F6" s="1619" t="s">
        <v>5</v>
      </c>
      <c r="G6" s="1640" t="s">
        <v>6</v>
      </c>
      <c r="H6" s="1637" t="s">
        <v>7</v>
      </c>
      <c r="I6" s="1627" t="s">
        <v>8</v>
      </c>
      <c r="J6" s="1630" t="s">
        <v>200</v>
      </c>
      <c r="K6" s="1630" t="s">
        <v>232</v>
      </c>
      <c r="L6" s="1630" t="s">
        <v>158</v>
      </c>
      <c r="M6" s="1630" t="s">
        <v>227</v>
      </c>
      <c r="N6" s="1622" t="s">
        <v>9</v>
      </c>
      <c r="O6" s="1623"/>
      <c r="P6" s="1623"/>
      <c r="Q6" s="1623"/>
      <c r="R6" s="1624"/>
      <c r="S6" s="43"/>
    </row>
    <row r="7" spans="1:19" s="54" customFormat="1" ht="18.75" customHeight="1">
      <c r="A7" s="1611"/>
      <c r="B7" s="1614"/>
      <c r="C7" s="1614"/>
      <c r="D7" s="1614"/>
      <c r="E7" s="1617"/>
      <c r="F7" s="1620"/>
      <c r="G7" s="1641"/>
      <c r="H7" s="1638"/>
      <c r="I7" s="1628"/>
      <c r="J7" s="1643"/>
      <c r="K7" s="1631"/>
      <c r="L7" s="1631"/>
      <c r="M7" s="1631"/>
      <c r="N7" s="1625" t="s">
        <v>4</v>
      </c>
      <c r="O7" s="1634" t="s">
        <v>10</v>
      </c>
      <c r="P7" s="1635"/>
      <c r="Q7" s="1635"/>
      <c r="R7" s="1636"/>
      <c r="S7" s="43"/>
    </row>
    <row r="8" spans="1:19" s="54" customFormat="1" ht="72.75" customHeight="1" thickBot="1">
      <c r="A8" s="1612"/>
      <c r="B8" s="1615"/>
      <c r="C8" s="1615"/>
      <c r="D8" s="1615"/>
      <c r="E8" s="1618"/>
      <c r="F8" s="1621"/>
      <c r="G8" s="1642"/>
      <c r="H8" s="1639"/>
      <c r="I8" s="1629"/>
      <c r="J8" s="1644"/>
      <c r="K8" s="1632"/>
      <c r="L8" s="1632"/>
      <c r="M8" s="1632"/>
      <c r="N8" s="1626"/>
      <c r="O8" s="174" t="s">
        <v>128</v>
      </c>
      <c r="P8" s="174" t="s">
        <v>129</v>
      </c>
      <c r="Q8" s="174" t="s">
        <v>159</v>
      </c>
      <c r="R8" s="175" t="s">
        <v>228</v>
      </c>
      <c r="S8" s="43"/>
    </row>
    <row r="9" spans="1:19" s="1" customFormat="1" ht="15.75" customHeight="1">
      <c r="A9" s="1382" t="s">
        <v>11</v>
      </c>
      <c r="B9" s="1383"/>
      <c r="C9" s="1383"/>
      <c r="D9" s="1383"/>
      <c r="E9" s="1383"/>
      <c r="F9" s="1383"/>
      <c r="G9" s="1383"/>
      <c r="H9" s="1383"/>
      <c r="I9" s="1383"/>
      <c r="J9" s="1383"/>
      <c r="K9" s="1383"/>
      <c r="L9" s="1383"/>
      <c r="M9" s="1383"/>
      <c r="N9" s="1383"/>
      <c r="O9" s="1383"/>
      <c r="P9" s="1383"/>
      <c r="Q9" s="1383"/>
      <c r="R9" s="1384"/>
      <c r="S9" s="345"/>
    </row>
    <row r="10" spans="1:19" s="1" customFormat="1" ht="14.25" customHeight="1">
      <c r="A10" s="1317" t="s">
        <v>12</v>
      </c>
      <c r="B10" s="1318"/>
      <c r="C10" s="1318"/>
      <c r="D10" s="1318"/>
      <c r="E10" s="1318"/>
      <c r="F10" s="1318"/>
      <c r="G10" s="1318"/>
      <c r="H10" s="1318"/>
      <c r="I10" s="1318"/>
      <c r="J10" s="1318"/>
      <c r="K10" s="1318"/>
      <c r="L10" s="1318"/>
      <c r="M10" s="1318"/>
      <c r="N10" s="1318"/>
      <c r="O10" s="1318"/>
      <c r="P10" s="1318"/>
      <c r="Q10" s="1318"/>
      <c r="R10" s="1319"/>
      <c r="S10" s="345"/>
    </row>
    <row r="11" spans="1:19" s="1" customFormat="1" ht="14.25" customHeight="1">
      <c r="A11" s="5" t="s">
        <v>13</v>
      </c>
      <c r="B11" s="1576" t="s">
        <v>14</v>
      </c>
      <c r="C11" s="1576"/>
      <c r="D11" s="1576"/>
      <c r="E11" s="1576"/>
      <c r="F11" s="1576"/>
      <c r="G11" s="1576"/>
      <c r="H11" s="1576"/>
      <c r="I11" s="1576"/>
      <c r="J11" s="1576"/>
      <c r="K11" s="1576"/>
      <c r="L11" s="1576"/>
      <c r="M11" s="1576"/>
      <c r="N11" s="1576"/>
      <c r="O11" s="1576"/>
      <c r="P11" s="1576"/>
      <c r="Q11" s="1576"/>
      <c r="R11" s="1577"/>
      <c r="S11" s="345"/>
    </row>
    <row r="12" spans="1:19" s="1" customFormat="1" ht="15.75" customHeight="1">
      <c r="A12" s="6" t="s">
        <v>13</v>
      </c>
      <c r="B12" s="7" t="s">
        <v>13</v>
      </c>
      <c r="C12" s="1280" t="s">
        <v>15</v>
      </c>
      <c r="D12" s="1281"/>
      <c r="E12" s="1281"/>
      <c r="F12" s="1281"/>
      <c r="G12" s="1281"/>
      <c r="H12" s="1281"/>
      <c r="I12" s="1281"/>
      <c r="J12" s="1281"/>
      <c r="K12" s="1281"/>
      <c r="L12" s="1281"/>
      <c r="M12" s="1281"/>
      <c r="N12" s="1281"/>
      <c r="O12" s="1281"/>
      <c r="P12" s="1281"/>
      <c r="Q12" s="1281"/>
      <c r="R12" s="1282"/>
      <c r="S12" s="345"/>
    </row>
    <row r="13" spans="1:19" s="4" customFormat="1" ht="25.5" customHeight="1">
      <c r="A13" s="8" t="s">
        <v>13</v>
      </c>
      <c r="B13" s="9" t="s">
        <v>13</v>
      </c>
      <c r="C13" s="419" t="s">
        <v>13</v>
      </c>
      <c r="D13" s="612"/>
      <c r="E13" s="85" t="s">
        <v>16</v>
      </c>
      <c r="F13" s="10"/>
      <c r="G13" s="76"/>
      <c r="H13" s="141"/>
      <c r="I13" s="114"/>
      <c r="J13" s="301"/>
      <c r="K13" s="301"/>
      <c r="L13" s="302"/>
      <c r="M13" s="302"/>
      <c r="N13" s="633"/>
      <c r="O13" s="722"/>
      <c r="P13" s="723"/>
      <c r="Q13" s="723"/>
      <c r="R13" s="272"/>
      <c r="S13" s="31"/>
    </row>
    <row r="14" spans="1:19" s="4" customFormat="1" ht="15.6" customHeight="1">
      <c r="A14" s="11"/>
      <c r="B14" s="12"/>
      <c r="C14" s="420"/>
      <c r="D14" s="591" t="s">
        <v>13</v>
      </c>
      <c r="E14" s="1298" t="s">
        <v>17</v>
      </c>
      <c r="F14" s="1568"/>
      <c r="G14" s="1303" t="s">
        <v>18</v>
      </c>
      <c r="H14" s="1542" t="s">
        <v>19</v>
      </c>
      <c r="I14" s="26" t="s">
        <v>20</v>
      </c>
      <c r="J14" s="696">
        <v>5807.4</v>
      </c>
      <c r="K14" s="109">
        <f>5668.4+123.3+0.4</f>
        <v>5792.0999999999995</v>
      </c>
      <c r="L14" s="109">
        <f>5668.4+123.3+0.4</f>
        <v>5792.0999999999995</v>
      </c>
      <c r="M14" s="698"/>
      <c r="N14" s="1492" t="s">
        <v>125</v>
      </c>
      <c r="O14" s="194">
        <v>456.5</v>
      </c>
      <c r="P14" s="193">
        <v>456.5</v>
      </c>
      <c r="Q14" s="213">
        <v>456.5</v>
      </c>
      <c r="R14" s="245">
        <v>456.5</v>
      </c>
      <c r="S14" s="31"/>
    </row>
    <row r="15" spans="1:19" s="4" customFormat="1" ht="15.6" customHeight="1">
      <c r="A15" s="13"/>
      <c r="B15" s="14"/>
      <c r="C15" s="421"/>
      <c r="D15" s="592"/>
      <c r="E15" s="1300"/>
      <c r="F15" s="1569"/>
      <c r="G15" s="1304"/>
      <c r="H15" s="1543"/>
      <c r="I15" s="19" t="s">
        <v>43</v>
      </c>
      <c r="J15" s="93">
        <v>6</v>
      </c>
      <c r="K15" s="93">
        <v>6</v>
      </c>
      <c r="L15" s="110">
        <v>6</v>
      </c>
      <c r="M15" s="110"/>
      <c r="N15" s="1290"/>
      <c r="O15" s="214"/>
      <c r="P15" s="214"/>
      <c r="Q15" s="194"/>
      <c r="R15" s="273"/>
      <c r="S15" s="31"/>
    </row>
    <row r="16" spans="1:19" s="4" customFormat="1" ht="15.6" customHeight="1">
      <c r="A16" s="13"/>
      <c r="B16" s="15"/>
      <c r="C16" s="422"/>
      <c r="D16" s="692"/>
      <c r="E16" s="694"/>
      <c r="F16" s="695"/>
      <c r="G16" s="692"/>
      <c r="H16" s="1543"/>
      <c r="I16" s="19" t="s">
        <v>44</v>
      </c>
      <c r="J16" s="93">
        <v>25.9</v>
      </c>
      <c r="K16" s="93"/>
      <c r="L16" s="110"/>
      <c r="M16" s="110"/>
      <c r="N16" s="693"/>
      <c r="O16" s="214"/>
      <c r="P16" s="214"/>
      <c r="Q16" s="194"/>
      <c r="R16" s="273"/>
      <c r="S16" s="31"/>
    </row>
    <row r="17" spans="1:25" s="4" customFormat="1" ht="15.6" customHeight="1">
      <c r="A17" s="13"/>
      <c r="B17" s="15"/>
      <c r="C17" s="422"/>
      <c r="D17" s="592"/>
      <c r="E17" s="566"/>
      <c r="F17" s="590"/>
      <c r="G17" s="592"/>
      <c r="H17" s="1544"/>
      <c r="I17" s="16" t="s">
        <v>21</v>
      </c>
      <c r="J17" s="697">
        <f>618.9+29.5</f>
        <v>648.4</v>
      </c>
      <c r="K17" s="176">
        <v>618.9</v>
      </c>
      <c r="L17" s="115">
        <v>618.9</v>
      </c>
      <c r="M17" s="699"/>
      <c r="N17" s="102"/>
      <c r="O17" s="215"/>
      <c r="P17" s="215"/>
      <c r="Q17" s="195"/>
      <c r="R17" s="274"/>
      <c r="S17" s="31"/>
    </row>
    <row r="18" spans="1:25" s="1" customFormat="1" ht="15.6" customHeight="1">
      <c r="A18" s="1340"/>
      <c r="B18" s="1474"/>
      <c r="C18" s="1570"/>
      <c r="D18" s="591" t="s">
        <v>22</v>
      </c>
      <c r="E18" s="1298" t="s">
        <v>166</v>
      </c>
      <c r="F18" s="488"/>
      <c r="G18" s="591" t="s">
        <v>18</v>
      </c>
      <c r="H18" s="568" t="s">
        <v>23</v>
      </c>
      <c r="I18" s="17" t="s">
        <v>20</v>
      </c>
      <c r="J18" s="123">
        <v>782.7</v>
      </c>
      <c r="K18" s="123">
        <f>593.2+27.5</f>
        <v>620.70000000000005</v>
      </c>
      <c r="L18" s="109">
        <f>593.2+27.5</f>
        <v>620.70000000000005</v>
      </c>
      <c r="M18" s="109"/>
      <c r="N18" s="630"/>
      <c r="O18" s="226"/>
      <c r="P18" s="226"/>
      <c r="Q18" s="207"/>
      <c r="R18" s="252"/>
      <c r="S18" s="345"/>
    </row>
    <row r="19" spans="1:25" s="1" customFormat="1" ht="15.6" customHeight="1">
      <c r="A19" s="1340"/>
      <c r="B19" s="1474"/>
      <c r="C19" s="1570"/>
      <c r="D19" s="592"/>
      <c r="E19" s="1580"/>
      <c r="F19" s="534"/>
      <c r="G19" s="592"/>
      <c r="H19" s="565"/>
      <c r="I19" s="19" t="s">
        <v>24</v>
      </c>
      <c r="J19" s="93">
        <v>3.3</v>
      </c>
      <c r="K19" s="110"/>
      <c r="L19" s="110"/>
      <c r="M19" s="110"/>
      <c r="N19" s="627"/>
      <c r="O19" s="550"/>
      <c r="P19" s="550"/>
      <c r="Q19" s="585"/>
      <c r="R19" s="624"/>
      <c r="S19" s="345"/>
    </row>
    <row r="20" spans="1:25" s="1" customFormat="1" ht="15.6" customHeight="1">
      <c r="A20" s="1340"/>
      <c r="B20" s="1474"/>
      <c r="C20" s="1570"/>
      <c r="D20" s="592"/>
      <c r="E20" s="1580"/>
      <c r="F20" s="534"/>
      <c r="G20" s="592"/>
      <c r="H20" s="565"/>
      <c r="I20" s="19" t="s">
        <v>25</v>
      </c>
      <c r="J20" s="93">
        <v>0.1</v>
      </c>
      <c r="K20" s="110"/>
      <c r="L20" s="110"/>
      <c r="M20" s="110"/>
      <c r="N20" s="627"/>
      <c r="O20" s="550"/>
      <c r="P20" s="550"/>
      <c r="Q20" s="585"/>
      <c r="R20" s="624"/>
      <c r="S20" s="345"/>
    </row>
    <row r="21" spans="1:25" s="1" customFormat="1" ht="15.6" customHeight="1">
      <c r="A21" s="1340"/>
      <c r="B21" s="1474"/>
      <c r="C21" s="1570"/>
      <c r="D21" s="592"/>
      <c r="E21" s="1580"/>
      <c r="F21" s="534"/>
      <c r="G21" s="592"/>
      <c r="H21" s="565"/>
      <c r="I21" s="19" t="s">
        <v>127</v>
      </c>
      <c r="J21" s="93">
        <v>12.4</v>
      </c>
      <c r="K21" s="110"/>
      <c r="L21" s="110"/>
      <c r="M21" s="110"/>
      <c r="N21" s="559"/>
      <c r="O21" s="550"/>
      <c r="P21" s="550"/>
      <c r="Q21" s="585"/>
      <c r="R21" s="624"/>
      <c r="S21" s="345"/>
    </row>
    <row r="22" spans="1:25" s="1" customFormat="1" ht="15.95" customHeight="1">
      <c r="A22" s="1340"/>
      <c r="B22" s="1474"/>
      <c r="C22" s="1570"/>
      <c r="D22" s="612"/>
      <c r="E22" s="1580"/>
      <c r="F22" s="534"/>
      <c r="G22" s="592"/>
      <c r="H22" s="565"/>
      <c r="I22" s="16"/>
      <c r="J22" s="93"/>
      <c r="K22" s="93"/>
      <c r="L22" s="110"/>
      <c r="M22" s="110"/>
      <c r="N22" s="541" t="s">
        <v>204</v>
      </c>
      <c r="O22" s="634"/>
      <c r="P22" s="221">
        <v>3</v>
      </c>
      <c r="Q22" s="364">
        <v>2</v>
      </c>
      <c r="R22" s="354">
        <v>2</v>
      </c>
      <c r="S22" s="345"/>
    </row>
    <row r="23" spans="1:25" s="1" customFormat="1" ht="27" customHeight="1">
      <c r="A23" s="1340"/>
      <c r="B23" s="1474"/>
      <c r="C23" s="1570"/>
      <c r="D23" s="592"/>
      <c r="E23" s="566"/>
      <c r="F23" s="534"/>
      <c r="G23" s="592"/>
      <c r="H23" s="565"/>
      <c r="I23" s="19"/>
      <c r="J23" s="110"/>
      <c r="K23" s="181"/>
      <c r="L23" s="181"/>
      <c r="M23" s="181"/>
      <c r="N23" s="541" t="s">
        <v>225</v>
      </c>
      <c r="O23" s="202">
        <v>320</v>
      </c>
      <c r="P23" s="221">
        <v>320</v>
      </c>
      <c r="Q23" s="364">
        <v>320</v>
      </c>
      <c r="R23" s="354">
        <v>320</v>
      </c>
      <c r="S23" s="345"/>
      <c r="T23" s="307"/>
      <c r="U23" s="307"/>
      <c r="V23" s="307"/>
      <c r="W23" s="307"/>
      <c r="X23" s="678"/>
      <c r="Y23" s="678"/>
    </row>
    <row r="24" spans="1:25" s="1" customFormat="1" ht="18" customHeight="1">
      <c r="A24" s="1340"/>
      <c r="B24" s="1474"/>
      <c r="C24" s="1570"/>
      <c r="D24" s="612"/>
      <c r="E24" s="566"/>
      <c r="F24" s="534"/>
      <c r="G24" s="592"/>
      <c r="H24" s="565"/>
      <c r="I24" s="19"/>
      <c r="J24" s="110"/>
      <c r="K24" s="181"/>
      <c r="L24" s="110"/>
      <c r="M24" s="110"/>
      <c r="N24" s="341" t="s">
        <v>112</v>
      </c>
      <c r="O24" s="217">
        <v>21</v>
      </c>
      <c r="P24" s="217">
        <v>21</v>
      </c>
      <c r="Q24" s="360">
        <v>21</v>
      </c>
      <c r="R24" s="359">
        <v>21</v>
      </c>
      <c r="S24" s="345"/>
    </row>
    <row r="25" spans="1:25" s="1" customFormat="1" ht="16.5" customHeight="1">
      <c r="A25" s="1340"/>
      <c r="B25" s="1474"/>
      <c r="C25" s="1570"/>
      <c r="D25" s="592"/>
      <c r="E25" s="566"/>
      <c r="F25" s="534"/>
      <c r="G25" s="592"/>
      <c r="H25" s="565"/>
      <c r="I25" s="19"/>
      <c r="J25" s="110"/>
      <c r="K25" s="181"/>
      <c r="L25" s="110"/>
      <c r="M25" s="110"/>
      <c r="N25" s="490" t="s">
        <v>205</v>
      </c>
      <c r="O25" s="197"/>
      <c r="P25" s="217">
        <v>1</v>
      </c>
      <c r="Q25" s="360"/>
      <c r="R25" s="359"/>
    </row>
    <row r="26" spans="1:25" s="1" customFormat="1" ht="27.75" customHeight="1">
      <c r="A26" s="573"/>
      <c r="B26" s="575"/>
      <c r="C26" s="614"/>
      <c r="D26" s="594"/>
      <c r="E26" s="566"/>
      <c r="F26" s="492"/>
      <c r="G26" s="592"/>
      <c r="H26" s="565"/>
      <c r="I26" s="19"/>
      <c r="J26" s="115"/>
      <c r="K26" s="182"/>
      <c r="L26" s="115"/>
      <c r="M26" s="115"/>
      <c r="N26" s="324" t="s">
        <v>178</v>
      </c>
      <c r="O26" s="217"/>
      <c r="P26" s="760" t="s">
        <v>230</v>
      </c>
      <c r="Q26" s="761" t="s">
        <v>230</v>
      </c>
      <c r="R26" s="762" t="s">
        <v>230</v>
      </c>
      <c r="S26" s="345"/>
    </row>
    <row r="27" spans="1:25" s="1" customFormat="1" ht="19.5" customHeight="1">
      <c r="A27" s="23"/>
      <c r="B27" s="578"/>
      <c r="C27" s="614"/>
      <c r="D27" s="418" t="s">
        <v>26</v>
      </c>
      <c r="E27" s="1563" t="s">
        <v>177</v>
      </c>
      <c r="F27" s="476"/>
      <c r="G27" s="591" t="s">
        <v>18</v>
      </c>
      <c r="H27" s="1540" t="s">
        <v>46</v>
      </c>
      <c r="I27" s="477" t="s">
        <v>20</v>
      </c>
      <c r="J27" s="718">
        <v>70.2</v>
      </c>
      <c r="K27" s="314">
        <v>67.7</v>
      </c>
      <c r="L27" s="314">
        <v>67.7</v>
      </c>
      <c r="M27" s="314"/>
      <c r="N27" s="1559" t="s">
        <v>142</v>
      </c>
      <c r="O27" s="1527" t="s">
        <v>102</v>
      </c>
      <c r="P27" s="1536" t="s">
        <v>102</v>
      </c>
      <c r="Q27" s="1536" t="s">
        <v>102</v>
      </c>
      <c r="R27" s="1593" t="s">
        <v>102</v>
      </c>
      <c r="S27" s="345"/>
    </row>
    <row r="28" spans="1:25" s="1" customFormat="1" ht="24" customHeight="1">
      <c r="A28" s="23"/>
      <c r="B28" s="578"/>
      <c r="C28" s="614"/>
      <c r="D28" s="612"/>
      <c r="E28" s="1564"/>
      <c r="F28" s="478"/>
      <c r="G28" s="592"/>
      <c r="H28" s="1558"/>
      <c r="I28" s="362" t="s">
        <v>127</v>
      </c>
      <c r="J28" s="404">
        <v>8.1</v>
      </c>
      <c r="K28" s="315"/>
      <c r="L28" s="315"/>
      <c r="M28" s="315"/>
      <c r="N28" s="1560"/>
      <c r="O28" s="1528"/>
      <c r="P28" s="1528"/>
      <c r="Q28" s="1528"/>
      <c r="R28" s="1594"/>
      <c r="S28" s="345"/>
    </row>
    <row r="29" spans="1:25" s="1" customFormat="1" ht="39.75" customHeight="1">
      <c r="A29" s="23"/>
      <c r="B29" s="578"/>
      <c r="C29" s="614"/>
      <c r="D29" s="416"/>
      <c r="E29" s="1331"/>
      <c r="F29" s="305"/>
      <c r="G29" s="346"/>
      <c r="H29" s="437"/>
      <c r="I29" s="114" t="s">
        <v>20</v>
      </c>
      <c r="J29" s="116">
        <v>58.9</v>
      </c>
      <c r="K29" s="183">
        <v>58.9</v>
      </c>
      <c r="L29" s="183">
        <v>58.9</v>
      </c>
      <c r="M29" s="183"/>
      <c r="N29" s="483" t="s">
        <v>176</v>
      </c>
      <c r="O29" s="484" t="s">
        <v>133</v>
      </c>
      <c r="P29" s="484" t="s">
        <v>134</v>
      </c>
      <c r="Q29" s="485" t="s">
        <v>134</v>
      </c>
      <c r="R29" s="486" t="s">
        <v>134</v>
      </c>
      <c r="S29" s="345"/>
      <c r="T29" s="307"/>
      <c r="U29" s="307"/>
    </row>
    <row r="30" spans="1:25" s="1" customFormat="1" ht="38.25" customHeight="1">
      <c r="A30" s="573"/>
      <c r="B30" s="578"/>
      <c r="C30" s="618"/>
      <c r="D30" s="558" t="s">
        <v>28</v>
      </c>
      <c r="E30" s="566" t="s">
        <v>27</v>
      </c>
      <c r="F30" s="475"/>
      <c r="G30" s="577" t="s">
        <v>18</v>
      </c>
      <c r="H30" s="582" t="s">
        <v>23</v>
      </c>
      <c r="I30" s="38" t="s">
        <v>20</v>
      </c>
      <c r="J30" s="304">
        <v>15</v>
      </c>
      <c r="K30" s="183">
        <v>15</v>
      </c>
      <c r="L30" s="116">
        <v>15</v>
      </c>
      <c r="M30" s="116"/>
      <c r="N30" s="631" t="s">
        <v>185</v>
      </c>
      <c r="O30" s="196">
        <v>100</v>
      </c>
      <c r="P30" s="550">
        <v>70</v>
      </c>
      <c r="Q30" s="198">
        <v>70</v>
      </c>
      <c r="R30" s="253">
        <v>50</v>
      </c>
      <c r="S30" s="345"/>
    </row>
    <row r="31" spans="1:25" s="1" customFormat="1" ht="52.5" customHeight="1">
      <c r="A31" s="573"/>
      <c r="B31" s="578"/>
      <c r="C31" s="618"/>
      <c r="D31" s="558" t="s">
        <v>30</v>
      </c>
      <c r="E31" s="347" t="s">
        <v>174</v>
      </c>
      <c r="F31" s="91" t="s">
        <v>101</v>
      </c>
      <c r="G31" s="161" t="s">
        <v>18</v>
      </c>
      <c r="H31" s="142" t="s">
        <v>29</v>
      </c>
      <c r="I31" s="18" t="s">
        <v>20</v>
      </c>
      <c r="J31" s="117">
        <v>45</v>
      </c>
      <c r="K31" s="184">
        <v>45</v>
      </c>
      <c r="L31" s="117">
        <v>45</v>
      </c>
      <c r="M31" s="117"/>
      <c r="N31" s="155" t="s">
        <v>126</v>
      </c>
      <c r="O31" s="452" t="s">
        <v>170</v>
      </c>
      <c r="P31" s="453" t="s">
        <v>169</v>
      </c>
      <c r="Q31" s="453" t="s">
        <v>169</v>
      </c>
      <c r="R31" s="513" t="s">
        <v>169</v>
      </c>
      <c r="S31" s="345"/>
      <c r="T31" s="307"/>
    </row>
    <row r="32" spans="1:25" s="1" customFormat="1" ht="17.25" customHeight="1">
      <c r="A32" s="1340"/>
      <c r="B32" s="1474"/>
      <c r="C32" s="1592"/>
      <c r="D32" s="418" t="s">
        <v>33</v>
      </c>
      <c r="E32" s="1298" t="s">
        <v>150</v>
      </c>
      <c r="F32" s="1600"/>
      <c r="G32" s="1303" t="s">
        <v>18</v>
      </c>
      <c r="H32" s="1540" t="s">
        <v>31</v>
      </c>
      <c r="I32" s="26" t="s">
        <v>20</v>
      </c>
      <c r="J32" s="109">
        <v>148.69999999999999</v>
      </c>
      <c r="K32" s="180">
        <v>150</v>
      </c>
      <c r="L32" s="109">
        <v>150</v>
      </c>
      <c r="M32" s="109"/>
      <c r="N32" s="104" t="s">
        <v>32</v>
      </c>
      <c r="O32" s="201">
        <v>2</v>
      </c>
      <c r="P32" s="220">
        <v>2</v>
      </c>
      <c r="Q32" s="363">
        <v>2</v>
      </c>
      <c r="R32" s="353">
        <v>2</v>
      </c>
      <c r="S32" s="345"/>
    </row>
    <row r="33" spans="1:19" s="1" customFormat="1" ht="28.5" customHeight="1">
      <c r="A33" s="1340"/>
      <c r="B33" s="1474"/>
      <c r="C33" s="1592"/>
      <c r="D33" s="705"/>
      <c r="E33" s="1438"/>
      <c r="F33" s="1601"/>
      <c r="G33" s="1304"/>
      <c r="H33" s="1556"/>
      <c r="I33" s="19" t="s">
        <v>127</v>
      </c>
      <c r="J33" s="110">
        <v>7.9</v>
      </c>
      <c r="K33" s="181"/>
      <c r="L33" s="110"/>
      <c r="M33" s="110"/>
      <c r="N33" s="105" t="s">
        <v>163</v>
      </c>
      <c r="O33" s="202">
        <v>200</v>
      </c>
      <c r="P33" s="221">
        <v>200</v>
      </c>
      <c r="Q33" s="364">
        <v>200</v>
      </c>
      <c r="R33" s="354">
        <v>200</v>
      </c>
      <c r="S33" s="345"/>
    </row>
    <row r="34" spans="1:19" s="1" customFormat="1" ht="15.75" customHeight="1">
      <c r="A34" s="1340"/>
      <c r="B34" s="1474"/>
      <c r="C34" s="1592"/>
      <c r="D34" s="705"/>
      <c r="E34" s="1438"/>
      <c r="F34" s="1601"/>
      <c r="G34" s="1304"/>
      <c r="H34" s="1556"/>
      <c r="I34" s="19"/>
      <c r="J34" s="110"/>
      <c r="K34" s="181"/>
      <c r="L34" s="110"/>
      <c r="M34" s="110"/>
      <c r="N34" s="724" t="s">
        <v>132</v>
      </c>
      <c r="O34" s="202">
        <v>3</v>
      </c>
      <c r="P34" s="221">
        <v>3</v>
      </c>
      <c r="Q34" s="364">
        <v>3</v>
      </c>
      <c r="R34" s="354">
        <v>3</v>
      </c>
      <c r="S34" s="345"/>
    </row>
    <row r="35" spans="1:19" s="1" customFormat="1" ht="15" customHeight="1">
      <c r="A35" s="1340"/>
      <c r="B35" s="1474"/>
      <c r="C35" s="1592"/>
      <c r="D35" s="416"/>
      <c r="E35" s="1484"/>
      <c r="F35" s="1602"/>
      <c r="G35" s="1500"/>
      <c r="H35" s="143"/>
      <c r="I35" s="22"/>
      <c r="J35" s="116"/>
      <c r="K35" s="183"/>
      <c r="L35" s="116"/>
      <c r="M35" s="116"/>
      <c r="N35" s="725" t="s">
        <v>152</v>
      </c>
      <c r="O35" s="203">
        <v>10</v>
      </c>
      <c r="P35" s="222">
        <v>10</v>
      </c>
      <c r="Q35" s="365">
        <v>10</v>
      </c>
      <c r="R35" s="355">
        <v>10</v>
      </c>
      <c r="S35" s="345"/>
    </row>
    <row r="36" spans="1:19" s="1" customFormat="1" ht="15.75" customHeight="1">
      <c r="A36" s="573"/>
      <c r="B36" s="575"/>
      <c r="C36" s="614"/>
      <c r="D36" s="612" t="s">
        <v>36</v>
      </c>
      <c r="E36" s="1299" t="s">
        <v>194</v>
      </c>
      <c r="F36" s="71"/>
      <c r="G36" s="592" t="s">
        <v>18</v>
      </c>
      <c r="H36" s="709" t="s">
        <v>34</v>
      </c>
      <c r="I36" s="19" t="s">
        <v>20</v>
      </c>
      <c r="J36" s="110">
        <v>39</v>
      </c>
      <c r="K36" s="181">
        <v>39</v>
      </c>
      <c r="L36" s="110">
        <v>39</v>
      </c>
      <c r="M36" s="110"/>
      <c r="N36" s="689" t="s">
        <v>35</v>
      </c>
      <c r="O36" s="204">
        <v>130</v>
      </c>
      <c r="P36" s="223">
        <v>130</v>
      </c>
      <c r="Q36" s="366">
        <v>130</v>
      </c>
      <c r="R36" s="356">
        <v>130</v>
      </c>
      <c r="S36" s="345"/>
    </row>
    <row r="37" spans="1:19" s="1" customFormat="1" ht="30" customHeight="1">
      <c r="A37" s="573"/>
      <c r="B37" s="575"/>
      <c r="C37" s="614"/>
      <c r="D37" s="296"/>
      <c r="E37" s="1478"/>
      <c r="F37" s="20"/>
      <c r="G37" s="592"/>
      <c r="H37" s="72"/>
      <c r="I37" s="19"/>
      <c r="J37" s="118"/>
      <c r="K37" s="185"/>
      <c r="L37" s="118"/>
      <c r="M37" s="118"/>
      <c r="N37" s="369"/>
      <c r="O37" s="370"/>
      <c r="P37" s="224"/>
      <c r="Q37" s="367"/>
      <c r="R37" s="357"/>
      <c r="S37" s="345"/>
    </row>
    <row r="38" spans="1:19" s="1" customFormat="1" ht="27.75" customHeight="1">
      <c r="A38" s="573"/>
      <c r="B38" s="578"/>
      <c r="C38" s="618"/>
      <c r="D38" s="418" t="s">
        <v>37</v>
      </c>
      <c r="E38" s="1298" t="s">
        <v>38</v>
      </c>
      <c r="F38" s="75"/>
      <c r="G38" s="298" t="s">
        <v>18</v>
      </c>
      <c r="H38" s="1540" t="s">
        <v>39</v>
      </c>
      <c r="I38" s="26" t="s">
        <v>20</v>
      </c>
      <c r="J38" s="109">
        <v>20.3</v>
      </c>
      <c r="K38" s="180">
        <v>20.3</v>
      </c>
      <c r="L38" s="109">
        <v>20.3</v>
      </c>
      <c r="M38" s="109"/>
      <c r="N38" s="474" t="s">
        <v>40</v>
      </c>
      <c r="O38" s="199">
        <v>15</v>
      </c>
      <c r="P38" s="219">
        <v>15</v>
      </c>
      <c r="Q38" s="368">
        <v>15</v>
      </c>
      <c r="R38" s="358">
        <v>15</v>
      </c>
      <c r="S38" s="345"/>
    </row>
    <row r="39" spans="1:19" s="1" customFormat="1" ht="41.25" customHeight="1">
      <c r="A39" s="23"/>
      <c r="B39" s="578"/>
      <c r="C39" s="618"/>
      <c r="D39" s="416"/>
      <c r="E39" s="1565"/>
      <c r="F39" s="21"/>
      <c r="G39" s="595"/>
      <c r="H39" s="1566"/>
      <c r="I39" s="22"/>
      <c r="J39" s="116"/>
      <c r="K39" s="183"/>
      <c r="L39" s="116"/>
      <c r="M39" s="116"/>
      <c r="N39" s="628" t="s">
        <v>175</v>
      </c>
      <c r="O39" s="198"/>
      <c r="P39" s="218">
        <v>1</v>
      </c>
      <c r="Q39" s="25">
        <v>1</v>
      </c>
      <c r="R39" s="253">
        <v>1</v>
      </c>
      <c r="S39" s="345"/>
    </row>
    <row r="40" spans="1:19" s="1" customFormat="1" ht="25.5" customHeight="1">
      <c r="A40" s="23"/>
      <c r="B40" s="578"/>
      <c r="C40" s="618"/>
      <c r="D40" s="594" t="s">
        <v>41</v>
      </c>
      <c r="E40" s="1299" t="s">
        <v>160</v>
      </c>
      <c r="F40" s="20"/>
      <c r="G40" s="592" t="s">
        <v>18</v>
      </c>
      <c r="H40" s="1556" t="s">
        <v>42</v>
      </c>
      <c r="I40" s="160" t="s">
        <v>43</v>
      </c>
      <c r="J40" s="109">
        <v>12.1</v>
      </c>
      <c r="K40" s="180">
        <v>12.1</v>
      </c>
      <c r="L40" s="109">
        <v>12.1</v>
      </c>
      <c r="M40" s="109"/>
      <c r="N40" s="627"/>
      <c r="O40" s="471"/>
      <c r="P40" s="471"/>
      <c r="Q40" s="472"/>
      <c r="R40" s="473"/>
      <c r="S40" s="345"/>
    </row>
    <row r="41" spans="1:19" s="1" customFormat="1" ht="50.25" customHeight="1">
      <c r="A41" s="23"/>
      <c r="B41" s="575"/>
      <c r="C41" s="618"/>
      <c r="D41" s="558"/>
      <c r="E41" s="1478"/>
      <c r="F41" s="21"/>
      <c r="G41" s="595"/>
      <c r="H41" s="1557"/>
      <c r="I41" s="25" t="s">
        <v>44</v>
      </c>
      <c r="J41" s="116"/>
      <c r="K41" s="183"/>
      <c r="L41" s="116"/>
      <c r="M41" s="116"/>
      <c r="N41" s="628"/>
      <c r="O41" s="205"/>
      <c r="P41" s="225"/>
      <c r="Q41" s="371"/>
      <c r="R41" s="372"/>
      <c r="S41" s="345"/>
    </row>
    <row r="42" spans="1:19" s="1" customFormat="1" ht="17.25" customHeight="1">
      <c r="A42" s="23"/>
      <c r="B42" s="575"/>
      <c r="C42" s="614"/>
      <c r="D42" s="557" t="s">
        <v>45</v>
      </c>
      <c r="E42" s="567" t="s">
        <v>118</v>
      </c>
      <c r="F42" s="75"/>
      <c r="G42" s="591" t="s">
        <v>18</v>
      </c>
      <c r="H42" s="1540" t="s">
        <v>113</v>
      </c>
      <c r="I42" s="503" t="s">
        <v>20</v>
      </c>
      <c r="J42" s="698">
        <v>30.4</v>
      </c>
      <c r="K42" s="180">
        <v>40.700000000000003</v>
      </c>
      <c r="L42" s="109">
        <v>40.700000000000003</v>
      </c>
      <c r="M42" s="109"/>
      <c r="N42" s="665" t="s">
        <v>119</v>
      </c>
      <c r="O42" s="207">
        <v>54</v>
      </c>
      <c r="P42" s="226">
        <v>55</v>
      </c>
      <c r="Q42" s="293">
        <v>55</v>
      </c>
      <c r="R42" s="252">
        <v>55</v>
      </c>
      <c r="S42" s="345"/>
    </row>
    <row r="43" spans="1:19" s="1" customFormat="1" ht="19.5" customHeight="1">
      <c r="A43" s="23"/>
      <c r="B43" s="575"/>
      <c r="C43" s="614"/>
      <c r="D43" s="558"/>
      <c r="E43" s="489"/>
      <c r="F43" s="21"/>
      <c r="G43" s="595"/>
      <c r="H43" s="1530"/>
      <c r="I43" s="131"/>
      <c r="J43" s="116"/>
      <c r="K43" s="183"/>
      <c r="L43" s="116"/>
      <c r="M43" s="116"/>
      <c r="N43" s="103" t="s">
        <v>197</v>
      </c>
      <c r="O43" s="198"/>
      <c r="P43" s="218">
        <v>10</v>
      </c>
      <c r="Q43" s="25">
        <v>10</v>
      </c>
      <c r="R43" s="253">
        <v>10</v>
      </c>
      <c r="S43" s="345"/>
    </row>
    <row r="44" spans="1:19" s="1" customFormat="1" ht="41.25" customHeight="1">
      <c r="A44" s="23"/>
      <c r="B44" s="575"/>
      <c r="C44" s="614"/>
      <c r="D44" s="417" t="s">
        <v>47</v>
      </c>
      <c r="E44" s="347" t="s">
        <v>195</v>
      </c>
      <c r="F44" s="405"/>
      <c r="G44" s="161">
        <v>1</v>
      </c>
      <c r="H44" s="406" t="s">
        <v>34</v>
      </c>
      <c r="I44" s="131" t="s">
        <v>20</v>
      </c>
      <c r="J44" s="116">
        <v>12</v>
      </c>
      <c r="K44" s="184">
        <v>12</v>
      </c>
      <c r="L44" s="117">
        <v>12</v>
      </c>
      <c r="M44" s="117"/>
      <c r="N44" s="521" t="s">
        <v>189</v>
      </c>
      <c r="O44" s="522"/>
      <c r="P44" s="523">
        <v>1</v>
      </c>
      <c r="Q44" s="524">
        <v>1</v>
      </c>
      <c r="R44" s="525">
        <v>1</v>
      </c>
      <c r="S44" s="345"/>
    </row>
    <row r="45" spans="1:19" s="1" customFormat="1" ht="25.5" customHeight="1">
      <c r="A45" s="23"/>
      <c r="B45" s="575"/>
      <c r="C45" s="614"/>
      <c r="D45" s="557" t="s">
        <v>162</v>
      </c>
      <c r="E45" s="1298" t="s">
        <v>198</v>
      </c>
      <c r="F45" s="75"/>
      <c r="G45" s="591" t="s">
        <v>18</v>
      </c>
      <c r="H45" s="568" t="s">
        <v>29</v>
      </c>
      <c r="I45" s="503" t="s">
        <v>20</v>
      </c>
      <c r="J45" s="109">
        <v>3</v>
      </c>
      <c r="K45" s="181"/>
      <c r="L45" s="330"/>
      <c r="M45" s="330"/>
      <c r="N45" s="605" t="s">
        <v>201</v>
      </c>
      <c r="O45" s="207"/>
      <c r="P45" s="226">
        <v>1</v>
      </c>
      <c r="Q45" s="293"/>
      <c r="R45" s="252"/>
      <c r="S45" s="345"/>
    </row>
    <row r="46" spans="1:19" s="1" customFormat="1" ht="26.25" customHeight="1">
      <c r="A46" s="23"/>
      <c r="B46" s="575"/>
      <c r="C46" s="614"/>
      <c r="D46" s="558"/>
      <c r="E46" s="1484"/>
      <c r="F46" s="21"/>
      <c r="G46" s="595"/>
      <c r="H46" s="520"/>
      <c r="I46" s="131"/>
      <c r="J46" s="116"/>
      <c r="K46" s="183"/>
      <c r="L46" s="116"/>
      <c r="M46" s="116"/>
      <c r="N46" s="336"/>
      <c r="O46" s="198"/>
      <c r="P46" s="514"/>
      <c r="Q46" s="25"/>
      <c r="R46" s="253"/>
      <c r="S46" s="345"/>
    </row>
    <row r="47" spans="1:19" s="1" customFormat="1" ht="16.5" customHeight="1" thickBot="1">
      <c r="A47" s="28"/>
      <c r="B47" s="579"/>
      <c r="C47" s="423"/>
      <c r="D47" s="409"/>
      <c r="E47" s="407"/>
      <c r="F47" s="408"/>
      <c r="G47" s="409"/>
      <c r="H47" s="264"/>
      <c r="I47" s="714" t="s">
        <v>50</v>
      </c>
      <c r="J47" s="119">
        <f>SUM(J14:J46)</f>
        <v>7756.7999999999984</v>
      </c>
      <c r="K47" s="690">
        <f>SUM(K14:K46)</f>
        <v>7498.3999999999987</v>
      </c>
      <c r="L47" s="119">
        <f>SUM(L14:L46)</f>
        <v>7498.3999999999987</v>
      </c>
      <c r="M47" s="119">
        <f>SUM(M14:M46)</f>
        <v>0</v>
      </c>
      <c r="N47" s="410"/>
      <c r="O47" s="411"/>
      <c r="P47" s="412"/>
      <c r="Q47" s="413"/>
      <c r="R47" s="414"/>
      <c r="S47" s="345"/>
    </row>
    <row r="48" spans="1:19" s="1" customFormat="1" ht="18" customHeight="1">
      <c r="A48" s="1340" t="s">
        <v>13</v>
      </c>
      <c r="B48" s="1474" t="s">
        <v>13</v>
      </c>
      <c r="C48" s="1523" t="s">
        <v>22</v>
      </c>
      <c r="D48" s="84"/>
      <c r="E48" s="1299" t="s">
        <v>48</v>
      </c>
      <c r="F48" s="1436"/>
      <c r="G48" s="1538" t="s">
        <v>18</v>
      </c>
      <c r="H48" s="1529" t="s">
        <v>19</v>
      </c>
      <c r="I48" s="373" t="s">
        <v>20</v>
      </c>
      <c r="J48" s="156">
        <v>163.69999999999999</v>
      </c>
      <c r="K48" s="181">
        <v>163.69999999999999</v>
      </c>
      <c r="L48" s="110">
        <v>163.69999999999999</v>
      </c>
      <c r="M48" s="110">
        <v>163.69999999999999</v>
      </c>
      <c r="N48" s="1289" t="s">
        <v>49</v>
      </c>
      <c r="O48" s="549">
        <v>8</v>
      </c>
      <c r="P48" s="549">
        <v>8</v>
      </c>
      <c r="Q48" s="1517">
        <v>8</v>
      </c>
      <c r="R48" s="1603">
        <v>8</v>
      </c>
      <c r="S48" s="345"/>
    </row>
    <row r="49" spans="1:19" s="1" customFormat="1" ht="16.5" customHeight="1">
      <c r="A49" s="1340"/>
      <c r="B49" s="1474"/>
      <c r="C49" s="1523"/>
      <c r="D49" s="84"/>
      <c r="E49" s="1299"/>
      <c r="F49" s="1436"/>
      <c r="G49" s="1538"/>
      <c r="H49" s="1543"/>
      <c r="I49" s="38" t="s">
        <v>21</v>
      </c>
      <c r="J49" s="719"/>
      <c r="K49" s="183"/>
      <c r="L49" s="116"/>
      <c r="M49" s="116"/>
      <c r="N49" s="1290"/>
      <c r="O49" s="550"/>
      <c r="P49" s="550"/>
      <c r="Q49" s="1518"/>
      <c r="R49" s="1604"/>
      <c r="S49" s="345"/>
    </row>
    <row r="50" spans="1:19" s="1" customFormat="1" ht="19.5" customHeight="1" thickBot="1">
      <c r="A50" s="1426"/>
      <c r="B50" s="1514"/>
      <c r="C50" s="1516"/>
      <c r="D50" s="78"/>
      <c r="E50" s="1466"/>
      <c r="F50" s="1437"/>
      <c r="G50" s="1539"/>
      <c r="H50" s="1545"/>
      <c r="I50" s="606" t="s">
        <v>50</v>
      </c>
      <c r="J50" s="119">
        <f t="shared" ref="J50:L50" si="0">SUM(J48:J49)</f>
        <v>163.69999999999999</v>
      </c>
      <c r="K50" s="690">
        <f t="shared" si="0"/>
        <v>163.69999999999999</v>
      </c>
      <c r="L50" s="119">
        <f t="shared" si="0"/>
        <v>163.69999999999999</v>
      </c>
      <c r="M50" s="119">
        <f t="shared" ref="M50" si="1">SUM(M48:M49)</f>
        <v>163.69999999999999</v>
      </c>
      <c r="N50" s="1291"/>
      <c r="O50" s="551"/>
      <c r="P50" s="551"/>
      <c r="Q50" s="1519"/>
      <c r="R50" s="1605"/>
      <c r="S50" s="345"/>
    </row>
    <row r="51" spans="1:19" s="1" customFormat="1" ht="24.75" customHeight="1">
      <c r="A51" s="1425" t="s">
        <v>13</v>
      </c>
      <c r="B51" s="1513" t="s">
        <v>13</v>
      </c>
      <c r="C51" s="1515" t="s">
        <v>26</v>
      </c>
      <c r="D51" s="295"/>
      <c r="E51" s="562" t="s">
        <v>51</v>
      </c>
      <c r="F51" s="1435"/>
      <c r="G51" s="1537" t="s">
        <v>18</v>
      </c>
      <c r="H51" s="1529" t="s">
        <v>19</v>
      </c>
      <c r="I51" s="332" t="s">
        <v>20</v>
      </c>
      <c r="J51" s="156">
        <v>274.39999999999998</v>
      </c>
      <c r="K51" s="191">
        <v>275</v>
      </c>
      <c r="L51" s="156">
        <v>275</v>
      </c>
      <c r="M51" s="156">
        <v>275</v>
      </c>
      <c r="N51" s="376" t="s">
        <v>52</v>
      </c>
      <c r="O51" s="549">
        <v>31</v>
      </c>
      <c r="P51" s="549">
        <v>31</v>
      </c>
      <c r="Q51" s="584">
        <v>31</v>
      </c>
      <c r="R51" s="623">
        <v>31</v>
      </c>
      <c r="S51" s="345"/>
    </row>
    <row r="52" spans="1:19" s="1" customFormat="1" ht="15" customHeight="1">
      <c r="A52" s="1340"/>
      <c r="B52" s="1474"/>
      <c r="C52" s="1523"/>
      <c r="D52" s="84"/>
      <c r="E52" s="566"/>
      <c r="F52" s="1436"/>
      <c r="G52" s="1538"/>
      <c r="H52" s="1530"/>
      <c r="I52" s="22"/>
      <c r="J52" s="116"/>
      <c r="K52" s="183"/>
      <c r="L52" s="116"/>
      <c r="M52" s="116"/>
      <c r="N52" s="340"/>
      <c r="O52" s="550"/>
      <c r="P52" s="550"/>
      <c r="Q52" s="585"/>
      <c r="R52" s="624"/>
      <c r="S52" s="345"/>
    </row>
    <row r="53" spans="1:19" s="1" customFormat="1" ht="24.75" customHeight="1">
      <c r="A53" s="1340"/>
      <c r="B53" s="1474"/>
      <c r="C53" s="1523"/>
      <c r="D53" s="84"/>
      <c r="E53" s="566"/>
      <c r="F53" s="1436"/>
      <c r="G53" s="1538"/>
      <c r="H53" s="565" t="s">
        <v>23</v>
      </c>
      <c r="I53" s="18" t="s">
        <v>20</v>
      </c>
      <c r="J53" s="117">
        <v>57.9</v>
      </c>
      <c r="K53" s="184">
        <v>57.9</v>
      </c>
      <c r="L53" s="117">
        <v>57.9</v>
      </c>
      <c r="M53" s="117">
        <v>57.9</v>
      </c>
      <c r="N53" s="631"/>
      <c r="O53" s="550"/>
      <c r="P53" s="550"/>
      <c r="Q53" s="585"/>
      <c r="R53" s="624"/>
      <c r="S53" s="345"/>
    </row>
    <row r="54" spans="1:19" s="1" customFormat="1" ht="19.5" customHeight="1" thickBot="1">
      <c r="A54" s="1426"/>
      <c r="B54" s="1514"/>
      <c r="C54" s="1516"/>
      <c r="D54" s="78"/>
      <c r="E54" s="569"/>
      <c r="F54" s="1437"/>
      <c r="G54" s="1539"/>
      <c r="H54" s="583"/>
      <c r="I54" s="606" t="s">
        <v>50</v>
      </c>
      <c r="J54" s="119">
        <f>SUM(J51:J53)</f>
        <v>332.29999999999995</v>
      </c>
      <c r="K54" s="690">
        <f t="shared" ref="K54:L54" si="2">SUM(K51:K53)</f>
        <v>332.9</v>
      </c>
      <c r="L54" s="119">
        <f t="shared" si="2"/>
        <v>332.9</v>
      </c>
      <c r="M54" s="119">
        <f t="shared" ref="M54" si="3">SUM(M51:M53)</f>
        <v>332.9</v>
      </c>
      <c r="N54" s="106"/>
      <c r="O54" s="532"/>
      <c r="P54" s="532"/>
      <c r="Q54" s="581"/>
      <c r="R54" s="622"/>
      <c r="S54" s="345"/>
    </row>
    <row r="55" spans="1:19" s="1" customFormat="1" ht="18" customHeight="1">
      <c r="A55" s="1425" t="s">
        <v>13</v>
      </c>
      <c r="B55" s="1427" t="s">
        <v>13</v>
      </c>
      <c r="C55" s="1515" t="s">
        <v>28</v>
      </c>
      <c r="D55" s="295"/>
      <c r="E55" s="1465" t="s">
        <v>114</v>
      </c>
      <c r="F55" s="1435"/>
      <c r="G55" s="1537" t="s">
        <v>18</v>
      </c>
      <c r="H55" s="1529" t="s">
        <v>113</v>
      </c>
      <c r="I55" s="343" t="s">
        <v>20</v>
      </c>
      <c r="J55" s="156">
        <v>158.9</v>
      </c>
      <c r="K55" s="191">
        <v>158.9</v>
      </c>
      <c r="L55" s="156">
        <v>158.9</v>
      </c>
      <c r="M55" s="156">
        <v>158.9</v>
      </c>
      <c r="N55" s="1520" t="s">
        <v>115</v>
      </c>
      <c r="O55" s="549">
        <v>11</v>
      </c>
      <c r="P55" s="549">
        <v>11</v>
      </c>
      <c r="Q55" s="1524">
        <v>11</v>
      </c>
      <c r="R55" s="1595">
        <v>11</v>
      </c>
      <c r="S55" s="345"/>
    </row>
    <row r="56" spans="1:19" s="1" customFormat="1" ht="19.5" customHeight="1">
      <c r="A56" s="1340"/>
      <c r="B56" s="1341"/>
      <c r="C56" s="1523"/>
      <c r="D56" s="84"/>
      <c r="E56" s="1299"/>
      <c r="F56" s="1436"/>
      <c r="G56" s="1538"/>
      <c r="H56" s="1530"/>
      <c r="I56" s="131"/>
      <c r="J56" s="720"/>
      <c r="K56" s="183"/>
      <c r="L56" s="116"/>
      <c r="M56" s="116"/>
      <c r="N56" s="1521"/>
      <c r="O56" s="550"/>
      <c r="P56" s="550"/>
      <c r="Q56" s="1525"/>
      <c r="R56" s="1596"/>
      <c r="S56" s="345"/>
    </row>
    <row r="57" spans="1:19" s="1" customFormat="1" ht="18.75" customHeight="1">
      <c r="A57" s="1340"/>
      <c r="B57" s="1341"/>
      <c r="C57" s="1523"/>
      <c r="D57" s="84"/>
      <c r="E57" s="1299"/>
      <c r="F57" s="1436"/>
      <c r="G57" s="1538"/>
      <c r="H57" s="565" t="s">
        <v>23</v>
      </c>
      <c r="I57" s="377" t="s">
        <v>20</v>
      </c>
      <c r="J57" s="721">
        <v>4.3</v>
      </c>
      <c r="K57" s="184">
        <v>4.3</v>
      </c>
      <c r="L57" s="117">
        <v>4.3</v>
      </c>
      <c r="M57" s="117">
        <v>4.3</v>
      </c>
      <c r="N57" s="1521"/>
      <c r="O57" s="550"/>
      <c r="P57" s="550"/>
      <c r="Q57" s="1525"/>
      <c r="R57" s="1596"/>
      <c r="S57" s="345"/>
    </row>
    <row r="58" spans="1:19" s="1" customFormat="1" ht="19.5" customHeight="1" thickBot="1">
      <c r="A58" s="1426"/>
      <c r="B58" s="1428"/>
      <c r="C58" s="1516"/>
      <c r="D58" s="78"/>
      <c r="E58" s="1466"/>
      <c r="F58" s="1437"/>
      <c r="G58" s="1539"/>
      <c r="H58" s="583"/>
      <c r="I58" s="606" t="s">
        <v>50</v>
      </c>
      <c r="J58" s="344">
        <f>SUM(J55:J57)</f>
        <v>163.20000000000002</v>
      </c>
      <c r="K58" s="715">
        <f>SUM(K55:K57)</f>
        <v>163.20000000000002</v>
      </c>
      <c r="L58" s="344">
        <f t="shared" ref="L58:M58" si="4">SUM(L55:L57)</f>
        <v>163.20000000000002</v>
      </c>
      <c r="M58" s="344">
        <f t="shared" si="4"/>
        <v>163.20000000000002</v>
      </c>
      <c r="N58" s="1522"/>
      <c r="O58" s="551"/>
      <c r="P58" s="551"/>
      <c r="Q58" s="1526"/>
      <c r="R58" s="1597"/>
      <c r="S58" s="345"/>
    </row>
    <row r="59" spans="1:19" s="1" customFormat="1" ht="19.5" customHeight="1">
      <c r="A59" s="1425" t="s">
        <v>13</v>
      </c>
      <c r="B59" s="1513" t="s">
        <v>13</v>
      </c>
      <c r="C59" s="1515" t="s">
        <v>30</v>
      </c>
      <c r="D59" s="295"/>
      <c r="E59" s="1465" t="s">
        <v>53</v>
      </c>
      <c r="F59" s="1435"/>
      <c r="G59" s="1537" t="s">
        <v>18</v>
      </c>
      <c r="H59" s="561" t="s">
        <v>23</v>
      </c>
      <c r="I59" s="36" t="s">
        <v>20</v>
      </c>
      <c r="J59" s="120">
        <v>15.7</v>
      </c>
      <c r="K59" s="187">
        <v>15.7</v>
      </c>
      <c r="L59" s="120">
        <v>15.7</v>
      </c>
      <c r="M59" s="120">
        <v>15.7</v>
      </c>
      <c r="N59" s="376"/>
      <c r="O59" s="531"/>
      <c r="P59" s="531"/>
      <c r="Q59" s="580"/>
      <c r="R59" s="620"/>
      <c r="S59" s="345"/>
    </row>
    <row r="60" spans="1:19" s="1" customFormat="1" ht="15.75" customHeight="1" thickBot="1">
      <c r="A60" s="1426"/>
      <c r="B60" s="1514"/>
      <c r="C60" s="1516"/>
      <c r="D60" s="78"/>
      <c r="E60" s="1533"/>
      <c r="F60" s="1437"/>
      <c r="G60" s="1539"/>
      <c r="H60" s="145"/>
      <c r="I60" s="606" t="s">
        <v>50</v>
      </c>
      <c r="J60" s="121">
        <f t="shared" ref="J60:L60" si="5">SUM(J59:J59)</f>
        <v>15.7</v>
      </c>
      <c r="K60" s="264">
        <f t="shared" si="5"/>
        <v>15.7</v>
      </c>
      <c r="L60" s="121">
        <f t="shared" si="5"/>
        <v>15.7</v>
      </c>
      <c r="M60" s="121">
        <f t="shared" ref="M60" si="6">SUM(M59:M59)</f>
        <v>15.7</v>
      </c>
      <c r="N60" s="107"/>
      <c r="O60" s="551"/>
      <c r="P60" s="551"/>
      <c r="Q60" s="586"/>
      <c r="R60" s="625"/>
      <c r="S60" s="345"/>
    </row>
    <row r="61" spans="1:19" s="1" customFormat="1" ht="28.5" customHeight="1">
      <c r="A61" s="656" t="s">
        <v>13</v>
      </c>
      <c r="B61" s="379" t="s">
        <v>13</v>
      </c>
      <c r="C61" s="424" t="s">
        <v>33</v>
      </c>
      <c r="D61" s="295"/>
      <c r="E61" s="380" t="s">
        <v>54</v>
      </c>
      <c r="F61" s="381"/>
      <c r="G61" s="661"/>
      <c r="H61" s="382"/>
      <c r="I61" s="36" t="s">
        <v>20</v>
      </c>
      <c r="J61" s="108"/>
      <c r="K61" s="186"/>
      <c r="L61" s="178"/>
      <c r="M61" s="108"/>
      <c r="N61" s="311"/>
      <c r="O61" s="659"/>
      <c r="P61" s="659"/>
      <c r="Q61" s="374"/>
      <c r="R61" s="258"/>
      <c r="S61" s="345"/>
    </row>
    <row r="62" spans="1:19" s="1" customFormat="1" ht="15.75" customHeight="1">
      <c r="A62" s="655"/>
      <c r="B62" s="29"/>
      <c r="C62" s="425"/>
      <c r="D62" s="658" t="s">
        <v>13</v>
      </c>
      <c r="E62" s="1298" t="s">
        <v>120</v>
      </c>
      <c r="F62" s="79"/>
      <c r="G62" s="298" t="s">
        <v>18</v>
      </c>
      <c r="H62" s="1540" t="s">
        <v>19</v>
      </c>
      <c r="I62" s="26" t="s">
        <v>20</v>
      </c>
      <c r="J62" s="109">
        <v>52.8</v>
      </c>
      <c r="K62" s="180">
        <v>52.8</v>
      </c>
      <c r="L62" s="123">
        <v>52.8</v>
      </c>
      <c r="M62" s="109">
        <v>52.8</v>
      </c>
      <c r="N62" s="1253" t="s">
        <v>105</v>
      </c>
      <c r="O62" s="226">
        <v>3</v>
      </c>
      <c r="P62" s="226">
        <v>3</v>
      </c>
      <c r="Q62" s="293">
        <v>3</v>
      </c>
      <c r="R62" s="252">
        <v>3</v>
      </c>
      <c r="S62" s="345"/>
    </row>
    <row r="63" spans="1:19" s="1" customFormat="1" ht="25.5" customHeight="1">
      <c r="A63" s="655"/>
      <c r="B63" s="29"/>
      <c r="C63" s="425"/>
      <c r="D63" s="662"/>
      <c r="E63" s="1598"/>
      <c r="F63" s="297"/>
      <c r="G63" s="299"/>
      <c r="H63" s="1585"/>
      <c r="I63" s="19"/>
      <c r="J63" s="330"/>
      <c r="K63" s="329"/>
      <c r="L63" s="328"/>
      <c r="M63" s="330"/>
      <c r="N63" s="1546"/>
      <c r="O63" s="550"/>
      <c r="P63" s="550"/>
      <c r="Q63" s="663"/>
      <c r="R63" s="664"/>
      <c r="S63" s="345"/>
    </row>
    <row r="64" spans="1:19" s="1" customFormat="1" ht="26.25" customHeight="1">
      <c r="A64" s="655"/>
      <c r="B64" s="29"/>
      <c r="C64" s="425"/>
      <c r="D64" s="662"/>
      <c r="E64" s="1598"/>
      <c r="F64" s="297"/>
      <c r="G64" s="667">
        <v>5</v>
      </c>
      <c r="H64" s="654" t="s">
        <v>131</v>
      </c>
      <c r="I64" s="635" t="s">
        <v>20</v>
      </c>
      <c r="J64" s="109">
        <v>61.5</v>
      </c>
      <c r="K64" s="167">
        <v>18.8</v>
      </c>
      <c r="L64" s="123">
        <v>18.8</v>
      </c>
      <c r="M64" s="109">
        <v>18.8</v>
      </c>
      <c r="N64" s="480" t="s">
        <v>139</v>
      </c>
      <c r="O64" s="640">
        <v>1</v>
      </c>
      <c r="P64" s="640">
        <v>1</v>
      </c>
      <c r="Q64" s="641">
        <v>1</v>
      </c>
      <c r="R64" s="642">
        <v>1</v>
      </c>
      <c r="S64" s="345"/>
    </row>
    <row r="65" spans="1:19" s="1" customFormat="1" ht="39.75" customHeight="1">
      <c r="A65" s="655"/>
      <c r="B65" s="29"/>
      <c r="C65" s="425"/>
      <c r="D65" s="667"/>
      <c r="E65" s="489"/>
      <c r="F65" s="493"/>
      <c r="G65" s="668"/>
      <c r="H65" s="437"/>
      <c r="I65" s="636"/>
      <c r="J65" s="110"/>
      <c r="K65" s="166"/>
      <c r="L65" s="93"/>
      <c r="M65" s="110"/>
      <c r="N65" s="511" t="s">
        <v>193</v>
      </c>
      <c r="O65" s="637"/>
      <c r="P65" s="637">
        <v>1</v>
      </c>
      <c r="Q65" s="638"/>
      <c r="R65" s="639"/>
      <c r="S65" s="345"/>
    </row>
    <row r="66" spans="1:19" s="1" customFormat="1" ht="30" customHeight="1">
      <c r="A66" s="655"/>
      <c r="B66" s="29"/>
      <c r="C66" s="425"/>
      <c r="D66" s="666" t="s">
        <v>22</v>
      </c>
      <c r="E66" s="1298" t="s">
        <v>203</v>
      </c>
      <c r="F66" s="30"/>
      <c r="G66" s="144" t="s">
        <v>55</v>
      </c>
      <c r="H66" s="1586" t="s">
        <v>56</v>
      </c>
      <c r="I66" s="17" t="s">
        <v>20</v>
      </c>
      <c r="J66" s="109">
        <v>65</v>
      </c>
      <c r="K66" s="180">
        <v>65</v>
      </c>
      <c r="L66" s="123">
        <v>65</v>
      </c>
      <c r="M66" s="109">
        <v>65</v>
      </c>
      <c r="N66" s="157" t="s">
        <v>57</v>
      </c>
      <c r="O66" s="227">
        <v>9</v>
      </c>
      <c r="P66" s="227">
        <v>10</v>
      </c>
      <c r="Q66" s="375">
        <v>10</v>
      </c>
      <c r="R66" s="250">
        <v>10</v>
      </c>
      <c r="S66" s="345"/>
    </row>
    <row r="67" spans="1:19" s="1" customFormat="1" ht="30" customHeight="1">
      <c r="A67" s="655"/>
      <c r="B67" s="29"/>
      <c r="C67" s="415"/>
      <c r="D67" s="662"/>
      <c r="E67" s="1438"/>
      <c r="F67" s="69"/>
      <c r="G67" s="667"/>
      <c r="H67" s="1587"/>
      <c r="I67" s="98"/>
      <c r="J67" s="111"/>
      <c r="K67" s="188"/>
      <c r="L67" s="170"/>
      <c r="M67" s="111"/>
      <c r="N67" s="158" t="s">
        <v>140</v>
      </c>
      <c r="O67" s="216">
        <v>1</v>
      </c>
      <c r="P67" s="216">
        <v>1</v>
      </c>
      <c r="Q67" s="361">
        <v>1</v>
      </c>
      <c r="R67" s="275">
        <v>1</v>
      </c>
      <c r="S67" s="345"/>
    </row>
    <row r="68" spans="1:19" s="1" customFormat="1" ht="30" customHeight="1">
      <c r="A68" s="655"/>
      <c r="B68" s="29"/>
      <c r="C68" s="415"/>
      <c r="D68" s="662"/>
      <c r="E68" s="1438"/>
      <c r="F68" s="69"/>
      <c r="G68" s="667"/>
      <c r="H68" s="1588"/>
      <c r="I68" s="98"/>
      <c r="J68" s="112"/>
      <c r="K68" s="189"/>
      <c r="L68" s="171"/>
      <c r="M68" s="112"/>
      <c r="N68" s="159" t="s">
        <v>104</v>
      </c>
      <c r="O68" s="221">
        <v>10</v>
      </c>
      <c r="P68" s="221">
        <v>10</v>
      </c>
      <c r="Q68" s="364">
        <v>10</v>
      </c>
      <c r="R68" s="354">
        <v>10</v>
      </c>
      <c r="S68" s="345"/>
    </row>
    <row r="69" spans="1:19" s="1" customFormat="1" ht="30" customHeight="1">
      <c r="A69" s="655"/>
      <c r="B69" s="29"/>
      <c r="C69" s="415"/>
      <c r="D69" s="662"/>
      <c r="E69" s="1438"/>
      <c r="F69" s="69"/>
      <c r="G69" s="667"/>
      <c r="H69" s="146"/>
      <c r="I69" s="98"/>
      <c r="J69" s="112"/>
      <c r="K69" s="189"/>
      <c r="L69" s="171"/>
      <c r="M69" s="112"/>
      <c r="N69" s="159" t="s">
        <v>136</v>
      </c>
      <c r="O69" s="221">
        <v>3</v>
      </c>
      <c r="P69" s="221">
        <v>3</v>
      </c>
      <c r="Q69" s="364">
        <v>3</v>
      </c>
      <c r="R69" s="354">
        <v>3</v>
      </c>
      <c r="S69" s="345"/>
    </row>
    <row r="70" spans="1:19" s="1" customFormat="1" ht="28.5" customHeight="1">
      <c r="A70" s="655"/>
      <c r="B70" s="29"/>
      <c r="C70" s="415"/>
      <c r="D70" s="517"/>
      <c r="E70" s="1599"/>
      <c r="F70" s="70"/>
      <c r="G70" s="299"/>
      <c r="H70" s="146"/>
      <c r="I70" s="99"/>
      <c r="J70" s="113"/>
      <c r="K70" s="190"/>
      <c r="L70" s="172"/>
      <c r="M70" s="113"/>
      <c r="N70" s="27" t="s">
        <v>106</v>
      </c>
      <c r="O70" s="218">
        <v>1</v>
      </c>
      <c r="P70" s="218">
        <v>1</v>
      </c>
      <c r="Q70" s="384">
        <v>1</v>
      </c>
      <c r="R70" s="253">
        <v>1</v>
      </c>
      <c r="S70" s="345"/>
    </row>
    <row r="71" spans="1:19" s="1" customFormat="1" ht="19.5" customHeight="1">
      <c r="A71" s="655"/>
      <c r="B71" s="29"/>
      <c r="C71" s="415"/>
      <c r="D71" s="660" t="s">
        <v>26</v>
      </c>
      <c r="E71" s="1579" t="s">
        <v>100</v>
      </c>
      <c r="F71" s="69"/>
      <c r="G71" s="687">
        <v>5</v>
      </c>
      <c r="H71" s="146"/>
      <c r="I71" s="385" t="s">
        <v>20</v>
      </c>
      <c r="J71" s="386">
        <v>62.3</v>
      </c>
      <c r="K71" s="716">
        <f>19+45</f>
        <v>64</v>
      </c>
      <c r="L71" s="726">
        <f>19+45</f>
        <v>64</v>
      </c>
      <c r="M71" s="386">
        <f>19+45</f>
        <v>64</v>
      </c>
      <c r="N71" s="1583" t="s">
        <v>137</v>
      </c>
      <c r="O71" s="644">
        <v>5</v>
      </c>
      <c r="P71" s="644">
        <v>5</v>
      </c>
      <c r="Q71" s="645">
        <v>5</v>
      </c>
      <c r="R71" s="646">
        <v>5</v>
      </c>
      <c r="S71" s="345"/>
    </row>
    <row r="72" spans="1:19" s="1" customFormat="1" ht="13.5" customHeight="1">
      <c r="A72" s="655"/>
      <c r="B72" s="29"/>
      <c r="C72" s="415"/>
      <c r="D72" s="660"/>
      <c r="E72" s="1580"/>
      <c r="F72" s="69"/>
      <c r="G72" s="687"/>
      <c r="H72" s="146"/>
      <c r="I72" s="98"/>
      <c r="J72" s="111"/>
      <c r="K72" s="188"/>
      <c r="L72" s="387"/>
      <c r="M72" s="111"/>
      <c r="N72" s="1584"/>
      <c r="O72" s="647"/>
      <c r="P72" s="647"/>
      <c r="Q72" s="648"/>
      <c r="R72" s="649"/>
      <c r="S72" s="345"/>
    </row>
    <row r="73" spans="1:19" s="1" customFormat="1" ht="30" customHeight="1">
      <c r="A73" s="655"/>
      <c r="B73" s="29"/>
      <c r="C73" s="415"/>
      <c r="D73" s="660"/>
      <c r="E73" s="1580"/>
      <c r="F73" s="69"/>
      <c r="G73" s="687"/>
      <c r="H73" s="688"/>
      <c r="I73" s="99"/>
      <c r="J73" s="544"/>
      <c r="K73" s="717"/>
      <c r="L73" s="643"/>
      <c r="M73" s="519"/>
      <c r="N73" s="494" t="s">
        <v>192</v>
      </c>
      <c r="O73" s="221">
        <v>1</v>
      </c>
      <c r="P73" s="221">
        <v>1</v>
      </c>
      <c r="Q73" s="364">
        <v>1</v>
      </c>
      <c r="R73" s="354">
        <v>1</v>
      </c>
      <c r="S73" s="345"/>
    </row>
    <row r="74" spans="1:19" s="1" customFormat="1" ht="15.75" customHeight="1" thickBot="1">
      <c r="A74" s="657"/>
      <c r="B74" s="383"/>
      <c r="C74" s="426"/>
      <c r="D74" s="409"/>
      <c r="E74" s="407"/>
      <c r="F74" s="408"/>
      <c r="G74" s="409"/>
      <c r="H74" s="690"/>
      <c r="I74" s="653" t="s">
        <v>50</v>
      </c>
      <c r="J74" s="119">
        <f>SUM(J62:J73)</f>
        <v>241.60000000000002</v>
      </c>
      <c r="K74" s="409">
        <f>SUM(K62:K73)</f>
        <v>200.6</v>
      </c>
      <c r="L74" s="95">
        <f>SUM(L62:L73)</f>
        <v>200.6</v>
      </c>
      <c r="M74" s="121">
        <f>SUM(M62:M73)</f>
        <v>200.6</v>
      </c>
      <c r="N74" s="410"/>
      <c r="O74" s="411"/>
      <c r="P74" s="412"/>
      <c r="Q74" s="413"/>
      <c r="R74" s="414"/>
      <c r="S74" s="345"/>
    </row>
    <row r="75" spans="1:19" s="4" customFormat="1" ht="18.75" customHeight="1">
      <c r="A75" s="1340" t="s">
        <v>13</v>
      </c>
      <c r="B75" s="1341" t="s">
        <v>13</v>
      </c>
      <c r="C75" s="1523" t="s">
        <v>36</v>
      </c>
      <c r="D75" s="84"/>
      <c r="E75" s="1299" t="s">
        <v>58</v>
      </c>
      <c r="F75" s="1467"/>
      <c r="G75" s="1488" t="s">
        <v>18</v>
      </c>
      <c r="H75" s="1543" t="s">
        <v>161</v>
      </c>
      <c r="I75" s="378" t="s">
        <v>20</v>
      </c>
      <c r="J75" s="330">
        <f>105-51</f>
        <v>54</v>
      </c>
      <c r="K75" s="181">
        <v>3731.2</v>
      </c>
      <c r="L75" s="110">
        <v>4449.6000000000004</v>
      </c>
      <c r="M75" s="110">
        <v>4449.6000000000004</v>
      </c>
      <c r="N75" s="1489" t="s">
        <v>207</v>
      </c>
      <c r="O75" s="550">
        <v>1</v>
      </c>
      <c r="P75" s="550">
        <v>1</v>
      </c>
      <c r="Q75" s="585">
        <v>1</v>
      </c>
      <c r="R75" s="624">
        <v>1</v>
      </c>
      <c r="S75" s="31"/>
    </row>
    <row r="76" spans="1:19" s="4" customFormat="1" ht="18" customHeight="1">
      <c r="A76" s="1340"/>
      <c r="B76" s="1341"/>
      <c r="C76" s="1523"/>
      <c r="D76" s="84"/>
      <c r="E76" s="1299"/>
      <c r="F76" s="1467"/>
      <c r="G76" s="1488"/>
      <c r="H76" s="1543"/>
      <c r="I76" s="62" t="s">
        <v>127</v>
      </c>
      <c r="J76" s="128">
        <v>2904.2</v>
      </c>
      <c r="K76" s="192"/>
      <c r="L76" s="128"/>
      <c r="M76" s="128"/>
      <c r="N76" s="1489"/>
      <c r="O76" s="550"/>
      <c r="P76" s="550"/>
      <c r="Q76" s="585"/>
      <c r="R76" s="624"/>
      <c r="S76" s="31"/>
    </row>
    <row r="77" spans="1:19" s="4" customFormat="1" ht="13.5" thickBot="1">
      <c r="A77" s="1426"/>
      <c r="B77" s="1428"/>
      <c r="C77" s="1516"/>
      <c r="D77" s="78"/>
      <c r="E77" s="1466"/>
      <c r="F77" s="1468"/>
      <c r="G77" s="1470"/>
      <c r="H77" s="1545"/>
      <c r="I77" s="100" t="s">
        <v>50</v>
      </c>
      <c r="J77" s="121">
        <f t="shared" ref="J77:L77" si="7">J75+J76</f>
        <v>2958.2</v>
      </c>
      <c r="K77" s="264">
        <f t="shared" si="7"/>
        <v>3731.2</v>
      </c>
      <c r="L77" s="121">
        <f t="shared" si="7"/>
        <v>4449.6000000000004</v>
      </c>
      <c r="M77" s="121">
        <f t="shared" ref="M77" si="8">M75+M76</f>
        <v>4449.6000000000004</v>
      </c>
      <c r="N77" s="1490"/>
      <c r="O77" s="551"/>
      <c r="P77" s="551"/>
      <c r="Q77" s="586"/>
      <c r="R77" s="625"/>
      <c r="S77" s="31"/>
    </row>
    <row r="78" spans="1:19" s="4" customFormat="1" ht="21" customHeight="1">
      <c r="A78" s="1425" t="s">
        <v>13</v>
      </c>
      <c r="B78" s="1427" t="s">
        <v>13</v>
      </c>
      <c r="C78" s="1430" t="s">
        <v>37</v>
      </c>
      <c r="D78" s="84"/>
      <c r="E78" s="1465" t="s">
        <v>59</v>
      </c>
      <c r="F78" s="1467"/>
      <c r="G78" s="1469" t="s">
        <v>18</v>
      </c>
      <c r="H78" s="1581" t="s">
        <v>19</v>
      </c>
      <c r="I78" s="101" t="s">
        <v>20</v>
      </c>
      <c r="J78" s="173">
        <v>29</v>
      </c>
      <c r="K78" s="128">
        <v>29</v>
      </c>
      <c r="L78" s="128">
        <v>29</v>
      </c>
      <c r="M78" s="128">
        <v>29</v>
      </c>
      <c r="N78" s="32"/>
      <c r="O78" s="549"/>
      <c r="P78" s="549"/>
      <c r="Q78" s="584"/>
      <c r="R78" s="623"/>
      <c r="S78" s="31"/>
    </row>
    <row r="79" spans="1:19" s="4" customFormat="1" ht="18.75" customHeight="1" thickBot="1">
      <c r="A79" s="1426"/>
      <c r="B79" s="1428"/>
      <c r="C79" s="1431"/>
      <c r="D79" s="78"/>
      <c r="E79" s="1466"/>
      <c r="F79" s="1468"/>
      <c r="G79" s="1470"/>
      <c r="H79" s="1582"/>
      <c r="I79" s="97" t="s">
        <v>50</v>
      </c>
      <c r="J79" s="95">
        <f t="shared" ref="J79:L79" si="9">J78</f>
        <v>29</v>
      </c>
      <c r="K79" s="121">
        <f t="shared" si="9"/>
        <v>29</v>
      </c>
      <c r="L79" s="121">
        <f t="shared" si="9"/>
        <v>29</v>
      </c>
      <c r="M79" s="121">
        <f t="shared" ref="M79" si="10">M78</f>
        <v>29</v>
      </c>
      <c r="N79" s="129"/>
      <c r="O79" s="551"/>
      <c r="P79" s="551"/>
      <c r="Q79" s="586"/>
      <c r="R79" s="625"/>
      <c r="S79" s="31"/>
    </row>
    <row r="80" spans="1:19" s="1" customFormat="1" ht="56.25" customHeight="1">
      <c r="A80" s="33" t="s">
        <v>13</v>
      </c>
      <c r="B80" s="34" t="s">
        <v>13</v>
      </c>
      <c r="C80" s="432" t="s">
        <v>41</v>
      </c>
      <c r="D80" s="427"/>
      <c r="E80" s="629" t="s">
        <v>60</v>
      </c>
      <c r="F80" s="467"/>
      <c r="G80" s="468"/>
      <c r="H80" s="466"/>
      <c r="I80" s="90"/>
      <c r="J80" s="122"/>
      <c r="K80" s="122"/>
      <c r="L80" s="122"/>
      <c r="M80" s="122"/>
      <c r="N80" s="89"/>
      <c r="O80" s="228"/>
      <c r="P80" s="228"/>
      <c r="Q80" s="388"/>
      <c r="R80" s="391"/>
      <c r="S80" s="345"/>
    </row>
    <row r="81" spans="1:19" s="1" customFormat="1" ht="30.75" customHeight="1">
      <c r="A81" s="13"/>
      <c r="B81" s="14"/>
      <c r="C81" s="421"/>
      <c r="D81" s="518" t="s">
        <v>13</v>
      </c>
      <c r="E81" s="347" t="s">
        <v>62</v>
      </c>
      <c r="F81" s="37"/>
      <c r="G81" s="41">
        <v>1</v>
      </c>
      <c r="H81" s="149" t="s">
        <v>61</v>
      </c>
      <c r="I81" s="393" t="s">
        <v>20</v>
      </c>
      <c r="J81" s="394">
        <v>30</v>
      </c>
      <c r="K81" s="394">
        <v>21.8</v>
      </c>
      <c r="L81" s="394">
        <v>21.8</v>
      </c>
      <c r="M81" s="394">
        <v>21.8</v>
      </c>
      <c r="N81" s="607" t="s">
        <v>116</v>
      </c>
      <c r="O81" s="325">
        <v>50</v>
      </c>
      <c r="P81" s="211">
        <v>50</v>
      </c>
      <c r="Q81" s="465">
        <v>50</v>
      </c>
      <c r="R81" s="250">
        <v>50</v>
      </c>
      <c r="S81" s="345"/>
    </row>
    <row r="82" spans="1:19" s="1" customFormat="1" ht="14.25" customHeight="1">
      <c r="A82" s="13"/>
      <c r="B82" s="14"/>
      <c r="C82" s="421"/>
      <c r="D82" s="84" t="s">
        <v>22</v>
      </c>
      <c r="E82" s="1675" t="s">
        <v>63</v>
      </c>
      <c r="F82" s="37"/>
      <c r="G82" s="41"/>
      <c r="H82" s="149"/>
      <c r="I82" s="392" t="s">
        <v>24</v>
      </c>
      <c r="J82" s="93">
        <v>25</v>
      </c>
      <c r="K82" s="93">
        <v>22</v>
      </c>
      <c r="L82" s="93">
        <v>20</v>
      </c>
      <c r="M82" s="93">
        <v>20</v>
      </c>
      <c r="N82" s="1290" t="s">
        <v>144</v>
      </c>
      <c r="O82" s="512">
        <v>18</v>
      </c>
      <c r="P82" s="208">
        <v>18</v>
      </c>
      <c r="Q82" s="208">
        <v>17</v>
      </c>
      <c r="R82" s="248">
        <v>17</v>
      </c>
      <c r="S82" s="345"/>
    </row>
    <row r="83" spans="1:19" s="1" customFormat="1" ht="16.5" customHeight="1">
      <c r="A83" s="13"/>
      <c r="B83" s="14"/>
      <c r="C83" s="421"/>
      <c r="D83" s="84"/>
      <c r="E83" s="1676"/>
      <c r="F83" s="37"/>
      <c r="G83" s="41"/>
      <c r="H83" s="149"/>
      <c r="I83" s="52" t="s">
        <v>25</v>
      </c>
      <c r="J83" s="124"/>
      <c r="K83" s="124"/>
      <c r="L83" s="124"/>
      <c r="M83" s="124"/>
      <c r="N83" s="1578"/>
      <c r="O83" s="464"/>
      <c r="P83" s="206"/>
      <c r="Q83" s="206"/>
      <c r="R83" s="246"/>
      <c r="S83" s="345"/>
    </row>
    <row r="84" spans="1:19" s="1" customFormat="1" ht="28.5" customHeight="1">
      <c r="A84" s="13"/>
      <c r="B84" s="14"/>
      <c r="C84" s="421"/>
      <c r="D84" s="591" t="s">
        <v>26</v>
      </c>
      <c r="E84" s="1496" t="s">
        <v>64</v>
      </c>
      <c r="F84" s="37"/>
      <c r="G84" s="41"/>
      <c r="H84" s="150"/>
      <c r="I84" s="72" t="s">
        <v>24</v>
      </c>
      <c r="J84" s="328">
        <f>1.8+30.3</f>
        <v>32.1</v>
      </c>
      <c r="K84" s="93">
        <v>0.9</v>
      </c>
      <c r="L84" s="93">
        <v>0.9</v>
      </c>
      <c r="M84" s="93">
        <v>0.9</v>
      </c>
      <c r="N84" s="604" t="s">
        <v>145</v>
      </c>
      <c r="O84" s="748">
        <v>4</v>
      </c>
      <c r="P84" s="209">
        <v>4</v>
      </c>
      <c r="Q84" s="209">
        <v>2</v>
      </c>
      <c r="R84" s="247">
        <v>2</v>
      </c>
      <c r="S84" s="345"/>
    </row>
    <row r="85" spans="1:19" s="1" customFormat="1" ht="24.75" customHeight="1">
      <c r="A85" s="13"/>
      <c r="B85" s="14"/>
      <c r="C85" s="421"/>
      <c r="D85" s="595"/>
      <c r="E85" s="1478"/>
      <c r="F85" s="74"/>
      <c r="G85" s="139"/>
      <c r="H85" s="151"/>
      <c r="I85" s="52" t="s">
        <v>20</v>
      </c>
      <c r="J85" s="125"/>
      <c r="K85" s="125"/>
      <c r="L85" s="125"/>
      <c r="M85" s="125"/>
      <c r="N85" s="619"/>
      <c r="O85" s="229"/>
      <c r="P85" s="210"/>
      <c r="Q85" s="210"/>
      <c r="R85" s="251"/>
      <c r="S85" s="345"/>
    </row>
    <row r="86" spans="1:19" s="1" customFormat="1" ht="24" customHeight="1">
      <c r="A86" s="13"/>
      <c r="B86" s="40"/>
      <c r="C86" s="433"/>
      <c r="D86" s="557" t="s">
        <v>28</v>
      </c>
      <c r="E86" s="1298" t="s">
        <v>143</v>
      </c>
      <c r="F86" s="75"/>
      <c r="G86" s="148">
        <v>1</v>
      </c>
      <c r="H86" s="568" t="s">
        <v>65</v>
      </c>
      <c r="I86" s="77" t="s">
        <v>24</v>
      </c>
      <c r="J86" s="123">
        <v>4.5</v>
      </c>
      <c r="K86" s="123">
        <v>4.5</v>
      </c>
      <c r="L86" s="123">
        <v>4.5</v>
      </c>
      <c r="M86" s="123">
        <v>4.5</v>
      </c>
      <c r="N86" s="605" t="s">
        <v>99</v>
      </c>
      <c r="O86" s="226">
        <v>2</v>
      </c>
      <c r="P86" s="200">
        <v>2</v>
      </c>
      <c r="Q86" s="207">
        <v>2</v>
      </c>
      <c r="R86" s="252">
        <v>2</v>
      </c>
      <c r="S86" s="345"/>
    </row>
    <row r="87" spans="1:19" s="1" customFormat="1" ht="31.5" customHeight="1">
      <c r="A87" s="13"/>
      <c r="B87" s="40"/>
      <c r="C87" s="433"/>
      <c r="D87" s="558"/>
      <c r="E87" s="1484"/>
      <c r="F87" s="21"/>
      <c r="G87" s="139"/>
      <c r="H87" s="437"/>
      <c r="I87" s="52" t="s">
        <v>20</v>
      </c>
      <c r="J87" s="125"/>
      <c r="K87" s="94"/>
      <c r="L87" s="94"/>
      <c r="M87" s="94"/>
      <c r="N87" s="323"/>
      <c r="O87" s="218"/>
      <c r="P87" s="206"/>
      <c r="Q87" s="198"/>
      <c r="R87" s="253"/>
      <c r="S87" s="345"/>
    </row>
    <row r="88" spans="1:19" s="1" customFormat="1" ht="45" customHeight="1">
      <c r="A88" s="13"/>
      <c r="B88" s="14"/>
      <c r="C88" s="421"/>
      <c r="D88" s="428" t="s">
        <v>30</v>
      </c>
      <c r="E88" s="615" t="s">
        <v>66</v>
      </c>
      <c r="F88" s="162"/>
      <c r="G88" s="163">
        <v>1</v>
      </c>
      <c r="H88" s="164" t="s">
        <v>61</v>
      </c>
      <c r="I88" s="46" t="s">
        <v>20</v>
      </c>
      <c r="J88" s="177">
        <v>2.2000000000000002</v>
      </c>
      <c r="K88" s="126">
        <v>2.2000000000000002</v>
      </c>
      <c r="L88" s="126">
        <v>2.2000000000000002</v>
      </c>
      <c r="M88" s="126">
        <v>2.2000000000000002</v>
      </c>
      <c r="N88" s="303" t="s">
        <v>146</v>
      </c>
      <c r="O88" s="464">
        <v>10</v>
      </c>
      <c r="P88" s="206">
        <v>10</v>
      </c>
      <c r="Q88" s="211">
        <v>10</v>
      </c>
      <c r="R88" s="249">
        <v>10</v>
      </c>
      <c r="S88" s="345"/>
    </row>
    <row r="89" spans="1:19" s="1" customFormat="1" ht="54" customHeight="1">
      <c r="A89" s="13"/>
      <c r="B89" s="40"/>
      <c r="C89" s="433"/>
      <c r="D89" s="429" t="s">
        <v>33</v>
      </c>
      <c r="E89" s="526" t="s">
        <v>151</v>
      </c>
      <c r="F89" s="528"/>
      <c r="G89" s="41"/>
      <c r="H89" s="149"/>
      <c r="I89" s="52" t="s">
        <v>20</v>
      </c>
      <c r="J89" s="125">
        <v>7.6</v>
      </c>
      <c r="K89" s="94">
        <v>7.6</v>
      </c>
      <c r="L89" s="94">
        <v>7.6</v>
      </c>
      <c r="M89" s="94">
        <v>7.6</v>
      </c>
      <c r="N89" s="336" t="s">
        <v>149</v>
      </c>
      <c r="O89" s="465">
        <v>116</v>
      </c>
      <c r="P89" s="211">
        <v>116</v>
      </c>
      <c r="Q89" s="206">
        <v>116</v>
      </c>
      <c r="R89" s="246">
        <v>116</v>
      </c>
      <c r="S89" s="345"/>
    </row>
    <row r="90" spans="1:19" s="1" customFormat="1" ht="25.5" customHeight="1">
      <c r="A90" s="13"/>
      <c r="B90" s="14"/>
      <c r="C90" s="433"/>
      <c r="D90" s="1430" t="s">
        <v>36</v>
      </c>
      <c r="E90" s="1480" t="s">
        <v>67</v>
      </c>
      <c r="F90" s="528"/>
      <c r="G90" s="41"/>
      <c r="H90" s="149"/>
      <c r="I90" s="77" t="s">
        <v>20</v>
      </c>
      <c r="J90" s="289"/>
      <c r="K90" s="397"/>
      <c r="L90" s="283"/>
      <c r="M90" s="283"/>
      <c r="N90" s="324" t="s">
        <v>98</v>
      </c>
      <c r="O90" s="254">
        <v>1</v>
      </c>
      <c r="P90" s="256"/>
      <c r="Q90" s="256"/>
      <c r="R90" s="255"/>
      <c r="S90" s="345"/>
    </row>
    <row r="91" spans="1:19" s="1" customFormat="1" ht="19.5" customHeight="1">
      <c r="A91" s="13"/>
      <c r="B91" s="14"/>
      <c r="C91" s="433"/>
      <c r="D91" s="1590"/>
      <c r="E91" s="1439"/>
      <c r="F91" s="528"/>
      <c r="G91" s="41"/>
      <c r="H91" s="149"/>
      <c r="I91" s="52" t="s">
        <v>20</v>
      </c>
      <c r="J91" s="242">
        <v>1.5</v>
      </c>
      <c r="K91" s="342">
        <v>2</v>
      </c>
      <c r="L91" s="342">
        <v>0.8</v>
      </c>
      <c r="M91" s="342">
        <v>0.8</v>
      </c>
      <c r="N91" s="619" t="s">
        <v>68</v>
      </c>
      <c r="O91" s="229">
        <v>19</v>
      </c>
      <c r="P91" s="210">
        <v>19</v>
      </c>
      <c r="Q91" s="210">
        <v>25</v>
      </c>
      <c r="R91" s="251">
        <v>10</v>
      </c>
      <c r="S91" s="345"/>
    </row>
    <row r="92" spans="1:19" s="1" customFormat="1" ht="42" customHeight="1">
      <c r="A92" s="13"/>
      <c r="B92" s="40"/>
      <c r="C92" s="433"/>
      <c r="D92" s="430" t="s">
        <v>37</v>
      </c>
      <c r="E92" s="526" t="s">
        <v>69</v>
      </c>
      <c r="F92" s="528"/>
      <c r="G92" s="41"/>
      <c r="H92" s="149"/>
      <c r="I92" s="52" t="s">
        <v>20</v>
      </c>
      <c r="J92" s="125">
        <v>7.8</v>
      </c>
      <c r="K92" s="94">
        <v>7.8</v>
      </c>
      <c r="L92" s="94">
        <v>7.8</v>
      </c>
      <c r="M92" s="94">
        <v>7.8</v>
      </c>
      <c r="N92" s="336" t="s">
        <v>70</v>
      </c>
      <c r="O92" s="464">
        <v>110</v>
      </c>
      <c r="P92" s="206">
        <v>100</v>
      </c>
      <c r="Q92" s="206">
        <v>100</v>
      </c>
      <c r="R92" s="246">
        <v>100</v>
      </c>
      <c r="S92" s="345"/>
    </row>
    <row r="93" spans="1:19" s="1" customFormat="1" ht="30" customHeight="1">
      <c r="A93" s="13"/>
      <c r="B93" s="40"/>
      <c r="C93" s="433"/>
      <c r="D93" s="498" t="s">
        <v>41</v>
      </c>
      <c r="E93" s="601" t="s">
        <v>71</v>
      </c>
      <c r="F93" s="528"/>
      <c r="G93" s="41"/>
      <c r="H93" s="150"/>
      <c r="I93" s="77" t="s">
        <v>20</v>
      </c>
      <c r="J93" s="123">
        <v>40</v>
      </c>
      <c r="K93" s="292"/>
      <c r="L93" s="292"/>
      <c r="M93" s="292"/>
      <c r="N93" s="499" t="s">
        <v>196</v>
      </c>
      <c r="O93" s="500">
        <v>1</v>
      </c>
      <c r="P93" s="500"/>
      <c r="Q93" s="500"/>
      <c r="R93" s="250"/>
      <c r="S93" s="345"/>
    </row>
    <row r="94" spans="1:19" s="1" customFormat="1" ht="43.5" customHeight="1">
      <c r="A94" s="13"/>
      <c r="B94" s="40"/>
      <c r="C94" s="434"/>
      <c r="D94" s="431"/>
      <c r="E94" s="602"/>
      <c r="F94" s="528"/>
      <c r="G94" s="41"/>
      <c r="H94" s="150"/>
      <c r="I94" s="552"/>
      <c r="J94" s="93"/>
      <c r="K94" s="309"/>
      <c r="L94" s="309"/>
      <c r="M94" s="309"/>
      <c r="N94" s="599" t="s">
        <v>202</v>
      </c>
      <c r="O94" s="738">
        <v>1</v>
      </c>
      <c r="P94" s="208"/>
      <c r="Q94" s="208"/>
      <c r="R94" s="621"/>
      <c r="S94" s="345"/>
    </row>
    <row r="95" spans="1:19" s="1" customFormat="1" ht="15" customHeight="1">
      <c r="A95" s="13"/>
      <c r="B95" s="40"/>
      <c r="C95" s="434"/>
      <c r="D95" s="557" t="s">
        <v>45</v>
      </c>
      <c r="E95" s="1326" t="s">
        <v>72</v>
      </c>
      <c r="F95" s="528"/>
      <c r="G95" s="41"/>
      <c r="H95" s="1682" t="s">
        <v>61</v>
      </c>
      <c r="I95" s="501" t="s">
        <v>127</v>
      </c>
      <c r="J95" s="696">
        <f>48+31.6</f>
        <v>79.599999999999994</v>
      </c>
      <c r="K95" s="292"/>
      <c r="L95" s="292"/>
      <c r="M95" s="292"/>
      <c r="N95" s="1531" t="s">
        <v>210</v>
      </c>
      <c r="O95" s="650">
        <v>100</v>
      </c>
      <c r="P95" s="650"/>
      <c r="Q95" s="389"/>
      <c r="R95" s="294"/>
      <c r="S95" s="345"/>
    </row>
    <row r="96" spans="1:19" s="1" customFormat="1" ht="14.25" customHeight="1">
      <c r="A96" s="13"/>
      <c r="B96" s="40"/>
      <c r="C96" s="434"/>
      <c r="D96" s="594"/>
      <c r="E96" s="1453"/>
      <c r="F96" s="528"/>
      <c r="G96" s="41"/>
      <c r="H96" s="1657"/>
      <c r="I96" s="55" t="s">
        <v>24</v>
      </c>
      <c r="J96" s="328">
        <f>95.4-30.3</f>
        <v>65.100000000000009</v>
      </c>
      <c r="K96" s="309"/>
      <c r="L96" s="309"/>
      <c r="M96" s="309"/>
      <c r="N96" s="1532"/>
      <c r="O96" s="550"/>
      <c r="P96" s="550"/>
      <c r="Q96" s="234"/>
      <c r="R96" s="502"/>
      <c r="S96" s="345"/>
    </row>
    <row r="97" spans="1:23" s="1" customFormat="1" ht="15.75" customHeight="1">
      <c r="A97" s="13"/>
      <c r="B97" s="40"/>
      <c r="C97" s="434"/>
      <c r="D97" s="594"/>
      <c r="E97" s="1453"/>
      <c r="F97" s="528"/>
      <c r="G97" s="41"/>
      <c r="H97" s="1657"/>
      <c r="I97" s="55" t="s">
        <v>20</v>
      </c>
      <c r="J97" s="93"/>
      <c r="K97" s="309">
        <v>28</v>
      </c>
      <c r="L97" s="309">
        <v>28</v>
      </c>
      <c r="M97" s="309">
        <v>28</v>
      </c>
      <c r="N97" s="1534" t="s">
        <v>208</v>
      </c>
      <c r="O97" s="216">
        <v>100</v>
      </c>
      <c r="P97" s="216"/>
      <c r="Q97" s="508"/>
      <c r="R97" s="509"/>
      <c r="S97" s="345"/>
    </row>
    <row r="98" spans="1:23" s="1" customFormat="1" ht="12.75" customHeight="1">
      <c r="A98" s="13"/>
      <c r="B98" s="40"/>
      <c r="C98" s="434"/>
      <c r="D98" s="594"/>
      <c r="E98" s="1453"/>
      <c r="F98" s="528"/>
      <c r="G98" s="41"/>
      <c r="H98" s="1657"/>
      <c r="I98" s="55"/>
      <c r="J98" s="93"/>
      <c r="K98" s="309"/>
      <c r="L98" s="110"/>
      <c r="M98" s="110"/>
      <c r="N98" s="1535"/>
      <c r="O98" s="217"/>
      <c r="P98" s="217"/>
      <c r="Q98" s="438"/>
      <c r="R98" s="510"/>
      <c r="S98" s="345"/>
    </row>
    <row r="99" spans="1:23" s="1" customFormat="1" ht="27" customHeight="1">
      <c r="A99" s="13"/>
      <c r="B99" s="40"/>
      <c r="C99" s="434"/>
      <c r="D99" s="594"/>
      <c r="E99" s="1453"/>
      <c r="F99" s="528"/>
      <c r="G99" s="41"/>
      <c r="H99" s="1657"/>
      <c r="I99" s="727"/>
      <c r="J99" s="110"/>
      <c r="K99" s="309"/>
      <c r="L99" s="309"/>
      <c r="M99" s="309"/>
      <c r="N99" s="704" t="s">
        <v>226</v>
      </c>
      <c r="O99" s="749">
        <v>1</v>
      </c>
      <c r="P99" s="216"/>
      <c r="Q99" s="508"/>
      <c r="R99" s="509"/>
      <c r="S99" s="345"/>
    </row>
    <row r="100" spans="1:23" s="1" customFormat="1" ht="27" customHeight="1">
      <c r="A100" s="13"/>
      <c r="B100" s="40"/>
      <c r="C100" s="434"/>
      <c r="D100" s="730"/>
      <c r="E100" s="1453"/>
      <c r="F100" s="528"/>
      <c r="G100" s="41"/>
      <c r="H100" s="1657"/>
      <c r="I100" s="727"/>
      <c r="J100" s="110"/>
      <c r="K100" s="309"/>
      <c r="L100" s="309"/>
      <c r="M100" s="309"/>
      <c r="N100" s="279" t="s">
        <v>209</v>
      </c>
      <c r="O100" s="217"/>
      <c r="P100" s="752">
        <v>100</v>
      </c>
      <c r="Q100" s="438"/>
      <c r="R100" s="510"/>
      <c r="S100" s="345"/>
    </row>
    <row r="101" spans="1:23" s="1" customFormat="1" ht="27" customHeight="1">
      <c r="A101" s="13"/>
      <c r="B101" s="40"/>
      <c r="C101" s="434"/>
      <c r="D101" s="682"/>
      <c r="E101" s="1453"/>
      <c r="F101" s="528"/>
      <c r="G101" s="41"/>
      <c r="H101" s="1683"/>
      <c r="I101" s="114"/>
      <c r="J101" s="116"/>
      <c r="K101" s="94"/>
      <c r="L101" s="94"/>
      <c r="M101" s="94"/>
      <c r="N101" s="505" t="s">
        <v>220</v>
      </c>
      <c r="O101" s="506">
        <v>100</v>
      </c>
      <c r="P101" s="506"/>
      <c r="Q101" s="507"/>
      <c r="R101" s="504"/>
      <c r="S101" s="345"/>
    </row>
    <row r="102" spans="1:23" s="1" customFormat="1" ht="22.5" customHeight="1">
      <c r="A102" s="13"/>
      <c r="B102" s="40"/>
      <c r="C102" s="434"/>
      <c r="D102" s="576"/>
      <c r="E102" s="608"/>
      <c r="F102" s="528"/>
      <c r="G102" s="529"/>
      <c r="H102" s="1657" t="s">
        <v>23</v>
      </c>
      <c r="I102" s="750" t="s">
        <v>127</v>
      </c>
      <c r="J102" s="751">
        <v>209.1</v>
      </c>
      <c r="K102" s="110"/>
      <c r="L102" s="110"/>
      <c r="M102" s="110"/>
      <c r="N102" s="1561" t="s">
        <v>206</v>
      </c>
      <c r="O102" s="226">
        <v>100</v>
      </c>
      <c r="P102" s="226"/>
      <c r="Q102" s="389"/>
      <c r="R102" s="294"/>
      <c r="S102" s="345"/>
    </row>
    <row r="103" spans="1:23" s="1" customFormat="1" ht="19.5" customHeight="1">
      <c r="A103" s="13"/>
      <c r="B103" s="40"/>
      <c r="C103" s="434"/>
      <c r="D103" s="576"/>
      <c r="E103" s="608"/>
      <c r="F103" s="528"/>
      <c r="G103" s="529"/>
      <c r="H103" s="1657"/>
      <c r="I103" s="727" t="s">
        <v>25</v>
      </c>
      <c r="J103" s="110">
        <v>43</v>
      </c>
      <c r="K103" s="110"/>
      <c r="L103" s="110"/>
      <c r="M103" s="110"/>
      <c r="N103" s="1562"/>
      <c r="O103" s="217"/>
      <c r="P103" s="217"/>
      <c r="Q103" s="438"/>
      <c r="R103" s="469"/>
      <c r="S103" s="345"/>
    </row>
    <row r="104" spans="1:23" s="1" customFormat="1" ht="29.25" customHeight="1">
      <c r="A104" s="13"/>
      <c r="B104" s="40"/>
      <c r="C104" s="434"/>
      <c r="D104" s="517"/>
      <c r="E104" s="610"/>
      <c r="F104" s="37"/>
      <c r="G104" s="497"/>
      <c r="H104" s="1658"/>
      <c r="I104" s="322"/>
      <c r="J104" s="116"/>
      <c r="K104" s="116"/>
      <c r="L104" s="116"/>
      <c r="M104" s="116"/>
      <c r="N104" s="27" t="s">
        <v>182</v>
      </c>
      <c r="O104" s="218">
        <v>100</v>
      </c>
      <c r="P104" s="218"/>
      <c r="Q104" s="390"/>
      <c r="R104" s="257"/>
      <c r="S104" s="345"/>
    </row>
    <row r="105" spans="1:23" s="1" customFormat="1" ht="15.75" customHeight="1">
      <c r="A105" s="13"/>
      <c r="B105" s="14"/>
      <c r="C105" s="433"/>
      <c r="D105" s="1589" t="s">
        <v>47</v>
      </c>
      <c r="E105" s="1664" t="s">
        <v>188</v>
      </c>
      <c r="F105" s="528"/>
      <c r="G105" s="41"/>
      <c r="H105" s="1665" t="s">
        <v>61</v>
      </c>
      <c r="I105" s="26" t="s">
        <v>20</v>
      </c>
      <c r="J105" s="283"/>
      <c r="K105" s="397"/>
      <c r="L105" s="283"/>
      <c r="M105" s="283"/>
      <c r="N105" s="684" t="s">
        <v>157</v>
      </c>
      <c r="O105" s="398">
        <v>1</v>
      </c>
      <c r="P105" s="398"/>
      <c r="Q105" s="398"/>
      <c r="R105" s="399"/>
      <c r="S105" s="345"/>
    </row>
    <row r="106" spans="1:23" s="1" customFormat="1" ht="26.25" customHeight="1">
      <c r="A106" s="13"/>
      <c r="B106" s="14"/>
      <c r="C106" s="433"/>
      <c r="D106" s="1590"/>
      <c r="E106" s="1664"/>
      <c r="F106" s="528"/>
      <c r="G106" s="41"/>
      <c r="H106" s="1666"/>
      <c r="I106" s="22" t="s">
        <v>127</v>
      </c>
      <c r="J106" s="287">
        <v>87.2</v>
      </c>
      <c r="K106" s="342"/>
      <c r="L106" s="342"/>
      <c r="M106" s="342"/>
      <c r="N106" s="683"/>
      <c r="O106" s="395"/>
      <c r="P106" s="395"/>
      <c r="Q106" s="395"/>
      <c r="R106" s="396"/>
      <c r="S106" s="345"/>
    </row>
    <row r="107" spans="1:23" s="1" customFormat="1" ht="15.75" customHeight="1" thickBot="1">
      <c r="A107" s="574"/>
      <c r="B107" s="383"/>
      <c r="C107" s="426"/>
      <c r="D107" s="409"/>
      <c r="E107" s="407"/>
      <c r="F107" s="408"/>
      <c r="G107" s="409"/>
      <c r="H107" s="264"/>
      <c r="I107" s="606" t="s">
        <v>50</v>
      </c>
      <c r="J107" s="753">
        <f>SUM(J81:J106)</f>
        <v>634.70000000000005</v>
      </c>
      <c r="K107" s="95">
        <f>SUM(K81:K106)</f>
        <v>96.8</v>
      </c>
      <c r="L107" s="95">
        <f>SUM(L81:L106)</f>
        <v>93.6</v>
      </c>
      <c r="M107" s="95">
        <f>SUM(M81:M106)</f>
        <v>93.6</v>
      </c>
      <c r="N107" s="410"/>
      <c r="O107" s="411"/>
      <c r="P107" s="412"/>
      <c r="Q107" s="413"/>
      <c r="R107" s="414"/>
      <c r="S107" s="345"/>
      <c r="W107" s="1" t="s">
        <v>219</v>
      </c>
    </row>
    <row r="108" spans="1:23" s="1" customFormat="1" ht="44.25" customHeight="1">
      <c r="A108" s="1425" t="s">
        <v>13</v>
      </c>
      <c r="B108" s="1427" t="s">
        <v>13</v>
      </c>
      <c r="C108" s="1515" t="s">
        <v>45</v>
      </c>
      <c r="D108" s="1677"/>
      <c r="E108" s="1432" t="s">
        <v>73</v>
      </c>
      <c r="F108" s="1435"/>
      <c r="G108" s="1448">
        <v>1</v>
      </c>
      <c r="H108" s="1529" t="s">
        <v>111</v>
      </c>
      <c r="I108" s="42" t="s">
        <v>20</v>
      </c>
      <c r="J108" s="179">
        <v>9</v>
      </c>
      <c r="K108" s="132">
        <v>9</v>
      </c>
      <c r="L108" s="132">
        <v>9</v>
      </c>
      <c r="M108" s="132">
        <v>9</v>
      </c>
      <c r="N108" s="51" t="s">
        <v>74</v>
      </c>
      <c r="O108" s="549">
        <v>4</v>
      </c>
      <c r="P108" s="616">
        <v>4</v>
      </c>
      <c r="Q108" s="616">
        <v>4</v>
      </c>
      <c r="R108" s="623">
        <v>4</v>
      </c>
      <c r="S108" s="345"/>
    </row>
    <row r="109" spans="1:23" s="1" customFormat="1" ht="19.5" customHeight="1" thickBot="1">
      <c r="A109" s="1426"/>
      <c r="B109" s="1428"/>
      <c r="C109" s="1516"/>
      <c r="D109" s="1678"/>
      <c r="E109" s="1434"/>
      <c r="F109" s="1437"/>
      <c r="G109" s="1450"/>
      <c r="H109" s="1545"/>
      <c r="I109" s="44" t="s">
        <v>50</v>
      </c>
      <c r="J109" s="95">
        <f t="shared" ref="J109:L109" si="11">SUM(J108)</f>
        <v>9</v>
      </c>
      <c r="K109" s="121">
        <f t="shared" si="11"/>
        <v>9</v>
      </c>
      <c r="L109" s="121">
        <f t="shared" si="11"/>
        <v>9</v>
      </c>
      <c r="M109" s="121">
        <f t="shared" ref="M109" si="12">SUM(M108)</f>
        <v>9</v>
      </c>
      <c r="N109" s="129"/>
      <c r="O109" s="551"/>
      <c r="P109" s="617"/>
      <c r="Q109" s="617"/>
      <c r="R109" s="625"/>
      <c r="S109" s="345"/>
    </row>
    <row r="110" spans="1:23" s="45" customFormat="1" ht="23.25" customHeight="1">
      <c r="A110" s="1425" t="s">
        <v>13</v>
      </c>
      <c r="B110" s="1427" t="s">
        <v>13</v>
      </c>
      <c r="C110" s="1571" t="s">
        <v>47</v>
      </c>
      <c r="D110" s="1573"/>
      <c r="E110" s="632" t="s">
        <v>186</v>
      </c>
      <c r="F110" s="733"/>
      <c r="G110" s="591">
        <v>5</v>
      </c>
      <c r="H110" s="568" t="s">
        <v>131</v>
      </c>
      <c r="I110" s="77" t="s">
        <v>21</v>
      </c>
      <c r="J110" s="696">
        <v>5.2</v>
      </c>
      <c r="K110" s="109">
        <v>4.8</v>
      </c>
      <c r="L110" s="109">
        <v>4.8</v>
      </c>
      <c r="M110" s="109">
        <v>4.8</v>
      </c>
      <c r="N110" s="1289" t="s">
        <v>107</v>
      </c>
      <c r="O110" s="550">
        <v>1</v>
      </c>
      <c r="P110" s="196">
        <v>1</v>
      </c>
      <c r="Q110" s="549">
        <v>1</v>
      </c>
      <c r="R110" s="624">
        <v>1</v>
      </c>
      <c r="S110" s="555"/>
    </row>
    <row r="111" spans="1:23" s="45" customFormat="1" ht="13.5" customHeight="1">
      <c r="A111" s="1340"/>
      <c r="B111" s="1341"/>
      <c r="C111" s="1523"/>
      <c r="D111" s="1574"/>
      <c r="E111" s="539"/>
      <c r="F111" s="754"/>
      <c r="G111" s="737"/>
      <c r="H111" s="743"/>
      <c r="I111" s="72"/>
      <c r="J111" s="328"/>
      <c r="K111" s="110"/>
      <c r="L111" s="110"/>
      <c r="M111" s="110"/>
      <c r="N111" s="1454"/>
      <c r="O111" s="550"/>
      <c r="P111" s="739"/>
      <c r="Q111" s="550"/>
      <c r="R111" s="742"/>
      <c r="S111" s="555"/>
    </row>
    <row r="112" spans="1:23" s="45" customFormat="1" ht="18.75" customHeight="1" thickBot="1">
      <c r="A112" s="1426"/>
      <c r="B112" s="1428"/>
      <c r="C112" s="1572"/>
      <c r="D112" s="1575"/>
      <c r="E112" s="300"/>
      <c r="F112" s="563"/>
      <c r="G112" s="320"/>
      <c r="H112" s="571"/>
      <c r="I112" s="44" t="s">
        <v>50</v>
      </c>
      <c r="J112" s="121">
        <f>SUM(J110:J110)</f>
        <v>5.2</v>
      </c>
      <c r="K112" s="121">
        <f>SUM(K110:K110)</f>
        <v>4.8</v>
      </c>
      <c r="L112" s="121">
        <f>SUM(L110:L110)</f>
        <v>4.8</v>
      </c>
      <c r="M112" s="121">
        <f>SUM(M110:M110)</f>
        <v>4.8</v>
      </c>
      <c r="N112" s="560"/>
      <c r="O112" s="551"/>
      <c r="P112" s="740"/>
      <c r="Q112" s="551"/>
      <c r="R112" s="625"/>
      <c r="S112" s="555"/>
    </row>
    <row r="113" spans="1:19" s="1" customFormat="1" ht="15" customHeight="1" thickBot="1">
      <c r="A113" s="574" t="s">
        <v>13</v>
      </c>
      <c r="B113" s="579" t="s">
        <v>13</v>
      </c>
      <c r="C113" s="1274" t="s">
        <v>75</v>
      </c>
      <c r="D113" s="1275"/>
      <c r="E113" s="1275"/>
      <c r="F113" s="1275"/>
      <c r="G113" s="1275"/>
      <c r="H113" s="1275"/>
      <c r="I113" s="1276"/>
      <c r="J113" s="127">
        <f>J112+J109+J107+J79+J77+J74+J60+J58+J54+J50+J47</f>
        <v>12309.399999999998</v>
      </c>
      <c r="K113" s="127">
        <f>K112+K109+K107+K79+K77+K74+K60+K58+K54+K50+K47</f>
        <v>12245.299999999997</v>
      </c>
      <c r="L113" s="127">
        <f>L112+L109+L107+L79+L77+L74+L60+L58+L54+L50+L47</f>
        <v>12960.499999999998</v>
      </c>
      <c r="M113" s="127">
        <f>M112+M109+M107+M79+M77+M74+M60+M58+M54+M50+M47</f>
        <v>5462.0999999999995</v>
      </c>
      <c r="N113" s="47"/>
      <c r="O113" s="212"/>
      <c r="P113" s="327"/>
      <c r="Q113" s="327"/>
      <c r="R113" s="48"/>
      <c r="S113" s="345"/>
    </row>
    <row r="114" spans="1:19" s="1" customFormat="1" ht="17.25" customHeight="1" thickBot="1">
      <c r="A114" s="49" t="s">
        <v>13</v>
      </c>
      <c r="B114" s="50" t="s">
        <v>22</v>
      </c>
      <c r="C114" s="1277" t="s">
        <v>76</v>
      </c>
      <c r="D114" s="1278"/>
      <c r="E114" s="1278"/>
      <c r="F114" s="1278"/>
      <c r="G114" s="1278"/>
      <c r="H114" s="1278"/>
      <c r="I114" s="1278"/>
      <c r="J114" s="1278"/>
      <c r="K114" s="1278"/>
      <c r="L114" s="1278"/>
      <c r="M114" s="1278"/>
      <c r="N114" s="1278"/>
      <c r="O114" s="1278"/>
      <c r="P114" s="1278"/>
      <c r="Q114" s="1278"/>
      <c r="R114" s="1279"/>
      <c r="S114" s="345"/>
    </row>
    <row r="115" spans="1:19" s="1" customFormat="1" ht="15.75" customHeight="1">
      <c r="A115" s="728" t="s">
        <v>13</v>
      </c>
      <c r="B115" s="729" t="s">
        <v>22</v>
      </c>
      <c r="C115" s="737" t="s">
        <v>13</v>
      </c>
      <c r="D115" s="745"/>
      <c r="E115" s="1496" t="s">
        <v>117</v>
      </c>
      <c r="F115" s="1446" t="s">
        <v>124</v>
      </c>
      <c r="G115" s="747"/>
      <c r="H115" s="1540" t="s">
        <v>77</v>
      </c>
      <c r="I115" s="400" t="s">
        <v>20</v>
      </c>
      <c r="J115" s="109">
        <f>473.7+13.3</f>
        <v>487</v>
      </c>
      <c r="K115" s="482">
        <v>465</v>
      </c>
      <c r="L115" s="482">
        <v>465</v>
      </c>
      <c r="M115" s="482">
        <v>465</v>
      </c>
      <c r="N115" s="281" t="s">
        <v>109</v>
      </c>
      <c r="O115" s="291">
        <v>439</v>
      </c>
      <c r="P115" s="291">
        <v>439</v>
      </c>
      <c r="Q115" s="291">
        <v>439</v>
      </c>
      <c r="R115" s="276">
        <v>439</v>
      </c>
      <c r="S115" s="345"/>
    </row>
    <row r="116" spans="1:19" s="1" customFormat="1" ht="26.25" customHeight="1">
      <c r="A116" s="573"/>
      <c r="B116" s="578"/>
      <c r="C116" s="737"/>
      <c r="D116" s="737"/>
      <c r="E116" s="1445"/>
      <c r="F116" s="1447"/>
      <c r="G116" s="737"/>
      <c r="H116" s="1541"/>
      <c r="I116" s="130" t="s">
        <v>127</v>
      </c>
      <c r="J116" s="110">
        <v>9</v>
      </c>
      <c r="K116" s="181"/>
      <c r="L116" s="110"/>
      <c r="M116" s="110"/>
      <c r="N116" s="626" t="s">
        <v>179</v>
      </c>
      <c r="O116" s="277">
        <v>439</v>
      </c>
      <c r="P116" s="277">
        <v>439</v>
      </c>
      <c r="Q116" s="277">
        <v>439</v>
      </c>
      <c r="R116" s="278">
        <v>439</v>
      </c>
      <c r="S116" s="345"/>
    </row>
    <row r="117" spans="1:19" s="1" customFormat="1" ht="17.25" customHeight="1">
      <c r="A117" s="573"/>
      <c r="B117" s="578"/>
      <c r="C117" s="737"/>
      <c r="D117" s="737"/>
      <c r="E117" s="731"/>
      <c r="F117" s="1447"/>
      <c r="G117" s="737"/>
      <c r="H117" s="1541"/>
      <c r="I117" s="130"/>
      <c r="J117" s="110"/>
      <c r="K117" s="181"/>
      <c r="L117" s="110"/>
      <c r="M117" s="110"/>
      <c r="N117" s="159" t="s">
        <v>110</v>
      </c>
      <c r="O117" s="260">
        <v>5</v>
      </c>
      <c r="P117" s="260">
        <v>5</v>
      </c>
      <c r="Q117" s="260">
        <v>10</v>
      </c>
      <c r="R117" s="259">
        <v>70</v>
      </c>
      <c r="S117" s="345"/>
    </row>
    <row r="118" spans="1:19" s="1" customFormat="1" ht="17.25" customHeight="1">
      <c r="A118" s="573"/>
      <c r="B118" s="578"/>
      <c r="C118" s="737"/>
      <c r="D118" s="737"/>
      <c r="E118" s="731"/>
      <c r="F118" s="1447"/>
      <c r="G118" s="737"/>
      <c r="H118" s="1541"/>
      <c r="I118" s="130"/>
      <c r="J118" s="110"/>
      <c r="K118" s="181"/>
      <c r="L118" s="110"/>
      <c r="M118" s="110"/>
      <c r="N118" s="159" t="s">
        <v>108</v>
      </c>
      <c r="O118" s="260">
        <v>0</v>
      </c>
      <c r="P118" s="260">
        <v>15</v>
      </c>
      <c r="Q118" s="260">
        <v>0</v>
      </c>
      <c r="R118" s="259">
        <v>15</v>
      </c>
      <c r="S118" s="345"/>
    </row>
    <row r="119" spans="1:19" s="1" customFormat="1" ht="17.25" customHeight="1">
      <c r="A119" s="573"/>
      <c r="B119" s="578"/>
      <c r="C119" s="737"/>
      <c r="D119" s="737"/>
      <c r="E119" s="744"/>
      <c r="F119" s="1447"/>
      <c r="G119" s="737"/>
      <c r="H119" s="152"/>
      <c r="I119" s="130"/>
      <c r="J119" s="110"/>
      <c r="K119" s="181"/>
      <c r="L119" s="110"/>
      <c r="M119" s="110"/>
      <c r="N119" s="279" t="s">
        <v>147</v>
      </c>
      <c r="O119" s="280">
        <v>3</v>
      </c>
      <c r="P119" s="280">
        <v>3</v>
      </c>
      <c r="Q119" s="280">
        <v>3</v>
      </c>
      <c r="R119" s="259">
        <v>4</v>
      </c>
      <c r="S119" s="345"/>
    </row>
    <row r="120" spans="1:19" s="1" customFormat="1" ht="18.75" customHeight="1">
      <c r="A120" s="680"/>
      <c r="B120" s="681"/>
      <c r="C120" s="737"/>
      <c r="D120" s="737"/>
      <c r="E120" s="744"/>
      <c r="F120" s="1447"/>
      <c r="G120" s="737"/>
      <c r="H120" s="152"/>
      <c r="I120" s="130"/>
      <c r="J120" s="110"/>
      <c r="K120" s="181"/>
      <c r="L120" s="110"/>
      <c r="M120" s="110"/>
      <c r="N120" s="159" t="s">
        <v>148</v>
      </c>
      <c r="O120" s="260">
        <v>14</v>
      </c>
      <c r="P120" s="260">
        <v>14</v>
      </c>
      <c r="Q120" s="260">
        <v>14</v>
      </c>
      <c r="R120" s="259">
        <v>14</v>
      </c>
      <c r="S120" s="345"/>
    </row>
    <row r="121" spans="1:19" s="1" customFormat="1" ht="16.5" customHeight="1">
      <c r="A121" s="573"/>
      <c r="B121" s="578"/>
      <c r="C121" s="737"/>
      <c r="D121" s="737"/>
      <c r="E121" s="744"/>
      <c r="F121" s="1447"/>
      <c r="G121" s="737"/>
      <c r="H121" s="152"/>
      <c r="I121" s="131"/>
      <c r="J121" s="116"/>
      <c r="K121" s="183"/>
      <c r="L121" s="116"/>
      <c r="M121" s="116"/>
      <c r="N121" s="741" t="s">
        <v>221</v>
      </c>
      <c r="O121" s="546">
        <v>1</v>
      </c>
      <c r="P121" s="546"/>
      <c r="Q121" s="546"/>
      <c r="R121" s="338"/>
      <c r="S121" s="345"/>
    </row>
    <row r="122" spans="1:19" s="45" customFormat="1" ht="15.75" customHeight="1" thickBot="1">
      <c r="A122" s="728"/>
      <c r="B122" s="729"/>
      <c r="C122" s="737"/>
      <c r="D122" s="732"/>
      <c r="E122" s="300"/>
      <c r="F122" s="734"/>
      <c r="G122" s="320"/>
      <c r="H122" s="746"/>
      <c r="I122" s="44" t="s">
        <v>50</v>
      </c>
      <c r="J122" s="121">
        <f>SUM(J115:J121)</f>
        <v>496</v>
      </c>
      <c r="K122" s="121">
        <f t="shared" ref="K122:M122" si="13">SUM(K115:K121)</f>
        <v>465</v>
      </c>
      <c r="L122" s="121">
        <f t="shared" si="13"/>
        <v>465</v>
      </c>
      <c r="M122" s="121">
        <f t="shared" si="13"/>
        <v>465</v>
      </c>
      <c r="N122" s="735"/>
      <c r="O122" s="551"/>
      <c r="P122" s="740"/>
      <c r="Q122" s="551"/>
      <c r="R122" s="736"/>
      <c r="S122" s="555"/>
    </row>
    <row r="123" spans="1:19" s="1" customFormat="1" ht="13.5" thickBot="1">
      <c r="A123" s="49" t="s">
        <v>13</v>
      </c>
      <c r="B123" s="53" t="s">
        <v>22</v>
      </c>
      <c r="C123" s="1352" t="s">
        <v>75</v>
      </c>
      <c r="D123" s="1353"/>
      <c r="E123" s="1353"/>
      <c r="F123" s="1353"/>
      <c r="G123" s="1353"/>
      <c r="H123" s="1275"/>
      <c r="I123" s="1275"/>
      <c r="J123" s="133">
        <f>J122</f>
        <v>496</v>
      </c>
      <c r="K123" s="133">
        <f t="shared" ref="K123:M123" si="14">K122</f>
        <v>465</v>
      </c>
      <c r="L123" s="133">
        <f t="shared" si="14"/>
        <v>465</v>
      </c>
      <c r="M123" s="133">
        <f t="shared" si="14"/>
        <v>465</v>
      </c>
      <c r="N123" s="401"/>
      <c r="O123" s="402"/>
      <c r="P123" s="402"/>
      <c r="Q123" s="402"/>
      <c r="R123" s="236"/>
      <c r="S123" s="345"/>
    </row>
    <row r="124" spans="1:19" s="1" customFormat="1" ht="17.25" customHeight="1" thickBot="1">
      <c r="A124" s="49" t="s">
        <v>13</v>
      </c>
      <c r="B124" s="50" t="s">
        <v>26</v>
      </c>
      <c r="C124" s="1277" t="s">
        <v>164</v>
      </c>
      <c r="D124" s="1278"/>
      <c r="E124" s="1278"/>
      <c r="F124" s="1278"/>
      <c r="G124" s="1278"/>
      <c r="H124" s="1278"/>
      <c r="I124" s="1278"/>
      <c r="J124" s="1278"/>
      <c r="K124" s="1278"/>
      <c r="L124" s="1278"/>
      <c r="M124" s="1278"/>
      <c r="N124" s="1278"/>
      <c r="O124" s="1278"/>
      <c r="P124" s="1278"/>
      <c r="Q124" s="1278"/>
      <c r="R124" s="1279"/>
      <c r="S124" s="345"/>
    </row>
    <row r="125" spans="1:19" s="1" customFormat="1" ht="27" customHeight="1">
      <c r="A125" s="596" t="s">
        <v>13</v>
      </c>
      <c r="B125" s="588" t="s">
        <v>26</v>
      </c>
      <c r="C125" s="598" t="s">
        <v>13</v>
      </c>
      <c r="D125" s="317"/>
      <c r="E125" s="57" t="s">
        <v>211</v>
      </c>
      <c r="F125" s="444"/>
      <c r="G125" s="317"/>
      <c r="H125" s="318"/>
      <c r="I125" s="318"/>
      <c r="J125" s="230"/>
      <c r="K125" s="140"/>
      <c r="L125" s="230"/>
      <c r="M125" s="230"/>
      <c r="N125" s="456"/>
      <c r="O125" s="232"/>
      <c r="P125" s="239"/>
      <c r="Q125" s="239"/>
      <c r="R125" s="235"/>
      <c r="S125" s="345"/>
    </row>
    <row r="126" spans="1:19" s="1" customFormat="1" ht="21.75" customHeight="1">
      <c r="A126" s="1340"/>
      <c r="B126" s="1341"/>
      <c r="C126" s="1646"/>
      <c r="D126" s="594" t="s">
        <v>13</v>
      </c>
      <c r="E126" s="1342" t="s">
        <v>191</v>
      </c>
      <c r="F126" s="1647"/>
      <c r="G126" s="1567" t="s">
        <v>18</v>
      </c>
      <c r="H126" s="1540" t="s">
        <v>29</v>
      </c>
      <c r="I126" s="72" t="s">
        <v>20</v>
      </c>
      <c r="J126" s="93">
        <v>90</v>
      </c>
      <c r="K126" s="330"/>
      <c r="L126" s="93"/>
      <c r="M126" s="93"/>
      <c r="N126" s="1253" t="s">
        <v>190</v>
      </c>
      <c r="O126" s="226"/>
      <c r="P126" s="226">
        <v>1</v>
      </c>
      <c r="Q126" s="451"/>
      <c r="R126" s="252"/>
      <c r="S126" s="345"/>
    </row>
    <row r="127" spans="1:19" s="1" customFormat="1" ht="11.25" customHeight="1">
      <c r="A127" s="1340"/>
      <c r="B127" s="1341"/>
      <c r="C127" s="1646"/>
      <c r="D127" s="558"/>
      <c r="E127" s="1342"/>
      <c r="F127" s="1647"/>
      <c r="G127" s="1273"/>
      <c r="H127" s="1556"/>
      <c r="I127" s="52"/>
      <c r="J127" s="449"/>
      <c r="K127" s="450"/>
      <c r="L127" s="125"/>
      <c r="M127" s="125"/>
      <c r="N127" s="1546"/>
      <c r="O127" s="218"/>
      <c r="P127" s="218"/>
      <c r="Q127" s="198"/>
      <c r="R127" s="253"/>
      <c r="S127" s="345"/>
    </row>
    <row r="128" spans="1:19" s="4" customFormat="1" ht="18.75" customHeight="1">
      <c r="A128" s="1463"/>
      <c r="B128" s="1334"/>
      <c r="C128" s="1662"/>
      <c r="D128" s="612" t="s">
        <v>22</v>
      </c>
      <c r="E128" s="1679" t="s">
        <v>165</v>
      </c>
      <c r="F128" s="1681" t="s">
        <v>180</v>
      </c>
      <c r="G128" s="487"/>
      <c r="H128" s="564"/>
      <c r="I128" s="55" t="s">
        <v>20</v>
      </c>
      <c r="J128" s="231">
        <v>12.3</v>
      </c>
      <c r="K128" s="110">
        <v>29</v>
      </c>
      <c r="L128" s="93">
        <v>29.9</v>
      </c>
      <c r="M128" s="93"/>
      <c r="N128" s="454" t="s">
        <v>171</v>
      </c>
      <c r="O128" s="455"/>
      <c r="P128" s="361"/>
      <c r="Q128" s="491">
        <v>1</v>
      </c>
      <c r="R128" s="252"/>
      <c r="S128" s="31"/>
    </row>
    <row r="129" spans="1:20" s="4" customFormat="1" ht="16.5" customHeight="1">
      <c r="A129" s="1463"/>
      <c r="B129" s="1334"/>
      <c r="C129" s="1662"/>
      <c r="D129" s="612"/>
      <c r="E129" s="1680"/>
      <c r="F129" s="1453"/>
      <c r="G129" s="593"/>
      <c r="H129" s="447"/>
      <c r="I129" s="55" t="s">
        <v>167</v>
      </c>
      <c r="J129" s="93">
        <f>70</f>
        <v>70</v>
      </c>
      <c r="K129" s="110">
        <f>165</f>
        <v>165</v>
      </c>
      <c r="L129" s="110">
        <f>168.4</f>
        <v>168.4</v>
      </c>
      <c r="M129" s="93"/>
      <c r="N129" s="460" t="s">
        <v>172</v>
      </c>
      <c r="O129" s="461"/>
      <c r="P129" s="462">
        <v>100</v>
      </c>
      <c r="Q129" s="756">
        <v>166</v>
      </c>
      <c r="R129" s="463"/>
      <c r="S129" s="31"/>
    </row>
    <row r="130" spans="1:20" s="4" customFormat="1" ht="27" customHeight="1">
      <c r="A130" s="1463"/>
      <c r="B130" s="1334"/>
      <c r="C130" s="1662"/>
      <c r="D130" s="612"/>
      <c r="E130" s="1680"/>
      <c r="F130" s="1453"/>
      <c r="G130" s="593"/>
      <c r="H130" s="447"/>
      <c r="I130" s="55"/>
      <c r="J130" s="93"/>
      <c r="K130" s="110"/>
      <c r="L130" s="110"/>
      <c r="M130" s="93"/>
      <c r="N130" s="460" t="s">
        <v>173</v>
      </c>
      <c r="O130" s="461"/>
      <c r="P130" s="462"/>
      <c r="Q130" s="756">
        <v>20</v>
      </c>
      <c r="R130" s="463"/>
      <c r="S130" s="31"/>
      <c r="T130" s="755"/>
    </row>
    <row r="131" spans="1:20" s="4" customFormat="1" ht="16.5" customHeight="1">
      <c r="A131" s="1463"/>
      <c r="B131" s="1334"/>
      <c r="C131" s="1662"/>
      <c r="D131" s="416"/>
      <c r="E131" s="603"/>
      <c r="F131" s="609"/>
      <c r="G131" s="593"/>
      <c r="H131" s="448"/>
      <c r="I131" s="470"/>
      <c r="J131" s="168"/>
      <c r="K131" s="116"/>
      <c r="L131" s="125"/>
      <c r="M131" s="125"/>
      <c r="N131" s="457" t="s">
        <v>168</v>
      </c>
      <c r="O131" s="458"/>
      <c r="P131" s="458"/>
      <c r="Q131" s="757">
        <v>1</v>
      </c>
      <c r="R131" s="459"/>
      <c r="S131" s="31"/>
    </row>
    <row r="132" spans="1:20" s="4" customFormat="1" ht="28.5" customHeight="1">
      <c r="A132" s="1463"/>
      <c r="B132" s="1334"/>
      <c r="C132" s="1662"/>
      <c r="D132" s="612" t="s">
        <v>26</v>
      </c>
      <c r="E132" s="535" t="s">
        <v>224</v>
      </c>
      <c r="F132" s="445"/>
      <c r="G132" s="446"/>
      <c r="H132" s="564" t="s">
        <v>181</v>
      </c>
      <c r="I132" s="55" t="s">
        <v>20</v>
      </c>
      <c r="J132" s="231">
        <v>5</v>
      </c>
      <c r="K132" s="110">
        <v>30</v>
      </c>
      <c r="L132" s="93">
        <v>20</v>
      </c>
      <c r="M132" s="93"/>
      <c r="N132" s="480" t="s">
        <v>212</v>
      </c>
      <c r="O132" s="481">
        <v>1</v>
      </c>
      <c r="P132" s="219"/>
      <c r="Q132" s="368"/>
      <c r="R132" s="358"/>
      <c r="S132" s="31"/>
    </row>
    <row r="133" spans="1:20" s="4" customFormat="1" ht="16.5" customHeight="1">
      <c r="A133" s="1463"/>
      <c r="B133" s="1334"/>
      <c r="C133" s="1662"/>
      <c r="D133" s="416"/>
      <c r="E133" s="603"/>
      <c r="F133" s="609"/>
      <c r="G133" s="416"/>
      <c r="H133" s="448"/>
      <c r="I133" s="55"/>
      <c r="J133" s="166"/>
      <c r="K133" s="110"/>
      <c r="L133" s="93"/>
      <c r="M133" s="93"/>
      <c r="N133" s="457" t="s">
        <v>184</v>
      </c>
      <c r="O133" s="458"/>
      <c r="P133" s="458"/>
      <c r="Q133" s="458">
        <v>1</v>
      </c>
      <c r="R133" s="459"/>
      <c r="S133" s="31"/>
    </row>
    <row r="134" spans="1:20" s="45" customFormat="1" ht="17.25" customHeight="1" thickBot="1">
      <c r="A134" s="1464"/>
      <c r="B134" s="1335"/>
      <c r="C134" s="1663"/>
      <c r="D134" s="339"/>
      <c r="E134" s="440"/>
      <c r="F134" s="441"/>
      <c r="G134" s="442"/>
      <c r="H134" s="443"/>
      <c r="I134" s="44" t="s">
        <v>50</v>
      </c>
      <c r="J134" s="95">
        <f>SUM(J126:J133)</f>
        <v>177.3</v>
      </c>
      <c r="K134" s="121">
        <f>SUM(K126:K133)</f>
        <v>224</v>
      </c>
      <c r="L134" s="121">
        <f>SUM(L126:L133)</f>
        <v>218.3</v>
      </c>
      <c r="M134" s="121">
        <f>SUM(M126:M133)</f>
        <v>0</v>
      </c>
      <c r="N134" s="410"/>
      <c r="O134" s="411"/>
      <c r="P134" s="412"/>
      <c r="Q134" s="413"/>
      <c r="R134" s="414"/>
      <c r="S134" s="555"/>
    </row>
    <row r="135" spans="1:20" s="1" customFormat="1" ht="13.5" thickBot="1">
      <c r="A135" s="574" t="s">
        <v>13</v>
      </c>
      <c r="B135" s="589" t="s">
        <v>26</v>
      </c>
      <c r="C135" s="1274" t="s">
        <v>75</v>
      </c>
      <c r="D135" s="1275"/>
      <c r="E135" s="1275"/>
      <c r="F135" s="1275"/>
      <c r="G135" s="1275"/>
      <c r="H135" s="1275"/>
      <c r="I135" s="1275"/>
      <c r="J135" s="439">
        <f t="shared" ref="J135:L135" si="15">J134</f>
        <v>177.3</v>
      </c>
      <c r="K135" s="439">
        <f t="shared" si="15"/>
        <v>224</v>
      </c>
      <c r="L135" s="439">
        <f t="shared" si="15"/>
        <v>218.3</v>
      </c>
      <c r="M135" s="439">
        <f t="shared" ref="M135" si="16">M134</f>
        <v>0</v>
      </c>
      <c r="N135" s="47"/>
      <c r="O135" s="212"/>
      <c r="P135" s="212"/>
      <c r="Q135" s="212"/>
      <c r="R135" s="48"/>
      <c r="S135" s="345"/>
    </row>
    <row r="136" spans="1:20" s="1" customFormat="1" ht="16.5" customHeight="1" thickBot="1">
      <c r="A136" s="49" t="s">
        <v>13</v>
      </c>
      <c r="B136" s="310" t="s">
        <v>28</v>
      </c>
      <c r="C136" s="1277" t="s">
        <v>78</v>
      </c>
      <c r="D136" s="1278"/>
      <c r="E136" s="1278"/>
      <c r="F136" s="1278"/>
      <c r="G136" s="1278"/>
      <c r="H136" s="1278"/>
      <c r="I136" s="1278"/>
      <c r="J136" s="1329"/>
      <c r="K136" s="1329"/>
      <c r="L136" s="1329"/>
      <c r="M136" s="1329"/>
      <c r="N136" s="1278"/>
      <c r="O136" s="1278"/>
      <c r="P136" s="1278"/>
      <c r="Q136" s="1278"/>
      <c r="R136" s="1279"/>
      <c r="S136" s="345"/>
    </row>
    <row r="137" spans="1:20" s="1" customFormat="1" ht="39.75" customHeight="1">
      <c r="A137" s="572" t="s">
        <v>13</v>
      </c>
      <c r="B137" s="587" t="s">
        <v>28</v>
      </c>
      <c r="C137" s="436" t="s">
        <v>13</v>
      </c>
      <c r="D137" s="597"/>
      <c r="E137" s="57" t="s">
        <v>79</v>
      </c>
      <c r="F137" s="527"/>
      <c r="G137" s="153" t="s">
        <v>18</v>
      </c>
      <c r="H137" s="570" t="s">
        <v>80</v>
      </c>
      <c r="I137" s="712"/>
      <c r="J137" s="243"/>
      <c r="K137" s="261"/>
      <c r="L137" s="243"/>
      <c r="M137" s="261"/>
      <c r="N137" s="58"/>
      <c r="O137" s="232"/>
      <c r="P137" s="239"/>
      <c r="Q137" s="239"/>
      <c r="R137" s="235"/>
      <c r="S137" s="345"/>
    </row>
    <row r="138" spans="1:20" s="1" customFormat="1" ht="17.25" customHeight="1">
      <c r="A138" s="573"/>
      <c r="B138" s="578"/>
      <c r="C138" s="618"/>
      <c r="D138" s="594" t="s">
        <v>13</v>
      </c>
      <c r="E138" s="1496" t="s">
        <v>222</v>
      </c>
      <c r="F138" s="80"/>
      <c r="G138" s="548"/>
      <c r="H138" s="565"/>
      <c r="I138" s="17" t="s">
        <v>127</v>
      </c>
      <c r="J138" s="283">
        <f>96.9-3.5-2</f>
        <v>91.4</v>
      </c>
      <c r="K138" s="283"/>
      <c r="L138" s="284"/>
      <c r="M138" s="283"/>
      <c r="N138" s="495" t="s">
        <v>154</v>
      </c>
      <c r="O138" s="496">
        <v>1000</v>
      </c>
      <c r="P138" s="496"/>
      <c r="Q138" s="496"/>
      <c r="R138" s="350"/>
      <c r="S138" s="345"/>
    </row>
    <row r="139" spans="1:20" s="1" customFormat="1" ht="16.5" customHeight="1">
      <c r="A139" s="680"/>
      <c r="B139" s="681"/>
      <c r="C139" s="685"/>
      <c r="D139" s="682"/>
      <c r="E139" s="1445"/>
      <c r="F139" s="80"/>
      <c r="G139" s="548"/>
      <c r="H139" s="679"/>
      <c r="I139" s="22"/>
      <c r="J139" s="287"/>
      <c r="K139" s="287"/>
      <c r="L139" s="288"/>
      <c r="M139" s="287"/>
      <c r="N139" s="758" t="s">
        <v>153</v>
      </c>
      <c r="O139" s="686" t="s">
        <v>223</v>
      </c>
      <c r="P139" s="334"/>
      <c r="Q139" s="334"/>
      <c r="R139" s="335"/>
      <c r="S139" s="345"/>
    </row>
    <row r="140" spans="1:20" s="1" customFormat="1" ht="32.25" customHeight="1">
      <c r="A140" s="573"/>
      <c r="B140" s="578"/>
      <c r="C140" s="618"/>
      <c r="D140" s="557" t="s">
        <v>22</v>
      </c>
      <c r="E140" s="669" t="s">
        <v>135</v>
      </c>
      <c r="F140" s="80"/>
      <c r="G140" s="548"/>
      <c r="H140" s="565"/>
      <c r="I140" s="19" t="s">
        <v>20</v>
      </c>
      <c r="J140" s="285">
        <v>20</v>
      </c>
      <c r="K140" s="285">
        <v>30</v>
      </c>
      <c r="L140" s="286"/>
      <c r="M140" s="285"/>
      <c r="N140" s="269" t="s">
        <v>213</v>
      </c>
      <c r="O140" s="674">
        <v>40</v>
      </c>
      <c r="P140" s="675">
        <v>100</v>
      </c>
      <c r="Q140" s="674"/>
      <c r="R140" s="676"/>
      <c r="S140" s="345"/>
    </row>
    <row r="141" spans="1:20" s="1" customFormat="1" ht="18.75" customHeight="1">
      <c r="A141" s="573"/>
      <c r="B141" s="578"/>
      <c r="C141" s="618"/>
      <c r="D141" s="557" t="s">
        <v>26</v>
      </c>
      <c r="E141" s="1249" t="s">
        <v>155</v>
      </c>
      <c r="F141" s="80"/>
      <c r="G141" s="548"/>
      <c r="H141" s="565"/>
      <c r="I141" s="77" t="s">
        <v>20</v>
      </c>
      <c r="J141" s="284">
        <v>45</v>
      </c>
      <c r="K141" s="283">
        <v>50</v>
      </c>
      <c r="L141" s="284"/>
      <c r="M141" s="283"/>
      <c r="N141" s="1328" t="s">
        <v>214</v>
      </c>
      <c r="O141" s="337">
        <v>50</v>
      </c>
      <c r="P141" s="321">
        <v>100</v>
      </c>
      <c r="Q141" s="337"/>
      <c r="R141" s="338"/>
      <c r="S141" s="345"/>
    </row>
    <row r="142" spans="1:20" s="1" customFormat="1" ht="24.75" customHeight="1">
      <c r="A142" s="573"/>
      <c r="B142" s="578"/>
      <c r="C142" s="618"/>
      <c r="D142" s="558"/>
      <c r="E142" s="1250"/>
      <c r="F142" s="80"/>
      <c r="G142" s="548"/>
      <c r="H142" s="565"/>
      <c r="I142" s="52" t="s">
        <v>127</v>
      </c>
      <c r="J142" s="288">
        <v>8.4</v>
      </c>
      <c r="K142" s="287"/>
      <c r="L142" s="288"/>
      <c r="M142" s="287"/>
      <c r="N142" s="1546"/>
      <c r="O142" s="479"/>
      <c r="P142" s="321"/>
      <c r="Q142" s="337"/>
      <c r="R142" s="338"/>
      <c r="S142" s="345"/>
    </row>
    <row r="143" spans="1:20" s="1" customFormat="1" ht="26.25" customHeight="1">
      <c r="A143" s="573"/>
      <c r="B143" s="578"/>
      <c r="C143" s="618"/>
      <c r="D143" s="557" t="s">
        <v>28</v>
      </c>
      <c r="E143" s="1326" t="s">
        <v>183</v>
      </c>
      <c r="F143" s="80"/>
      <c r="G143" s="548"/>
      <c r="H143" s="565"/>
      <c r="I143" s="77" t="s">
        <v>127</v>
      </c>
      <c r="J143" s="284">
        <v>162.30000000000001</v>
      </c>
      <c r="K143" s="283"/>
      <c r="L143" s="284"/>
      <c r="M143" s="283"/>
      <c r="N143" s="271" t="s">
        <v>215</v>
      </c>
      <c r="O143" s="316">
        <v>100</v>
      </c>
      <c r="P143" s="349"/>
      <c r="Q143" s="316"/>
      <c r="R143" s="352"/>
      <c r="S143" s="345"/>
    </row>
    <row r="144" spans="1:20" s="1" customFormat="1" ht="16.5" customHeight="1">
      <c r="A144" s="573"/>
      <c r="B144" s="578"/>
      <c r="C144" s="618"/>
      <c r="D144" s="677"/>
      <c r="E144" s="1477"/>
      <c r="F144" s="80"/>
      <c r="G144" s="548"/>
      <c r="H144" s="565"/>
      <c r="I144" s="72"/>
      <c r="J144" s="286"/>
      <c r="K144" s="285"/>
      <c r="L144" s="286"/>
      <c r="M144" s="285"/>
      <c r="N144" s="269" t="s">
        <v>216</v>
      </c>
      <c r="O144" s="337">
        <v>33</v>
      </c>
      <c r="P144" s="321"/>
      <c r="Q144" s="337"/>
      <c r="R144" s="338"/>
      <c r="S144" s="345"/>
    </row>
    <row r="145" spans="1:20" s="1" customFormat="1" ht="12.75" customHeight="1">
      <c r="A145" s="573"/>
      <c r="B145" s="578"/>
      <c r="C145" s="618"/>
      <c r="D145" s="594" t="s">
        <v>30</v>
      </c>
      <c r="E145" s="1326" t="s">
        <v>141</v>
      </c>
      <c r="F145" s="80"/>
      <c r="G145" s="548"/>
      <c r="H145" s="565"/>
      <c r="I145" s="77" t="s">
        <v>127</v>
      </c>
      <c r="J145" s="284">
        <v>103.6</v>
      </c>
      <c r="K145" s="283"/>
      <c r="L145" s="284"/>
      <c r="M145" s="283"/>
      <c r="N145" s="1328" t="s">
        <v>218</v>
      </c>
      <c r="O145" s="316">
        <v>100</v>
      </c>
      <c r="P145" s="349"/>
      <c r="Q145" s="316"/>
      <c r="R145" s="352"/>
      <c r="S145" s="345"/>
    </row>
    <row r="146" spans="1:20" s="1" customFormat="1" ht="15.75" customHeight="1">
      <c r="A146" s="573"/>
      <c r="B146" s="578"/>
      <c r="C146" s="618"/>
      <c r="D146" s="558"/>
      <c r="E146" s="1331"/>
      <c r="F146" s="80"/>
      <c r="G146" s="548"/>
      <c r="H146" s="565"/>
      <c r="I146" s="52"/>
      <c r="J146" s="288"/>
      <c r="K146" s="287"/>
      <c r="L146" s="288"/>
      <c r="M146" s="287"/>
      <c r="N146" s="1660"/>
      <c r="O146" s="270"/>
      <c r="P146" s="322"/>
      <c r="Q146" s="270"/>
      <c r="R146" s="351"/>
      <c r="S146" s="345"/>
    </row>
    <row r="147" spans="1:20" s="1" customFormat="1" ht="29.25" customHeight="1">
      <c r="A147" s="573"/>
      <c r="B147" s="578"/>
      <c r="C147" s="618"/>
      <c r="D147" s="594" t="s">
        <v>33</v>
      </c>
      <c r="E147" s="600" t="s">
        <v>199</v>
      </c>
      <c r="F147" s="80"/>
      <c r="G147" s="548"/>
      <c r="H147" s="565"/>
      <c r="I147" s="713" t="s">
        <v>127</v>
      </c>
      <c r="J147" s="651">
        <f>3.5+2</f>
        <v>5.5</v>
      </c>
      <c r="K147" s="290"/>
      <c r="L147" s="651"/>
      <c r="M147" s="290"/>
      <c r="N147" s="652" t="s">
        <v>217</v>
      </c>
      <c r="O147" s="282"/>
      <c r="P147" s="348"/>
      <c r="Q147" s="282"/>
      <c r="R147" s="276"/>
      <c r="S147" s="345"/>
      <c r="T147" s="307"/>
    </row>
    <row r="148" spans="1:20" s="45" customFormat="1" ht="15" customHeight="1" thickBot="1">
      <c r="A148" s="574"/>
      <c r="B148" s="579"/>
      <c r="C148" s="435"/>
      <c r="D148" s="409"/>
      <c r="E148" s="407"/>
      <c r="F148" s="408"/>
      <c r="G148" s="409"/>
      <c r="H148" s="264"/>
      <c r="I148" s="44" t="s">
        <v>50</v>
      </c>
      <c r="J148" s="264">
        <f>SUM(J138:J147)</f>
        <v>436.20000000000005</v>
      </c>
      <c r="K148" s="121">
        <f>SUM(K138:K147)</f>
        <v>80</v>
      </c>
      <c r="L148" s="95">
        <f>SUM(L138:L147)</f>
        <v>0</v>
      </c>
      <c r="M148" s="121">
        <f>SUM(M138:M147)</f>
        <v>0</v>
      </c>
      <c r="N148" s="410"/>
      <c r="O148" s="411"/>
      <c r="P148" s="412"/>
      <c r="Q148" s="413"/>
      <c r="R148" s="414"/>
      <c r="S148" s="555"/>
    </row>
    <row r="149" spans="1:20" s="4" customFormat="1" ht="15" customHeight="1">
      <c r="A149" s="1670" t="s">
        <v>13</v>
      </c>
      <c r="B149" s="1669" t="s">
        <v>28</v>
      </c>
      <c r="C149" s="1651" t="s">
        <v>22</v>
      </c>
      <c r="D149" s="611"/>
      <c r="E149" s="1654" t="s">
        <v>138</v>
      </c>
      <c r="F149" s="1547"/>
      <c r="G149" s="1550" t="s">
        <v>55</v>
      </c>
      <c r="H149" s="1553" t="s">
        <v>131</v>
      </c>
      <c r="I149" s="55" t="s">
        <v>20</v>
      </c>
      <c r="J149" s="265"/>
      <c r="K149" s="156"/>
      <c r="L149" s="265"/>
      <c r="M149" s="156"/>
      <c r="N149" s="262"/>
      <c r="O149" s="233"/>
      <c r="P149" s="240"/>
      <c r="Q149" s="240"/>
      <c r="R149" s="237"/>
      <c r="S149" s="31"/>
    </row>
    <row r="150" spans="1:20" s="4" customFormat="1" ht="10.5" customHeight="1">
      <c r="A150" s="1463"/>
      <c r="B150" s="1334"/>
      <c r="C150" s="1652"/>
      <c r="D150" s="612"/>
      <c r="E150" s="1655"/>
      <c r="F150" s="1548"/>
      <c r="G150" s="1551"/>
      <c r="H150" s="1554"/>
      <c r="I150" s="55"/>
      <c r="J150" s="166"/>
      <c r="K150" s="110"/>
      <c r="L150" s="166"/>
      <c r="M150" s="110"/>
      <c r="N150" s="1497"/>
      <c r="O150" s="234"/>
      <c r="P150" s="241"/>
      <c r="Q150" s="241"/>
      <c r="R150" s="238"/>
      <c r="S150" s="31"/>
    </row>
    <row r="151" spans="1:20" s="1" customFormat="1" ht="21" customHeight="1" thickBot="1">
      <c r="A151" s="1464"/>
      <c r="B151" s="1335"/>
      <c r="C151" s="1653"/>
      <c r="D151" s="613"/>
      <c r="E151" s="1656"/>
      <c r="F151" s="1549"/>
      <c r="G151" s="1552"/>
      <c r="H151" s="1555"/>
      <c r="I151" s="56" t="s">
        <v>50</v>
      </c>
      <c r="J151" s="266">
        <f t="shared" ref="J151:L151" si="17">J150+J149</f>
        <v>0</v>
      </c>
      <c r="K151" s="121">
        <f t="shared" si="17"/>
        <v>0</v>
      </c>
      <c r="L151" s="409">
        <f t="shared" si="17"/>
        <v>0</v>
      </c>
      <c r="M151" s="121">
        <f t="shared" ref="M151" si="18">M150+M149</f>
        <v>0</v>
      </c>
      <c r="N151" s="1661"/>
      <c r="O151" s="617"/>
      <c r="P151" s="551"/>
      <c r="Q151" s="551"/>
      <c r="R151" s="530"/>
      <c r="S151" s="345"/>
    </row>
    <row r="152" spans="1:20" s="1" customFormat="1" ht="13.5" thickBot="1">
      <c r="A152" s="49" t="s">
        <v>13</v>
      </c>
      <c r="B152" s="53" t="s">
        <v>28</v>
      </c>
      <c r="C152" s="1352" t="s">
        <v>75</v>
      </c>
      <c r="D152" s="1353"/>
      <c r="E152" s="1353"/>
      <c r="F152" s="1353"/>
      <c r="G152" s="1353"/>
      <c r="H152" s="1353"/>
      <c r="I152" s="1354"/>
      <c r="J152" s="267">
        <f t="shared" ref="J152:L152" si="19">J148+J151</f>
        <v>436.20000000000005</v>
      </c>
      <c r="K152" s="133">
        <f t="shared" si="19"/>
        <v>80</v>
      </c>
      <c r="L152" s="133">
        <f t="shared" si="19"/>
        <v>0</v>
      </c>
      <c r="M152" s="759">
        <f t="shared" ref="M152" si="20">M148+M151</f>
        <v>0</v>
      </c>
      <c r="N152" s="1355"/>
      <c r="O152" s="1356"/>
      <c r="P152" s="1356"/>
      <c r="Q152" s="1356"/>
      <c r="R152" s="1357"/>
      <c r="S152" s="345"/>
    </row>
    <row r="153" spans="1:20" s="4" customFormat="1" ht="13.5" thickBot="1">
      <c r="A153" s="49" t="s">
        <v>13</v>
      </c>
      <c r="B153" s="1358" t="s">
        <v>81</v>
      </c>
      <c r="C153" s="1359"/>
      <c r="D153" s="1359"/>
      <c r="E153" s="1359"/>
      <c r="F153" s="1359"/>
      <c r="G153" s="1359"/>
      <c r="H153" s="1359"/>
      <c r="I153" s="1360"/>
      <c r="J153" s="96">
        <f>SUM(J152,J123,J113,J135,)</f>
        <v>13418.899999999998</v>
      </c>
      <c r="K153" s="96">
        <f>SUM(K152,K123,K113,K135,)</f>
        <v>13014.299999999997</v>
      </c>
      <c r="L153" s="691">
        <f>SUM(L152,L123,L113,L135,)</f>
        <v>13643.799999999997</v>
      </c>
      <c r="M153" s="701">
        <f>SUM(M152,M123,M113,M135,)</f>
        <v>5927.0999999999995</v>
      </c>
      <c r="N153" s="1361"/>
      <c r="O153" s="1362"/>
      <c r="P153" s="1362"/>
      <c r="Q153" s="1362"/>
      <c r="R153" s="1363"/>
      <c r="S153" s="31"/>
    </row>
    <row r="154" spans="1:20" s="4" customFormat="1" ht="13.5" thickBot="1">
      <c r="A154" s="59" t="s">
        <v>26</v>
      </c>
      <c r="B154" s="1455" t="s">
        <v>82</v>
      </c>
      <c r="C154" s="1456"/>
      <c r="D154" s="1456"/>
      <c r="E154" s="1456"/>
      <c r="F154" s="1456"/>
      <c r="G154" s="1456"/>
      <c r="H154" s="1456"/>
      <c r="I154" s="1457"/>
      <c r="J154" s="244">
        <f t="shared" ref="J154:L154" si="21">J153</f>
        <v>13418.899999999998</v>
      </c>
      <c r="K154" s="268">
        <f t="shared" si="21"/>
        <v>13014.299999999997</v>
      </c>
      <c r="L154" s="268">
        <f t="shared" si="21"/>
        <v>13643.799999999997</v>
      </c>
      <c r="M154" s="244">
        <f t="shared" ref="M154" si="22">M153</f>
        <v>5927.0999999999995</v>
      </c>
      <c r="N154" s="1458"/>
      <c r="O154" s="1459"/>
      <c r="P154" s="1459"/>
      <c r="Q154" s="1459"/>
      <c r="R154" s="1460"/>
      <c r="S154" s="31"/>
    </row>
    <row r="155" spans="1:20" s="319" customFormat="1" ht="17.25" customHeight="1">
      <c r="A155" s="1667" t="s">
        <v>231</v>
      </c>
      <c r="B155" s="1668"/>
      <c r="C155" s="1668"/>
      <c r="D155" s="1668"/>
      <c r="E155" s="1668"/>
      <c r="F155" s="1668"/>
      <c r="G155" s="1668"/>
      <c r="H155" s="1668"/>
      <c r="I155" s="1668"/>
      <c r="J155" s="1668"/>
      <c r="K155" s="1668"/>
      <c r="L155" s="1668"/>
      <c r="M155" s="1668"/>
      <c r="N155" s="1668"/>
      <c r="O155" s="1668"/>
      <c r="P155" s="403"/>
      <c r="Q155" s="403"/>
      <c r="R155" s="403"/>
      <c r="S155" s="553"/>
    </row>
    <row r="156" spans="1:20" s="31" customFormat="1" ht="12.75">
      <c r="A156" s="154"/>
      <c r="B156" s="60"/>
      <c r="C156" s="60"/>
      <c r="D156" s="60"/>
      <c r="E156" s="60"/>
      <c r="F156" s="60"/>
      <c r="G156" s="60"/>
      <c r="H156" s="60"/>
      <c r="I156" s="60"/>
      <c r="J156" s="263"/>
      <c r="K156" s="263"/>
      <c r="L156" s="263"/>
      <c r="M156" s="263"/>
      <c r="N156" s="154"/>
      <c r="O156" s="154"/>
      <c r="P156" s="154"/>
      <c r="Q156" s="154"/>
      <c r="R156" s="154"/>
    </row>
    <row r="157" spans="1:20" s="4" customFormat="1" ht="18.75" customHeight="1">
      <c r="A157" s="43"/>
      <c r="B157" s="60"/>
      <c r="C157" s="1323" t="s">
        <v>83</v>
      </c>
      <c r="D157" s="1323"/>
      <c r="E157" s="1323"/>
      <c r="F157" s="1323"/>
      <c r="G157" s="1323"/>
      <c r="H157" s="1323"/>
      <c r="I157" s="1323"/>
      <c r="J157" s="313"/>
      <c r="K157" s="313"/>
      <c r="L157" s="313"/>
      <c r="M157" s="706"/>
      <c r="N157" s="54"/>
      <c r="O157" s="24"/>
      <c r="P157" s="24"/>
      <c r="Q157" s="24"/>
      <c r="R157" s="24"/>
      <c r="S157" s="31"/>
    </row>
    <row r="158" spans="1:20" s="4" customFormat="1" ht="12" customHeight="1" thickBot="1">
      <c r="A158" s="43"/>
      <c r="B158" s="39"/>
      <c r="C158" s="39"/>
      <c r="D158" s="39"/>
      <c r="E158" s="39"/>
      <c r="F158" s="61"/>
      <c r="G158" s="62"/>
      <c r="H158" s="39"/>
      <c r="I158" s="54"/>
      <c r="J158" s="54"/>
      <c r="K158" s="54"/>
      <c r="L158" s="54"/>
      <c r="M158" s="54"/>
      <c r="N158" s="54"/>
      <c r="O158" s="24"/>
      <c r="P158" s="24"/>
      <c r="Q158" s="24"/>
      <c r="R158" s="24"/>
      <c r="S158" s="31"/>
    </row>
    <row r="159" spans="1:20" s="4" customFormat="1" ht="77.25" customHeight="1" thickBot="1">
      <c r="A159" s="63"/>
      <c r="B159" s="63"/>
      <c r="C159" s="1671" t="s">
        <v>84</v>
      </c>
      <c r="D159" s="1672"/>
      <c r="E159" s="1672"/>
      <c r="F159" s="1672"/>
      <c r="G159" s="1672"/>
      <c r="H159" s="1672"/>
      <c r="I159" s="1673"/>
      <c r="J159" s="707" t="s">
        <v>200</v>
      </c>
      <c r="K159" s="763" t="s">
        <v>232</v>
      </c>
      <c r="L159" s="545" t="s">
        <v>158</v>
      </c>
      <c r="M159" s="545" t="s">
        <v>227</v>
      </c>
      <c r="N159" s="43"/>
      <c r="O159" s="62"/>
      <c r="P159" s="62"/>
      <c r="Q159" s="62"/>
      <c r="R159" s="62"/>
      <c r="S159" s="31"/>
    </row>
    <row r="160" spans="1:20" s="4" customFormat="1" ht="12.75">
      <c r="A160" s="63"/>
      <c r="B160" s="63"/>
      <c r="C160" s="1441" t="s">
        <v>85</v>
      </c>
      <c r="D160" s="1674"/>
      <c r="E160" s="1442"/>
      <c r="F160" s="1442"/>
      <c r="G160" s="1442"/>
      <c r="H160" s="1443"/>
      <c r="I160" s="1443"/>
      <c r="J160" s="536">
        <f>J161+J168+J169+J170+J171</f>
        <v>13348.799999999997</v>
      </c>
      <c r="K160" s="134">
        <f>K161+K168+K169+K170+K171</f>
        <v>12849.299999999997</v>
      </c>
      <c r="L160" s="134">
        <f>L161+L168+L169+L170+L171</f>
        <v>13475.399999999998</v>
      </c>
      <c r="M160" s="134">
        <f>M161+M168+M169+M170+M171</f>
        <v>5927.1000000000013</v>
      </c>
      <c r="N160" s="154"/>
      <c r="O160" s="154"/>
      <c r="P160" s="154"/>
      <c r="Q160" s="154"/>
      <c r="R160" s="154"/>
      <c r="S160" s="31"/>
    </row>
    <row r="161" spans="1:19" s="4" customFormat="1" ht="12.75" customHeight="1">
      <c r="A161" s="63"/>
      <c r="B161" s="63"/>
      <c r="C161" s="1343" t="s">
        <v>86</v>
      </c>
      <c r="D161" s="1344"/>
      <c r="E161" s="1344"/>
      <c r="F161" s="1344"/>
      <c r="G161" s="1344"/>
      <c r="H161" s="1344"/>
      <c r="I161" s="1345"/>
      <c r="J161" s="711">
        <f>SUM(J162:J167)</f>
        <v>9591.1999999999971</v>
      </c>
      <c r="K161" s="135">
        <f>SUM(K162:K167)</f>
        <v>12849.299999999997</v>
      </c>
      <c r="L161" s="135">
        <f>SUM(L162:L167)</f>
        <v>13475.399999999998</v>
      </c>
      <c r="M161" s="135">
        <f>SUM(M162:M167)</f>
        <v>5927.1000000000013</v>
      </c>
      <c r="N161" s="154"/>
      <c r="O161" s="154"/>
      <c r="P161" s="154"/>
      <c r="Q161" s="154"/>
      <c r="R161" s="154"/>
      <c r="S161" s="31"/>
    </row>
    <row r="162" spans="1:19" s="4" customFormat="1" ht="12.75" customHeight="1">
      <c r="A162" s="63"/>
      <c r="B162" s="63"/>
      <c r="C162" s="1346" t="s">
        <v>87</v>
      </c>
      <c r="D162" s="1648"/>
      <c r="E162" s="1347"/>
      <c r="F162" s="1347"/>
      <c r="G162" s="1347"/>
      <c r="H162" s="1348"/>
      <c r="I162" s="1348"/>
      <c r="J162" s="708">
        <f>SUMIF(I14:I153,"SB",J14:J153)</f>
        <v>8789.4999999999964</v>
      </c>
      <c r="K162" s="136">
        <f>SUMIF(I13:I154,"SB",K13:K154)</f>
        <v>12180.099999999997</v>
      </c>
      <c r="L162" s="136">
        <f>SUMIF(I13:I154,"SB",L13:L154)</f>
        <v>12808.199999999997</v>
      </c>
      <c r="M162" s="136">
        <f>SUMIF(I13:I154,"SB",M13:M154)</f>
        <v>5896.9000000000015</v>
      </c>
      <c r="N162" s="43"/>
      <c r="O162" s="62"/>
      <c r="P162" s="62"/>
      <c r="Q162" s="62"/>
      <c r="R162" s="62"/>
      <c r="S162" s="31"/>
    </row>
    <row r="163" spans="1:19" s="4" customFormat="1" ht="12.75" customHeight="1">
      <c r="A163" s="63"/>
      <c r="B163" s="63"/>
      <c r="C163" s="1349" t="s">
        <v>88</v>
      </c>
      <c r="D163" s="1350"/>
      <c r="E163" s="1350"/>
      <c r="F163" s="1350"/>
      <c r="G163" s="1350"/>
      <c r="H163" s="1350"/>
      <c r="I163" s="1351"/>
      <c r="J163" s="708">
        <f>SUMIF(I13:I154,"SB(VR)",J13:J154)</f>
        <v>18.100000000000001</v>
      </c>
      <c r="K163" s="136">
        <f>SUMIF(I13:I154,"SB(VR)",K13:K154)</f>
        <v>18.100000000000001</v>
      </c>
      <c r="L163" s="136">
        <f>SUMIF(I13:I154,"SB(VR)",L13:L154)</f>
        <v>18.100000000000001</v>
      </c>
      <c r="M163" s="136">
        <f>SUMIF(I13:I154,"SB(VR)",M13:M154)</f>
        <v>0</v>
      </c>
      <c r="N163" s="43"/>
      <c r="O163" s="62"/>
      <c r="P163" s="62"/>
      <c r="Q163" s="62"/>
      <c r="R163" s="62"/>
      <c r="S163" s="31"/>
    </row>
    <row r="164" spans="1:19" s="4" customFormat="1" ht="12.75" customHeight="1">
      <c r="A164" s="63"/>
      <c r="B164" s="63"/>
      <c r="C164" s="1418" t="s">
        <v>89</v>
      </c>
      <c r="D164" s="1419"/>
      <c r="E164" s="1419"/>
      <c r="F164" s="1419"/>
      <c r="G164" s="1419"/>
      <c r="H164" s="1419"/>
      <c r="I164" s="1420"/>
      <c r="J164" s="708">
        <f>SUMIF(I13:I154,"SB(VB)",J13:J154)</f>
        <v>653.6</v>
      </c>
      <c r="K164" s="136">
        <f>SUMIF(I12:I154,"SB(VB)",K12:K154)</f>
        <v>623.69999999999993</v>
      </c>
      <c r="L164" s="136">
        <f>SUMIF(I12:I154,"SB(VB)",L12:L154)</f>
        <v>623.69999999999993</v>
      </c>
      <c r="M164" s="136">
        <f>SUMIF(I12:I154,"SB(VB)",M12:M154)</f>
        <v>4.8</v>
      </c>
      <c r="N164" s="43"/>
      <c r="O164" s="62"/>
      <c r="P164" s="62"/>
      <c r="Q164" s="62"/>
      <c r="R164" s="62"/>
      <c r="S164" s="31"/>
    </row>
    <row r="165" spans="1:19" s="4" customFormat="1" ht="12.75" customHeight="1">
      <c r="A165" s="63"/>
      <c r="B165" s="63"/>
      <c r="C165" s="1418" t="s">
        <v>90</v>
      </c>
      <c r="D165" s="1419"/>
      <c r="E165" s="1419"/>
      <c r="F165" s="1419"/>
      <c r="G165" s="1419"/>
      <c r="H165" s="1419"/>
      <c r="I165" s="1420"/>
      <c r="J165" s="708">
        <f>SUMIF(I13:I154,"SB(P)",J13:J154)</f>
        <v>0</v>
      </c>
      <c r="K165" s="136">
        <f>SUMIF(I12:I154,"SB(P)",K12:K154)</f>
        <v>0</v>
      </c>
      <c r="L165" s="136">
        <f>SUMIF(I12:I154,"SB(P)",L12:L154)</f>
        <v>0</v>
      </c>
      <c r="M165" s="136">
        <f>SUMIF(I12:I154,"SB(P)",M12:M154)</f>
        <v>0</v>
      </c>
      <c r="N165" s="54"/>
      <c r="O165" s="24"/>
      <c r="P165" s="24"/>
      <c r="Q165" s="24"/>
      <c r="R165" s="24"/>
      <c r="S165" s="31"/>
    </row>
    <row r="166" spans="1:19" s="1" customFormat="1" ht="12.75" customHeight="1">
      <c r="A166" s="63"/>
      <c r="B166" s="63"/>
      <c r="C166" s="1421" t="s">
        <v>91</v>
      </c>
      <c r="D166" s="1659"/>
      <c r="E166" s="1422"/>
      <c r="F166" s="1422"/>
      <c r="G166" s="1422"/>
      <c r="H166" s="1423"/>
      <c r="I166" s="1423"/>
      <c r="J166" s="708">
        <f>SUMIF(I13:I154,"SB(SP)",J13:J154)</f>
        <v>130</v>
      </c>
      <c r="K166" s="136">
        <f>SUMIF(I13:I154,"SB(SP)",K13:K154)</f>
        <v>27.4</v>
      </c>
      <c r="L166" s="136">
        <f>SUMIF(I13:I154,"SB(SP)",L13:L154)</f>
        <v>25.4</v>
      </c>
      <c r="M166" s="136">
        <f>SUMIF(I13:I154,"SB(SP)",M13:M154)</f>
        <v>25.4</v>
      </c>
      <c r="N166" s="63"/>
      <c r="O166" s="64"/>
      <c r="P166" s="64"/>
      <c r="Q166" s="64"/>
      <c r="R166" s="64"/>
      <c r="S166" s="345"/>
    </row>
    <row r="167" spans="1:19" s="1" customFormat="1" ht="12.75" customHeight="1">
      <c r="A167" s="63"/>
      <c r="B167" s="63"/>
      <c r="C167" s="1415" t="s">
        <v>156</v>
      </c>
      <c r="D167" s="1424"/>
      <c r="E167" s="1424"/>
      <c r="F167" s="1424"/>
      <c r="G167" s="1424"/>
      <c r="H167" s="1424"/>
      <c r="I167" s="1424"/>
      <c r="J167" s="708">
        <f>SUMIF(I14:I147,"SB(ES)",J14:J147)</f>
        <v>0</v>
      </c>
      <c r="K167" s="82">
        <f>SUMIF(I5:I147,"SB(ES)",K5:K147)</f>
        <v>0</v>
      </c>
      <c r="L167" s="82">
        <f>SUMIF(I5:I147,"SB(ES)",L5:L147)</f>
        <v>0</v>
      </c>
      <c r="M167" s="82">
        <f>SUMIF(I5:I147,"SB(ES)",M5:M147)</f>
        <v>0</v>
      </c>
      <c r="N167" s="63"/>
      <c r="O167" s="64"/>
      <c r="P167" s="64"/>
      <c r="Q167" s="64"/>
      <c r="R167" s="64"/>
      <c r="S167" s="345"/>
    </row>
    <row r="168" spans="1:19" s="1" customFormat="1" ht="12.75" customHeight="1">
      <c r="A168" s="63"/>
      <c r="B168" s="63"/>
      <c r="C168" s="1409" t="s">
        <v>92</v>
      </c>
      <c r="D168" s="1645"/>
      <c r="E168" s="1410"/>
      <c r="F168" s="1410"/>
      <c r="G168" s="1410"/>
      <c r="H168" s="1411"/>
      <c r="I168" s="1411"/>
      <c r="J168" s="710">
        <f>SUMIF(I10:I157,"SB(L)",J10:J157)</f>
        <v>3688.7</v>
      </c>
      <c r="K168" s="81">
        <f>SUMIF(I17:I157,"SB(L)",K17:K157)</f>
        <v>0</v>
      </c>
      <c r="L168" s="81">
        <f>SUMIF(I17:I157,"SB(L)",L17:L157)</f>
        <v>0</v>
      </c>
      <c r="M168" s="81">
        <f>SUMIF(I17:I152,"SB(L)",M17:M152)</f>
        <v>0</v>
      </c>
      <c r="N168" s="63"/>
      <c r="O168" s="64"/>
      <c r="P168" s="64"/>
      <c r="Q168" s="64"/>
      <c r="R168" s="64"/>
      <c r="S168" s="345"/>
    </row>
    <row r="169" spans="1:19" s="1" customFormat="1" ht="12.75" customHeight="1">
      <c r="A169" s="63"/>
      <c r="B169" s="63"/>
      <c r="C169" s="1409" t="s">
        <v>93</v>
      </c>
      <c r="D169" s="1645"/>
      <c r="E169" s="1410"/>
      <c r="F169" s="1410"/>
      <c r="G169" s="1410"/>
      <c r="H169" s="1411"/>
      <c r="I169" s="1411"/>
      <c r="J169" s="710">
        <f>SUMIF(I69:I154,"SB(SPL)",J69:J154)</f>
        <v>43</v>
      </c>
      <c r="K169" s="81">
        <f>SUMIF(I14:I154,"SB(SPL)",K14:K154)</f>
        <v>0</v>
      </c>
      <c r="L169" s="81">
        <f>SUMIF(I14:I154,"SB(SPL)",L14:L154)</f>
        <v>0</v>
      </c>
      <c r="M169" s="81">
        <f>SUMIF(I14:I154,"SB(SPL)",M14:M154)</f>
        <v>0</v>
      </c>
      <c r="N169" s="63"/>
      <c r="O169" s="64"/>
      <c r="P169" s="64"/>
      <c r="Q169" s="64"/>
      <c r="R169" s="64"/>
      <c r="S169" s="345"/>
    </row>
    <row r="170" spans="1:19" s="1" customFormat="1" ht="12.75" customHeight="1">
      <c r="A170" s="63"/>
      <c r="B170" s="63"/>
      <c r="C170" s="1409" t="s">
        <v>94</v>
      </c>
      <c r="D170" s="1645"/>
      <c r="E170" s="1410"/>
      <c r="F170" s="1410"/>
      <c r="G170" s="1410"/>
      <c r="H170" s="1411"/>
      <c r="I170" s="1411"/>
      <c r="J170" s="710">
        <f>SUMIF(I13:I154,"SB(VRL)",J13:J154)</f>
        <v>25.9</v>
      </c>
      <c r="K170" s="81">
        <f>SUMIF(I14:I154,"SB(VRL)",K14:K154)</f>
        <v>0</v>
      </c>
      <c r="L170" s="81">
        <f>SUMIF(I14:I154,"SB(VRL)",L14:L154)</f>
        <v>0</v>
      </c>
      <c r="M170" s="81">
        <f>SUMIF(I14:I154,"SB(VRL)",M14:M154)</f>
        <v>0</v>
      </c>
      <c r="N170" s="63"/>
      <c r="O170" s="64"/>
      <c r="P170" s="64"/>
      <c r="Q170" s="64"/>
      <c r="R170" s="64"/>
      <c r="S170" s="345"/>
    </row>
    <row r="171" spans="1:19" s="1" customFormat="1" ht="13.5" customHeight="1">
      <c r="A171" s="63"/>
      <c r="B171" s="63"/>
      <c r="C171" s="1409" t="s">
        <v>103</v>
      </c>
      <c r="D171" s="1645"/>
      <c r="E171" s="1410"/>
      <c r="F171" s="1410"/>
      <c r="G171" s="1410"/>
      <c r="H171" s="1411"/>
      <c r="I171" s="1411"/>
      <c r="J171" s="710">
        <f>SUMIF(I13:I154,"SB(ŽPL)",J13:J154)</f>
        <v>0</v>
      </c>
      <c r="K171" s="81">
        <f>SUMIF(I15:I154,"SB(ŽPL)",K15:K154)</f>
        <v>0</v>
      </c>
      <c r="L171" s="81">
        <f>SUMIF(I15:I154,"SB(ŽPL)",L15:L154)</f>
        <v>0</v>
      </c>
      <c r="M171" s="81">
        <f>SUMIF(I15:I154,"SB(ŽPL)",M15:M154)</f>
        <v>0</v>
      </c>
      <c r="N171" s="63"/>
      <c r="O171" s="64"/>
      <c r="P171" s="64"/>
      <c r="Q171" s="64"/>
      <c r="R171" s="64"/>
      <c r="S171" s="345"/>
    </row>
    <row r="172" spans="1:19" s="1" customFormat="1" ht="12.75" customHeight="1">
      <c r="A172" s="331"/>
      <c r="B172" s="331"/>
      <c r="C172" s="1412" t="s">
        <v>95</v>
      </c>
      <c r="D172" s="1649"/>
      <c r="E172" s="1413"/>
      <c r="F172" s="1413"/>
      <c r="G172" s="1413"/>
      <c r="H172" s="1650"/>
      <c r="I172" s="1414"/>
      <c r="J172" s="537">
        <f ca="1">J174+J173</f>
        <v>70</v>
      </c>
      <c r="K172" s="83">
        <f>K174+K173</f>
        <v>165</v>
      </c>
      <c r="L172" s="83">
        <f>L174+L173</f>
        <v>168.4</v>
      </c>
      <c r="M172" s="83">
        <f>M174+M173</f>
        <v>0</v>
      </c>
      <c r="N172" s="63"/>
      <c r="O172" s="64"/>
      <c r="P172" s="64"/>
      <c r="Q172" s="64"/>
      <c r="R172" s="64"/>
      <c r="S172" s="345"/>
    </row>
    <row r="173" spans="1:19" s="54" customFormat="1">
      <c r="A173" s="515"/>
      <c r="B173" s="516"/>
      <c r="C173" s="1415" t="s">
        <v>187</v>
      </c>
      <c r="D173" s="1416"/>
      <c r="E173" s="1416"/>
      <c r="F173" s="1416"/>
      <c r="G173" s="1416"/>
      <c r="H173" s="1416"/>
      <c r="I173" s="1417"/>
      <c r="J173" s="708">
        <f>SUMIF(I14:I153,"ES",J14:J153)</f>
        <v>70</v>
      </c>
      <c r="K173" s="136">
        <f>SUMIF(I60:I155,"ES",K60:K155)</f>
        <v>165</v>
      </c>
      <c r="L173" s="136">
        <f>SUMIF(I60:I155,"ES",L60:L155)</f>
        <v>168.4</v>
      </c>
      <c r="M173" s="136">
        <f>SUMIF(I60:I153,"ES",M60:M153)</f>
        <v>0</v>
      </c>
      <c r="N173" s="331"/>
      <c r="O173" s="331"/>
      <c r="P173" s="63"/>
      <c r="Q173" s="63"/>
      <c r="R173" s="63"/>
      <c r="S173" s="43"/>
    </row>
    <row r="174" spans="1:19" s="1" customFormat="1" ht="16.5" customHeight="1">
      <c r="A174" s="331"/>
      <c r="B174" s="331"/>
      <c r="C174" s="1346" t="s">
        <v>96</v>
      </c>
      <c r="D174" s="1648"/>
      <c r="E174" s="1347"/>
      <c r="F174" s="1347"/>
      <c r="G174" s="1347"/>
      <c r="H174" s="1348"/>
      <c r="I174" s="1348"/>
      <c r="J174" s="708">
        <f ca="1">SUMIF(I13:I154,"LRVB",J33:J154)</f>
        <v>0</v>
      </c>
      <c r="K174" s="136">
        <f>SUMIF(I13:I154,"LRVB",K13:K154)</f>
        <v>0</v>
      </c>
      <c r="L174" s="136">
        <f>SUMIF(I13:I154,"LRVB",L13:L154)</f>
        <v>0</v>
      </c>
      <c r="M174" s="136">
        <f>SUMIF(I13:I154,"LRVB",M13:M154)</f>
        <v>0</v>
      </c>
      <c r="N174" s="63"/>
      <c r="O174" s="64"/>
      <c r="P174" s="64"/>
      <c r="Q174" s="64"/>
      <c r="R174" s="64"/>
      <c r="S174" s="345"/>
    </row>
    <row r="175" spans="1:19" s="1" customFormat="1" ht="13.5" customHeight="1" thickBot="1">
      <c r="A175" s="331"/>
      <c r="B175" s="331"/>
      <c r="C175" s="1405" t="s">
        <v>97</v>
      </c>
      <c r="D175" s="1406"/>
      <c r="E175" s="1406"/>
      <c r="F175" s="1406"/>
      <c r="G175" s="1406"/>
      <c r="H175" s="1406"/>
      <c r="I175" s="1407"/>
      <c r="J175" s="538">
        <f ca="1">J172+J160</f>
        <v>13418.799999999997</v>
      </c>
      <c r="K175" s="137">
        <f>K172+K160</f>
        <v>13014.299999999997</v>
      </c>
      <c r="L175" s="137">
        <f>L172+L160</f>
        <v>13643.799999999997</v>
      </c>
      <c r="M175" s="137">
        <f>M172+M160</f>
        <v>5927.1000000000013</v>
      </c>
      <c r="N175" s="86"/>
      <c r="O175" s="64"/>
      <c r="P175" s="64"/>
      <c r="Q175" s="64"/>
      <c r="R175" s="64"/>
      <c r="S175" s="345"/>
    </row>
    <row r="176" spans="1:19" s="66" customFormat="1" ht="11.25">
      <c r="A176" s="65"/>
      <c r="B176" s="65"/>
      <c r="C176" s="65"/>
      <c r="D176" s="65"/>
      <c r="E176" s="65"/>
      <c r="F176" s="65"/>
      <c r="G176" s="65"/>
      <c r="H176" s="65"/>
      <c r="I176" s="65"/>
      <c r="J176" s="73"/>
      <c r="K176" s="73"/>
      <c r="L176" s="73"/>
      <c r="M176" s="73"/>
      <c r="N176" s="92"/>
      <c r="O176" s="65"/>
      <c r="P176" s="65"/>
      <c r="Q176" s="65"/>
      <c r="R176" s="65"/>
      <c r="S176" s="556"/>
    </row>
    <row r="177" spans="1:19" s="66" customFormat="1" ht="12.75">
      <c r="A177" s="65"/>
      <c r="B177" s="65"/>
      <c r="C177" s="65"/>
      <c r="D177" s="65"/>
      <c r="E177" s="63"/>
      <c r="F177" s="67"/>
      <c r="G177" s="68"/>
      <c r="H177" s="65"/>
      <c r="I177" s="65"/>
      <c r="J177" s="92"/>
      <c r="K177" s="92"/>
      <c r="L177" s="92"/>
      <c r="M177" s="92"/>
      <c r="N177" s="92"/>
      <c r="O177" s="68"/>
      <c r="P177" s="68"/>
      <c r="Q177" s="68"/>
      <c r="R177" s="68"/>
      <c r="S177" s="556"/>
    </row>
    <row r="178" spans="1:19" s="66" customFormat="1" ht="12.75">
      <c r="A178" s="65"/>
      <c r="B178" s="65"/>
      <c r="C178" s="65"/>
      <c r="D178" s="65"/>
      <c r="E178" s="63"/>
      <c r="F178" s="67"/>
      <c r="G178" s="68"/>
      <c r="H178" s="65"/>
      <c r="I178" s="65"/>
      <c r="J178" s="65"/>
      <c r="K178" s="65"/>
      <c r="L178" s="65"/>
      <c r="M178" s="65"/>
      <c r="N178" s="65"/>
      <c r="O178" s="68"/>
      <c r="P178" s="68"/>
      <c r="Q178" s="68"/>
      <c r="R178" s="68"/>
      <c r="S178" s="556"/>
    </row>
    <row r="179" spans="1:19">
      <c r="J179" s="88"/>
      <c r="K179" s="88"/>
      <c r="L179" s="88"/>
      <c r="M179" s="88"/>
    </row>
    <row r="180" spans="1:19">
      <c r="J180" s="88"/>
      <c r="K180" s="88"/>
      <c r="L180" s="88"/>
      <c r="M180" s="88"/>
    </row>
    <row r="181" spans="1:19">
      <c r="J181" s="165"/>
      <c r="K181" s="165"/>
      <c r="L181" s="165"/>
      <c r="M181" s="165"/>
    </row>
  </sheetData>
  <mergeCells count="198">
    <mergeCell ref="B149:B151"/>
    <mergeCell ref="A149:A151"/>
    <mergeCell ref="A108:A109"/>
    <mergeCell ref="B108:B109"/>
    <mergeCell ref="A110:A112"/>
    <mergeCell ref="A128:A134"/>
    <mergeCell ref="C159:I159"/>
    <mergeCell ref="C160:I160"/>
    <mergeCell ref="E82:E83"/>
    <mergeCell ref="E84:E85"/>
    <mergeCell ref="E86:E87"/>
    <mergeCell ref="E145:E146"/>
    <mergeCell ref="C108:C109"/>
    <mergeCell ref="D108:D109"/>
    <mergeCell ref="E108:E109"/>
    <mergeCell ref="F108:F109"/>
    <mergeCell ref="G108:G109"/>
    <mergeCell ref="H108:H109"/>
    <mergeCell ref="E128:E130"/>
    <mergeCell ref="F128:F130"/>
    <mergeCell ref="E90:E91"/>
    <mergeCell ref="H95:H101"/>
    <mergeCell ref="D90:D91"/>
    <mergeCell ref="C163:I163"/>
    <mergeCell ref="C149:C151"/>
    <mergeCell ref="E149:E151"/>
    <mergeCell ref="C167:I167"/>
    <mergeCell ref="C165:I165"/>
    <mergeCell ref="N154:R154"/>
    <mergeCell ref="C136:R136"/>
    <mergeCell ref="H102:H104"/>
    <mergeCell ref="C166:I166"/>
    <mergeCell ref="N145:N146"/>
    <mergeCell ref="C135:I135"/>
    <mergeCell ref="H126:H127"/>
    <mergeCell ref="C123:I123"/>
    <mergeCell ref="N150:N151"/>
    <mergeCell ref="C113:I113"/>
    <mergeCell ref="C114:R114"/>
    <mergeCell ref="C128:C134"/>
    <mergeCell ref="F115:F121"/>
    <mergeCell ref="E105:E106"/>
    <mergeCell ref="H105:H106"/>
    <mergeCell ref="A155:O155"/>
    <mergeCell ref="N126:N127"/>
    <mergeCell ref="A126:A127"/>
    <mergeCell ref="C157:I157"/>
    <mergeCell ref="C175:I175"/>
    <mergeCell ref="C164:I164"/>
    <mergeCell ref="E141:E142"/>
    <mergeCell ref="E143:E144"/>
    <mergeCell ref="C168:I168"/>
    <mergeCell ref="B153:I153"/>
    <mergeCell ref="C124:R124"/>
    <mergeCell ref="C169:I169"/>
    <mergeCell ref="B126:B127"/>
    <mergeCell ref="C126:C127"/>
    <mergeCell ref="E126:E127"/>
    <mergeCell ref="F126:F127"/>
    <mergeCell ref="C173:I173"/>
    <mergeCell ref="C174:I174"/>
    <mergeCell ref="C170:I170"/>
    <mergeCell ref="C171:I171"/>
    <mergeCell ref="E138:E139"/>
    <mergeCell ref="N153:R153"/>
    <mergeCell ref="B154:I154"/>
    <mergeCell ref="C172:I172"/>
    <mergeCell ref="C152:I152"/>
    <mergeCell ref="C161:I161"/>
    <mergeCell ref="C162:I162"/>
    <mergeCell ref="B128:B134"/>
    <mergeCell ref="N1:R1"/>
    <mergeCell ref="A4:R4"/>
    <mergeCell ref="N5:R5"/>
    <mergeCell ref="A6:A8"/>
    <mergeCell ref="B6:B8"/>
    <mergeCell ref="C6:C8"/>
    <mergeCell ref="D6:D8"/>
    <mergeCell ref="E6:E8"/>
    <mergeCell ref="F6:F8"/>
    <mergeCell ref="N6:R6"/>
    <mergeCell ref="N7:N8"/>
    <mergeCell ref="I6:I8"/>
    <mergeCell ref="L6:L8"/>
    <mergeCell ref="K6:K8"/>
    <mergeCell ref="E3:N3"/>
    <mergeCell ref="O7:R7"/>
    <mergeCell ref="H6:H8"/>
    <mergeCell ref="G6:G8"/>
    <mergeCell ref="J6:J8"/>
    <mergeCell ref="M6:M8"/>
    <mergeCell ref="A9:R9"/>
    <mergeCell ref="B75:B77"/>
    <mergeCell ref="C75:C77"/>
    <mergeCell ref="E75:E77"/>
    <mergeCell ref="F75:F77"/>
    <mergeCell ref="G75:G77"/>
    <mergeCell ref="H75:H77"/>
    <mergeCell ref="E2:N2"/>
    <mergeCell ref="A32:A35"/>
    <mergeCell ref="B32:B35"/>
    <mergeCell ref="C32:C35"/>
    <mergeCell ref="R27:R28"/>
    <mergeCell ref="R55:R58"/>
    <mergeCell ref="E62:E64"/>
    <mergeCell ref="E66:E70"/>
    <mergeCell ref="F32:F35"/>
    <mergeCell ref="R48:R50"/>
    <mergeCell ref="N75:N77"/>
    <mergeCell ref="E55:E58"/>
    <mergeCell ref="F55:F58"/>
    <mergeCell ref="A75:A77"/>
    <mergeCell ref="E18:E22"/>
    <mergeCell ref="A18:A25"/>
    <mergeCell ref="B18:B25"/>
    <mergeCell ref="C18:C25"/>
    <mergeCell ref="B110:B112"/>
    <mergeCell ref="C110:C112"/>
    <mergeCell ref="D110:D112"/>
    <mergeCell ref="A10:R10"/>
    <mergeCell ref="B11:R11"/>
    <mergeCell ref="C12:R12"/>
    <mergeCell ref="A78:A79"/>
    <mergeCell ref="B78:B79"/>
    <mergeCell ref="N82:N83"/>
    <mergeCell ref="G55:G58"/>
    <mergeCell ref="F78:F79"/>
    <mergeCell ref="G78:G79"/>
    <mergeCell ref="E71:E73"/>
    <mergeCell ref="B51:B54"/>
    <mergeCell ref="C51:C54"/>
    <mergeCell ref="H78:H79"/>
    <mergeCell ref="E78:E79"/>
    <mergeCell ref="N62:N63"/>
    <mergeCell ref="N71:N72"/>
    <mergeCell ref="E95:E101"/>
    <mergeCell ref="H62:H63"/>
    <mergeCell ref="H66:H68"/>
    <mergeCell ref="D105:D106"/>
    <mergeCell ref="C78:C79"/>
    <mergeCell ref="B55:B58"/>
    <mergeCell ref="C55:C58"/>
    <mergeCell ref="N141:N142"/>
    <mergeCell ref="N14:N15"/>
    <mergeCell ref="N110:N111"/>
    <mergeCell ref="F149:F151"/>
    <mergeCell ref="G149:G151"/>
    <mergeCell ref="H149:H151"/>
    <mergeCell ref="H40:H41"/>
    <mergeCell ref="E36:E37"/>
    <mergeCell ref="E32:E35"/>
    <mergeCell ref="H27:H28"/>
    <mergeCell ref="N27:N28"/>
    <mergeCell ref="E48:E50"/>
    <mergeCell ref="N102:N103"/>
    <mergeCell ref="H32:H34"/>
    <mergeCell ref="E40:E41"/>
    <mergeCell ref="E27:E29"/>
    <mergeCell ref="E38:E39"/>
    <mergeCell ref="H38:H39"/>
    <mergeCell ref="G126:G127"/>
    <mergeCell ref="E14:E15"/>
    <mergeCell ref="F14:F15"/>
    <mergeCell ref="G14:G15"/>
    <mergeCell ref="G51:G54"/>
    <mergeCell ref="H51:H52"/>
    <mergeCell ref="H115:H118"/>
    <mergeCell ref="E115:E116"/>
    <mergeCell ref="H14:H17"/>
    <mergeCell ref="G32:G35"/>
    <mergeCell ref="F51:F54"/>
    <mergeCell ref="G59:G60"/>
    <mergeCell ref="H42:H43"/>
    <mergeCell ref="E45:E46"/>
    <mergeCell ref="G48:G50"/>
    <mergeCell ref="H48:H50"/>
    <mergeCell ref="F48:F50"/>
    <mergeCell ref="O27:O28"/>
    <mergeCell ref="N48:N50"/>
    <mergeCell ref="H55:H56"/>
    <mergeCell ref="N95:N96"/>
    <mergeCell ref="E59:E60"/>
    <mergeCell ref="F59:F60"/>
    <mergeCell ref="N97:N98"/>
    <mergeCell ref="N152:R152"/>
    <mergeCell ref="P27:P28"/>
    <mergeCell ref="Q27:Q28"/>
    <mergeCell ref="A59:A60"/>
    <mergeCell ref="B59:B60"/>
    <mergeCell ref="C59:C60"/>
    <mergeCell ref="Q48:Q50"/>
    <mergeCell ref="N55:N58"/>
    <mergeCell ref="A48:A50"/>
    <mergeCell ref="B48:B50"/>
    <mergeCell ref="C48:C50"/>
    <mergeCell ref="Q55:Q58"/>
    <mergeCell ref="A55:A58"/>
    <mergeCell ref="A51:A54"/>
  </mergeCells>
  <printOptions horizontalCentered="1"/>
  <pageMargins left="0.19685039370078741" right="0.19685039370078741" top="0.74803149606299213" bottom="0" header="0" footer="0"/>
  <pageSetup paperSize="9" scale="74" orientation="landscape" r:id="rId1"/>
  <rowBreaks count="6" manualBreakCount="6">
    <brk id="31" max="22" man="1"/>
    <brk id="47" max="22" man="1"/>
    <brk id="70" max="22" man="1"/>
    <brk id="89" max="22" man="1"/>
    <brk id="107" max="22" man="1"/>
    <brk id="148"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vt:i4>
      </vt:variant>
    </vt:vector>
  </HeadingPairs>
  <TitlesOfParts>
    <vt:vector size="9" baseType="lpstr">
      <vt:lpstr>Ataskaita</vt:lpstr>
      <vt:lpstr>Priemonių suvestinė</vt:lpstr>
      <vt:lpstr>SPIS</vt:lpstr>
      <vt:lpstr>aiškinamoji lentelė </vt:lpstr>
      <vt:lpstr>'aiškinamoji lentelė '!Print_Area</vt:lpstr>
      <vt:lpstr>Ataskaita!Print_Area</vt:lpstr>
      <vt:lpstr>'Priemonių suvestinė'!Print_Area</vt:lpstr>
      <vt:lpstr>'aiškinamoji lentelė '!Print_Titles</vt:lpstr>
      <vt:lpstr>'Priemonių suvestinė'!Print_Titles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Audra Cepiene</cp:lastModifiedBy>
  <cp:lastPrinted>2020-03-02T06:41:48Z</cp:lastPrinted>
  <dcterms:created xsi:type="dcterms:W3CDTF">2015-10-15T13:35:41Z</dcterms:created>
  <dcterms:modified xsi:type="dcterms:W3CDTF">2020-03-02T06:57:27Z</dcterms:modified>
</cp:coreProperties>
</file>