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0" yWindow="0" windowWidth="23040" windowHeight="9195"/>
  </bookViews>
  <sheets>
    <sheet name="Ataskaita" sheetId="11" r:id="rId1"/>
    <sheet name="Priemonių suvestinė" sheetId="14" r:id="rId2"/>
    <sheet name="SPIS" sheetId="19" state="hidden" r:id="rId3"/>
    <sheet name="MVP įsak" sheetId="20" state="hidden" r:id="rId4"/>
  </sheets>
  <definedNames>
    <definedName name="_xlnm.Print_Area" localSheetId="1">'Priemonių suvestinė'!$A$1:$O$234</definedName>
    <definedName name="_xlnm.Print_Titles" localSheetId="1">'Priemonių suvestinė'!$4:$6</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9" i="14" l="1"/>
  <c r="J96" i="14" l="1"/>
  <c r="I72" i="14"/>
  <c r="I96" i="14" s="1"/>
  <c r="L317" i="20" l="1"/>
  <c r="K317" i="20"/>
  <c r="J317" i="20"/>
  <c r="L316" i="20"/>
  <c r="K316" i="20"/>
  <c r="J316" i="20"/>
  <c r="L315" i="20"/>
  <c r="K315" i="20"/>
  <c r="J315" i="20"/>
  <c r="L314" i="20"/>
  <c r="K314" i="20"/>
  <c r="J314" i="20"/>
  <c r="L311" i="20"/>
  <c r="K311" i="20"/>
  <c r="J311" i="20"/>
  <c r="L308" i="20"/>
  <c r="K308" i="20"/>
  <c r="J308" i="20"/>
  <c r="L307" i="20"/>
  <c r="L305" i="20"/>
  <c r="K305" i="20"/>
  <c r="J305" i="20"/>
  <c r="L294" i="20"/>
  <c r="K294" i="20"/>
  <c r="J294" i="20"/>
  <c r="K282" i="20"/>
  <c r="J282" i="20" s="1"/>
  <c r="L281" i="20"/>
  <c r="L310" i="20" s="1"/>
  <c r="K280" i="20"/>
  <c r="J280" i="20"/>
  <c r="K279" i="20"/>
  <c r="L279" i="20" s="1"/>
  <c r="K278" i="20"/>
  <c r="L278" i="20" s="1"/>
  <c r="K276" i="20"/>
  <c r="J276" i="20"/>
  <c r="L273" i="20"/>
  <c r="J272" i="20"/>
  <c r="K271" i="20"/>
  <c r="J271" i="20"/>
  <c r="K270" i="20"/>
  <c r="L270" i="20" s="1"/>
  <c r="L306" i="20" s="1"/>
  <c r="J270" i="20"/>
  <c r="K266" i="20"/>
  <c r="L266" i="20" s="1"/>
  <c r="K264" i="20"/>
  <c r="J259" i="20"/>
  <c r="L251" i="20"/>
  <c r="L241" i="20"/>
  <c r="K236" i="20"/>
  <c r="K251" i="20" s="1"/>
  <c r="J236" i="20"/>
  <c r="J251" i="20" s="1"/>
  <c r="L228" i="20"/>
  <c r="K228" i="20"/>
  <c r="J228" i="20"/>
  <c r="L225" i="20"/>
  <c r="L252" i="20" s="1"/>
  <c r="J222" i="20"/>
  <c r="K218" i="20"/>
  <c r="J218" i="20" s="1"/>
  <c r="N211" i="20"/>
  <c r="J210" i="20"/>
  <c r="K207" i="20"/>
  <c r="J207" i="20"/>
  <c r="K206" i="20"/>
  <c r="K225" i="20" s="1"/>
  <c r="J206" i="20"/>
  <c r="K202" i="20"/>
  <c r="J202" i="20"/>
  <c r="L199" i="20"/>
  <c r="L202" i="20" s="1"/>
  <c r="L198" i="20"/>
  <c r="K197" i="20"/>
  <c r="J197" i="20" s="1"/>
  <c r="J307" i="20" s="1"/>
  <c r="K196" i="20"/>
  <c r="J196" i="20" s="1"/>
  <c r="K195" i="20"/>
  <c r="K312" i="20" s="1"/>
  <c r="J195" i="20"/>
  <c r="L194" i="20"/>
  <c r="J193" i="20"/>
  <c r="K191" i="20"/>
  <c r="J191" i="20"/>
  <c r="K187" i="20"/>
  <c r="J187" i="20"/>
  <c r="L185" i="20"/>
  <c r="N182" i="20"/>
  <c r="K160" i="20"/>
  <c r="J160" i="20"/>
  <c r="K158" i="20"/>
  <c r="J158" i="20"/>
  <c r="L154" i="20"/>
  <c r="K154" i="20"/>
  <c r="J154" i="20"/>
  <c r="L149" i="20"/>
  <c r="K149" i="20"/>
  <c r="J149" i="20"/>
  <c r="L144" i="20"/>
  <c r="K144" i="20"/>
  <c r="J144" i="20"/>
  <c r="L133" i="20"/>
  <c r="K133" i="20"/>
  <c r="J133" i="20"/>
  <c r="L125" i="20"/>
  <c r="K125" i="20"/>
  <c r="J125" i="20"/>
  <c r="L110" i="20"/>
  <c r="K110" i="20"/>
  <c r="J110" i="20"/>
  <c r="L100" i="20"/>
  <c r="K100" i="20"/>
  <c r="J100" i="20"/>
  <c r="K57" i="20"/>
  <c r="J57" i="20"/>
  <c r="K56" i="20"/>
  <c r="J56" i="20"/>
  <c r="K42" i="20"/>
  <c r="J42" i="20"/>
  <c r="K37" i="20"/>
  <c r="J37" i="20"/>
  <c r="K36" i="20"/>
  <c r="J36" i="20"/>
  <c r="K32" i="20"/>
  <c r="J32" i="20"/>
  <c r="K31" i="20"/>
  <c r="J31" i="20"/>
  <c r="K27" i="20"/>
  <c r="J27" i="20"/>
  <c r="K18" i="20"/>
  <c r="K307" i="20" s="1"/>
  <c r="K17" i="20"/>
  <c r="K16" i="20"/>
  <c r="J16" i="20"/>
  <c r="L57" i="20" l="1"/>
  <c r="L155" i="20"/>
  <c r="J83" i="20"/>
  <c r="J84" i="20" s="1"/>
  <c r="K194" i="20"/>
  <c r="L276" i="20"/>
  <c r="L280" i="20"/>
  <c r="K313" i="20"/>
  <c r="L313" i="20"/>
  <c r="J306" i="20"/>
  <c r="K252" i="20"/>
  <c r="J155" i="20"/>
  <c r="K155" i="20"/>
  <c r="J225" i="20"/>
  <c r="J252" i="20" s="1"/>
  <c r="K310" i="20"/>
  <c r="L203" i="20"/>
  <c r="J290" i="20"/>
  <c r="J295" i="20" s="1"/>
  <c r="K309" i="20"/>
  <c r="J185" i="20"/>
  <c r="J312" i="20"/>
  <c r="K290" i="20"/>
  <c r="K295" i="20" s="1"/>
  <c r="L312" i="20"/>
  <c r="K304" i="20"/>
  <c r="J304" i="20"/>
  <c r="K185" i="20"/>
  <c r="L304" i="20"/>
  <c r="J310" i="20"/>
  <c r="J313" i="20"/>
  <c r="J194" i="20"/>
  <c r="K306" i="20"/>
  <c r="K303" i="20" s="1"/>
  <c r="K302" i="20" s="1"/>
  <c r="K318" i="20" s="1"/>
  <c r="K83" i="20"/>
  <c r="K84" i="20" s="1"/>
  <c r="K198" i="20"/>
  <c r="K203" i="20" s="1"/>
  <c r="J309" i="20"/>
  <c r="L16" i="20"/>
  <c r="J198" i="20"/>
  <c r="L264" i="20"/>
  <c r="L290" i="20" s="1"/>
  <c r="L295" i="20" s="1"/>
  <c r="J303" i="20" l="1"/>
  <c r="J302" i="20" s="1"/>
  <c r="J318" i="20" s="1"/>
  <c r="J203" i="20"/>
  <c r="J296" i="20" s="1"/>
  <c r="J297" i="20" s="1"/>
  <c r="K296" i="20"/>
  <c r="K297" i="20" s="1"/>
  <c r="L83" i="20"/>
  <c r="L84" i="20" s="1"/>
  <c r="L296" i="20" s="1"/>
  <c r="L297" i="20" s="1"/>
  <c r="L309" i="20"/>
  <c r="L303" i="20" s="1"/>
  <c r="L302" i="20" s="1"/>
  <c r="L318" i="20" s="1"/>
  <c r="E206" i="19" l="1"/>
  <c r="D206" i="19"/>
  <c r="C206" i="19"/>
  <c r="H186" i="19"/>
  <c r="G186" i="19"/>
  <c r="F186" i="19"/>
  <c r="E186" i="19"/>
  <c r="H185" i="19"/>
  <c r="G185" i="19"/>
  <c r="F185" i="19"/>
  <c r="E185" i="19"/>
  <c r="H178" i="19"/>
  <c r="G178" i="19"/>
  <c r="F178" i="19"/>
  <c r="E178" i="19"/>
  <c r="H175" i="19"/>
  <c r="G175" i="19"/>
  <c r="F175" i="19"/>
  <c r="E175" i="19"/>
  <c r="H167" i="19"/>
  <c r="G167" i="19"/>
  <c r="F167" i="19"/>
  <c r="E167" i="19"/>
  <c r="H158" i="19"/>
  <c r="G158" i="19"/>
  <c r="F158" i="19"/>
  <c r="E158" i="19"/>
  <c r="H153" i="19"/>
  <c r="H152" i="19" s="1"/>
  <c r="H151" i="19" s="1"/>
  <c r="G153" i="19"/>
  <c r="F153" i="19"/>
  <c r="E153" i="19"/>
  <c r="E152" i="19" s="1"/>
  <c r="E151" i="19" s="1"/>
  <c r="G152" i="19"/>
  <c r="G151" i="19" s="1"/>
  <c r="F152" i="19"/>
  <c r="F151" i="19"/>
  <c r="H148" i="19"/>
  <c r="G148" i="19"/>
  <c r="F148" i="19"/>
  <c r="E148" i="19"/>
  <c r="H143" i="19"/>
  <c r="G143" i="19"/>
  <c r="F143" i="19"/>
  <c r="E143" i="19"/>
  <c r="H139" i="19"/>
  <c r="G139" i="19"/>
  <c r="F139" i="19"/>
  <c r="E139" i="19"/>
  <c r="H135" i="19"/>
  <c r="H134" i="19" s="1"/>
  <c r="G135" i="19"/>
  <c r="G134" i="19" s="1"/>
  <c r="F135" i="19"/>
  <c r="F134" i="19" s="1"/>
  <c r="E135" i="19"/>
  <c r="E134" i="19"/>
  <c r="H131" i="19"/>
  <c r="H130" i="19" s="1"/>
  <c r="G131" i="19"/>
  <c r="F131" i="19"/>
  <c r="F130" i="19" s="1"/>
  <c r="E131" i="19"/>
  <c r="E130" i="19" s="1"/>
  <c r="G130" i="19"/>
  <c r="H128" i="19"/>
  <c r="G128" i="19"/>
  <c r="F128" i="19"/>
  <c r="E128" i="19"/>
  <c r="H125" i="19"/>
  <c r="G125" i="19"/>
  <c r="F125" i="19"/>
  <c r="E125" i="19"/>
  <c r="H122" i="19"/>
  <c r="G122" i="19"/>
  <c r="F122" i="19"/>
  <c r="E122" i="19"/>
  <c r="H111" i="19"/>
  <c r="H110" i="19" s="1"/>
  <c r="H109" i="19" s="1"/>
  <c r="G111" i="19"/>
  <c r="F111" i="19"/>
  <c r="E111" i="19"/>
  <c r="E110" i="19" s="1"/>
  <c r="E109" i="19" s="1"/>
  <c r="G110" i="19"/>
  <c r="F110" i="19"/>
  <c r="H107" i="19"/>
  <c r="G107" i="19"/>
  <c r="F107" i="19"/>
  <c r="E107" i="19"/>
  <c r="H103" i="19"/>
  <c r="G103" i="19"/>
  <c r="F103" i="19"/>
  <c r="F102" i="19" s="1"/>
  <c r="E103" i="19"/>
  <c r="H102" i="19"/>
  <c r="G102" i="19"/>
  <c r="E102" i="19"/>
  <c r="H96" i="19"/>
  <c r="H95" i="19" s="1"/>
  <c r="G96" i="19"/>
  <c r="G95" i="19" s="1"/>
  <c r="G66" i="19" s="1"/>
  <c r="F96" i="19"/>
  <c r="F95" i="19" s="1"/>
  <c r="E96" i="19"/>
  <c r="E95" i="19"/>
  <c r="H93" i="19"/>
  <c r="G93" i="19"/>
  <c r="F93" i="19"/>
  <c r="E93" i="19"/>
  <c r="H89" i="19"/>
  <c r="G89" i="19"/>
  <c r="F89" i="19"/>
  <c r="E89" i="19"/>
  <c r="H85" i="19"/>
  <c r="G85" i="19"/>
  <c r="F85" i="19"/>
  <c r="E85" i="19"/>
  <c r="H78" i="19"/>
  <c r="G78" i="19"/>
  <c r="F78" i="19"/>
  <c r="E78" i="19"/>
  <c r="H68" i="19"/>
  <c r="H67" i="19" s="1"/>
  <c r="H66" i="19" s="1"/>
  <c r="G68" i="19"/>
  <c r="F68" i="19"/>
  <c r="F67" i="19" s="1"/>
  <c r="E68" i="19"/>
  <c r="E67" i="19" s="1"/>
  <c r="E66" i="19" s="1"/>
  <c r="G67" i="19"/>
  <c r="H63" i="19"/>
  <c r="H62" i="19" s="1"/>
  <c r="G63" i="19"/>
  <c r="G62" i="19" s="1"/>
  <c r="F63" i="19"/>
  <c r="E63" i="19"/>
  <c r="F62" i="19"/>
  <c r="E62" i="19"/>
  <c r="H59" i="19"/>
  <c r="H58" i="19" s="1"/>
  <c r="G59" i="19"/>
  <c r="G58" i="19" s="1"/>
  <c r="F59" i="19"/>
  <c r="F58" i="19" s="1"/>
  <c r="E59" i="19"/>
  <c r="E58" i="19"/>
  <c r="H55" i="19"/>
  <c r="G55" i="19"/>
  <c r="F55" i="19"/>
  <c r="E55" i="19"/>
  <c r="H53" i="19"/>
  <c r="G53" i="19"/>
  <c r="F53" i="19"/>
  <c r="E53" i="19"/>
  <c r="H50" i="19"/>
  <c r="H49" i="19" s="1"/>
  <c r="G50" i="19"/>
  <c r="F50" i="19"/>
  <c r="F49" i="19" s="1"/>
  <c r="E50" i="19"/>
  <c r="E49" i="19" s="1"/>
  <c r="G49" i="19"/>
  <c r="H46" i="19"/>
  <c r="H45" i="19" s="1"/>
  <c r="G46" i="19"/>
  <c r="F46" i="19"/>
  <c r="E46" i="19"/>
  <c r="E45" i="19" s="1"/>
  <c r="G45" i="19"/>
  <c r="F45" i="19"/>
  <c r="H43" i="19"/>
  <c r="G43" i="19"/>
  <c r="F43" i="19"/>
  <c r="E43" i="19"/>
  <c r="H41" i="19"/>
  <c r="G41" i="19"/>
  <c r="F41" i="19"/>
  <c r="E41" i="19"/>
  <c r="H33" i="19"/>
  <c r="H32" i="19" s="1"/>
  <c r="G33" i="19"/>
  <c r="G32" i="19" s="1"/>
  <c r="F33" i="19"/>
  <c r="E33" i="19"/>
  <c r="F32" i="19"/>
  <c r="E32" i="19"/>
  <c r="H29" i="19"/>
  <c r="G29" i="19"/>
  <c r="F29" i="19"/>
  <c r="E29" i="19"/>
  <c r="H27" i="19"/>
  <c r="G27" i="19"/>
  <c r="F27" i="19"/>
  <c r="E27" i="19"/>
  <c r="H21" i="19"/>
  <c r="G21" i="19"/>
  <c r="F21" i="19"/>
  <c r="E21" i="19"/>
  <c r="H20" i="19"/>
  <c r="G20" i="19"/>
  <c r="F20" i="19"/>
  <c r="E20" i="19"/>
  <c r="H12" i="19"/>
  <c r="G12" i="19"/>
  <c r="F12" i="19"/>
  <c r="E12" i="19"/>
  <c r="H10" i="19"/>
  <c r="G10" i="19"/>
  <c r="F10" i="19"/>
  <c r="E10" i="19"/>
  <c r="H8" i="19"/>
  <c r="H7" i="19" s="1"/>
  <c r="G8" i="19"/>
  <c r="G7" i="19" s="1"/>
  <c r="G6" i="19" s="1"/>
  <c r="F8" i="19"/>
  <c r="F7" i="19" s="1"/>
  <c r="E8" i="19"/>
  <c r="E7" i="19"/>
  <c r="E6" i="19" s="1"/>
  <c r="E5" i="19" s="1"/>
  <c r="E4" i="19" s="1"/>
  <c r="F6" i="19" l="1"/>
  <c r="F109" i="19"/>
  <c r="G5" i="19"/>
  <c r="G4" i="19" s="1"/>
  <c r="F66" i="19"/>
  <c r="G109" i="19"/>
  <c r="H6" i="19"/>
  <c r="H5" i="19" s="1"/>
  <c r="H4" i="19" s="1"/>
  <c r="F5" i="19" l="1"/>
  <c r="F4" i="19" s="1"/>
  <c r="J199" i="14"/>
  <c r="J159" i="14"/>
  <c r="H159" i="14"/>
  <c r="J138" i="14"/>
  <c r="H138" i="14"/>
  <c r="I113" i="14"/>
  <c r="I106" i="14"/>
  <c r="J106" i="14"/>
  <c r="H106" i="14"/>
  <c r="H96" i="14"/>
  <c r="H141" i="14"/>
  <c r="H110" i="14"/>
  <c r="H160" i="14" l="1"/>
  <c r="J220" i="14"/>
  <c r="I180" i="14" l="1"/>
  <c r="H180" i="14"/>
  <c r="I179" i="14"/>
  <c r="H179" i="14"/>
  <c r="J63" i="14"/>
  <c r="J27" i="14"/>
  <c r="J65" i="14" l="1"/>
  <c r="J66" i="14" s="1"/>
  <c r="I27" i="14" l="1"/>
  <c r="I65" i="14" s="1"/>
  <c r="I66" i="14" l="1"/>
  <c r="I109" i="14"/>
  <c r="I108" i="14"/>
  <c r="I107" i="14"/>
  <c r="I148" i="14"/>
  <c r="I159" i="14" s="1"/>
  <c r="I185" i="14"/>
  <c r="I174" i="14"/>
  <c r="I173" i="14"/>
  <c r="I118" i="14"/>
  <c r="I138" i="14" l="1"/>
  <c r="I110" i="14"/>
  <c r="J219" i="14"/>
  <c r="H230" i="14" l="1"/>
  <c r="H229" i="14"/>
  <c r="H228" i="14"/>
  <c r="H227" i="14"/>
  <c r="H226" i="14"/>
  <c r="H223" i="14"/>
  <c r="H221" i="14"/>
  <c r="H219" i="14"/>
  <c r="H218" i="14"/>
  <c r="H216" i="14"/>
  <c r="H202" i="14"/>
  <c r="H185" i="14"/>
  <c r="H199" i="14" s="1"/>
  <c r="H222" i="14"/>
  <c r="H113" i="14"/>
  <c r="H114" i="14" s="1"/>
  <c r="H33" i="14"/>
  <c r="H220" i="14"/>
  <c r="J230" i="14"/>
  <c r="I230" i="14"/>
  <c r="J229" i="14"/>
  <c r="I229" i="14"/>
  <c r="J228" i="14"/>
  <c r="I228" i="14"/>
  <c r="J227" i="14"/>
  <c r="I227" i="14"/>
  <c r="J226" i="14"/>
  <c r="I226" i="14"/>
  <c r="J224" i="14"/>
  <c r="J223" i="14"/>
  <c r="I223" i="14"/>
  <c r="J222" i="14"/>
  <c r="I221" i="14"/>
  <c r="I219" i="14"/>
  <c r="J218" i="14"/>
  <c r="I218" i="14"/>
  <c r="J216" i="14"/>
  <c r="I216" i="14"/>
  <c r="J202" i="14"/>
  <c r="J203" i="14" s="1"/>
  <c r="I202" i="14"/>
  <c r="I190" i="14"/>
  <c r="I199" i="14" s="1"/>
  <c r="J217" i="14"/>
  <c r="J141" i="14"/>
  <c r="J160" i="14" s="1"/>
  <c r="I141" i="14"/>
  <c r="I160" i="14" s="1"/>
  <c r="L124" i="14"/>
  <c r="J113" i="14"/>
  <c r="J110" i="14"/>
  <c r="L93" i="14"/>
  <c r="H203" i="14" l="1"/>
  <c r="I203" i="14"/>
  <c r="H65" i="14"/>
  <c r="H66" i="14" s="1"/>
  <c r="J114" i="14"/>
  <c r="H225" i="14"/>
  <c r="H215" i="14"/>
  <c r="H224" i="14"/>
  <c r="H217" i="14"/>
  <c r="I222" i="14"/>
  <c r="J225" i="14"/>
  <c r="I215" i="14"/>
  <c r="I224" i="14"/>
  <c r="J215" i="14"/>
  <c r="J214" i="14" s="1"/>
  <c r="I217" i="14"/>
  <c r="I225" i="14"/>
  <c r="I114" i="14"/>
  <c r="I220" i="14"/>
  <c r="J204" i="14" l="1"/>
  <c r="J205" i="14" s="1"/>
  <c r="I214" i="14"/>
  <c r="I213" i="14" s="1"/>
  <c r="I231" i="14" s="1"/>
  <c r="H214" i="14"/>
  <c r="H213" i="14" s="1"/>
  <c r="H231" i="14" s="1"/>
  <c r="H204" i="14"/>
  <c r="H205" i="14" s="1"/>
  <c r="J213" i="14"/>
  <c r="J231" i="14" s="1"/>
  <c r="I204" i="14"/>
  <c r="I205" i="14" l="1"/>
</calcChain>
</file>

<file path=xl/comments1.xml><?xml version="1.0" encoding="utf-8"?>
<comments xmlns="http://schemas.openxmlformats.org/spreadsheetml/2006/main">
  <authors>
    <author>Audra Cepiene</author>
  </authors>
  <commentList>
    <comment ref="G27" authorId="0" shapeId="0">
      <text>
        <r>
          <rPr>
            <b/>
            <sz val="9"/>
            <color indexed="81"/>
            <rFont val="Tahoma"/>
            <family val="2"/>
            <charset val="186"/>
          </rPr>
          <t>ŽP 637</t>
        </r>
        <r>
          <rPr>
            <sz val="9"/>
            <color indexed="81"/>
            <rFont val="Tahoma"/>
            <family val="2"/>
            <charset val="186"/>
          </rPr>
          <t xml:space="preserve">
</t>
        </r>
      </text>
    </comment>
    <comment ref="I32" authorId="0" shapeId="0">
      <text>
        <r>
          <rPr>
            <b/>
            <sz val="9"/>
            <color indexed="81"/>
            <rFont val="Tahoma"/>
            <family val="2"/>
            <charset val="186"/>
          </rPr>
          <t>biudžete nėra 0</t>
        </r>
      </text>
    </comment>
    <comment ref="E35" authorId="0" shapeId="0">
      <text>
        <r>
          <rPr>
            <b/>
            <sz val="9"/>
            <color indexed="81"/>
            <rFont val="Tahoma"/>
            <family val="2"/>
            <charset val="186"/>
          </rPr>
          <t xml:space="preserve">P6, Klaipėdos miesto ekonominės plėtros strategija ir įgyvendinimo veiksmų planas iki 2030 metų, 3.3.2. priemonė </t>
        </r>
        <r>
          <rPr>
            <sz val="9"/>
            <color indexed="81"/>
            <rFont val="Tahoma"/>
            <family val="2"/>
            <charset val="186"/>
          </rPr>
          <t xml:space="preserve">
</t>
        </r>
      </text>
    </comment>
    <comment ref="E37"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 xml:space="preserve">Centrinėje miesto dalyje suformuoti pėsčiųjų takų, zonų ir gatvių tinklą </t>
        </r>
      </text>
    </comment>
    <comment ref="K37" authorId="0" shapeId="0">
      <text>
        <r>
          <rPr>
            <b/>
            <sz val="9"/>
            <color indexed="81"/>
            <rFont val="Tahoma"/>
            <family val="2"/>
            <charset val="186"/>
          </rPr>
          <t>Į senamiesčio grindinio atnaujinimo projektą įtraukta priemonė "</t>
        </r>
        <r>
          <rPr>
            <sz val="9"/>
            <color indexed="81"/>
            <rFont val="Tahoma"/>
            <family val="2"/>
            <charset val="186"/>
          </rPr>
          <t>Tomo ir Pylimo g. rekonstravimas", iš viso bus tvarkomos 8 gatvės:
Žvejų g., Teatro g., Sukilėlių g., Daržų g. (nuo Pilies g. iki Aukštosios g.), Aukštoji g. (nuo Daržų g. iki Didžiosios Vandens g.), Didžioji Vandens g. (nuo Aukštosios g. iki Tiltų g.), Vežėjų g. (nuo Turgaus g. iki Daržų g.), Tomo ir Pylimo g.</t>
        </r>
      </text>
    </comment>
    <comment ref="E39"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41"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50" authorId="0" shapeId="0">
      <text>
        <r>
          <rPr>
            <b/>
            <sz val="9"/>
            <color indexed="81"/>
            <rFont val="Tahoma"/>
            <family val="2"/>
            <charset val="186"/>
          </rPr>
          <t xml:space="preserve">P6, Klaipėdos miesto ekonominės plėtros strategija ir įgyvendinimo veiksmų planas iki 2030 metų, 3.3.3. priemonė </t>
        </r>
        <r>
          <rPr>
            <sz val="9"/>
            <color indexed="81"/>
            <rFont val="Tahoma"/>
            <family val="2"/>
            <charset val="186"/>
          </rPr>
          <t xml:space="preserve">
</t>
        </r>
      </text>
    </comment>
    <comment ref="K50" authorId="0" shapeId="0">
      <text>
        <r>
          <rPr>
            <sz val="9"/>
            <color indexed="81"/>
            <rFont val="Tahoma"/>
            <family val="2"/>
            <charset val="186"/>
          </rPr>
          <t>Rekonstravimo darbai bus pradėti 2022 metais. Atlikta gatvės (571 m) tiesimo darbų (II etapas). Užbaigtumas, proc.                                                  Pasirašyta koncesijos sutartis</t>
        </r>
      </text>
    </comment>
    <comment ref="E53"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59"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68"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I70" authorId="0" shapeId="0">
      <text>
        <r>
          <rPr>
            <b/>
            <sz val="9"/>
            <color indexed="81"/>
            <rFont val="Tahoma"/>
            <family val="2"/>
            <charset val="186"/>
          </rPr>
          <t>nevda 3046</t>
        </r>
        <r>
          <rPr>
            <sz val="9"/>
            <color indexed="81"/>
            <rFont val="Tahoma"/>
            <family val="2"/>
            <charset val="186"/>
          </rPr>
          <t xml:space="preserve">
</t>
        </r>
      </text>
    </comment>
    <comment ref="E98"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08"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11"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18"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L124" authorId="0" shapeId="0">
      <text>
        <r>
          <rPr>
            <sz val="9"/>
            <color indexed="81"/>
            <rFont val="Tahoma"/>
            <family val="2"/>
            <charset val="186"/>
          </rPr>
          <t>Šviesoforų pagal inventorizaciją eksploatuojama</t>
        </r>
        <r>
          <rPr>
            <b/>
            <sz val="9"/>
            <color indexed="81"/>
            <rFont val="Tahoma"/>
            <family val="2"/>
            <charset val="186"/>
          </rPr>
          <t xml:space="preserve"> 66 vnt.</t>
        </r>
        <r>
          <rPr>
            <sz val="9"/>
            <color indexed="81"/>
            <rFont val="Tahoma"/>
            <family val="2"/>
            <charset val="186"/>
          </rPr>
          <t xml:space="preserve"> ir  šiais metais bus įrengta</t>
        </r>
        <r>
          <rPr>
            <b/>
            <sz val="9"/>
            <color indexed="81"/>
            <rFont val="Tahoma"/>
            <family val="2"/>
            <charset val="186"/>
          </rPr>
          <t xml:space="preserve"> 5 nauj</t>
        </r>
        <r>
          <rPr>
            <sz val="9"/>
            <color indexed="81"/>
            <rFont val="Tahoma"/>
            <family val="2"/>
            <charset val="186"/>
          </rPr>
          <t xml:space="preserve">i (Baltijos pr. 20, Baltijos pr.6, Baltijos pr. 10, Šilutės pl. ties AB „Klaipėdos energija“, Taikos pr. ties Žvejų rūmais)
</t>
        </r>
      </text>
    </comment>
    <comment ref="K125" authorId="0" shapeId="0">
      <text>
        <r>
          <rPr>
            <sz val="9"/>
            <color indexed="81"/>
            <rFont val="Tahoma"/>
            <family val="2"/>
            <charset val="186"/>
          </rPr>
          <t xml:space="preserve">Planuojama vietoj senų susidevėjusių kellio ženklų stovų pakeisti naujus, taip pat bus keičiami stovai prie nederančio naujai įrengto apšvietimo centinėse miesto gatvėse
</t>
        </r>
      </text>
    </comment>
    <comment ref="E139" authorId="0" shapeId="0">
      <text>
        <r>
          <rPr>
            <b/>
            <sz val="9"/>
            <color indexed="81"/>
            <rFont val="Tahoma"/>
            <family val="2"/>
            <charset val="186"/>
          </rPr>
          <t xml:space="preserve"> P2, Klaipėdos miesto darnaus judumo planas (2018-09-13, T2-185), </t>
        </r>
        <r>
          <rPr>
            <sz val="9"/>
            <color indexed="81"/>
            <rFont val="Tahoma"/>
            <family val="2"/>
            <charset val="186"/>
          </rPr>
          <t xml:space="preserve">
</t>
        </r>
      </text>
    </comment>
    <comment ref="K140"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E142" authorId="0" shapeId="0">
      <text>
        <r>
          <rPr>
            <b/>
            <sz val="9"/>
            <color indexed="81"/>
            <rFont val="Tahoma"/>
            <family val="2"/>
            <charset val="186"/>
          </rPr>
          <t>P2, Klaipėdos miesto darnaus judumo planas (2018-09-13, T2-185)</t>
        </r>
      </text>
    </comment>
    <comment ref="E144"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r>
          <rPr>
            <b/>
            <sz val="9"/>
            <color indexed="81"/>
            <rFont val="Tahoma"/>
            <family val="2"/>
            <charset val="186"/>
          </rPr>
          <t xml:space="preserve">P2, Klaipėdos miesto darnaus judumo planas (2018-09-13, T2-185), </t>
        </r>
      </text>
    </comment>
    <comment ref="E147"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E150"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E153"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E155"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156"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L156" authorId="0" shapeId="0">
      <text>
        <r>
          <rPr>
            <b/>
            <sz val="9"/>
            <color indexed="81"/>
            <rFont val="Tahoma"/>
            <family val="2"/>
            <charset val="186"/>
          </rPr>
          <t>2018 m. įrengtos 6 elektromobilių stotelės:</t>
        </r>
        <r>
          <rPr>
            <sz val="9"/>
            <color indexed="81"/>
            <rFont val="Tahoma"/>
            <family val="2"/>
            <charset val="186"/>
          </rPr>
          <t xml:space="preserve">
1. Prie Park&amp;Ride ligoninių komplekso, 1 vnt.
2. Prie Klaipėdos miesto savivaldybės administracijos pastato iš Vytauto ir Liepų g. pusės, 2 vnt.
     3. Prie LIDL p c., ties Sendvario žiedu, 1 vnt.
     4. Piliavietės aikštelėje, 2 vnt.
     5. Dar 2 stotelės įrengtos Smiltynėje, bet dar neperduotos eksploatuoti.
     6. </t>
        </r>
        <r>
          <rPr>
            <b/>
            <sz val="9"/>
            <color indexed="81"/>
            <rFont val="Tahoma"/>
            <family val="2"/>
            <charset val="186"/>
          </rPr>
          <t xml:space="preserve">2019 m. </t>
        </r>
        <r>
          <rPr>
            <sz val="9"/>
            <color indexed="81"/>
            <rFont val="Tahoma"/>
            <family val="2"/>
            <charset val="186"/>
          </rPr>
          <t xml:space="preserve">planuojamos įrengti 3 vnt. greitos įkrovimo elektromobilių stotelės, kurių įrengimą organizuoja LR susisiekimo ministerija. Klaipėdos mieste tokios stotelės turėtų atsirasti: Vingio g. gale esančioje automobilių statymo aikštelėje, Naujojo turgaus aikštelėje ir šalia Klaipėdos autobusų stoties esančioje automobilių statymo aikštelėje.
</t>
        </r>
      </text>
    </comment>
    <comment ref="L165" authorId="0" shapeId="0">
      <text>
        <r>
          <rPr>
            <b/>
            <sz val="9"/>
            <color indexed="81"/>
            <rFont val="Tahoma"/>
            <family val="2"/>
            <charset val="186"/>
          </rPr>
          <t>59 445 kv.m</t>
        </r>
        <r>
          <rPr>
            <sz val="9"/>
            <color indexed="81"/>
            <rFont val="Tahoma"/>
            <family val="2"/>
            <charset val="186"/>
          </rPr>
          <t xml:space="preserve">
</t>
        </r>
      </text>
    </comment>
    <comment ref="L173" authorId="0" shapeId="0">
      <text>
        <r>
          <rPr>
            <sz val="9"/>
            <color indexed="81"/>
            <rFont val="Tahoma"/>
            <family val="2"/>
            <charset val="186"/>
          </rPr>
          <t xml:space="preserve">44 875 kv.m
</t>
        </r>
      </text>
    </comment>
    <comment ref="L174" authorId="0" shapeId="0">
      <text>
        <r>
          <rPr>
            <sz val="9"/>
            <color indexed="81"/>
            <rFont val="Tahoma"/>
            <family val="2"/>
            <charset val="186"/>
          </rPr>
          <t xml:space="preserve">13 338 kv.m
</t>
        </r>
      </text>
    </comment>
    <comment ref="L177" authorId="0" shapeId="0">
      <text>
        <r>
          <rPr>
            <sz val="9"/>
            <color indexed="81"/>
            <rFont val="Tahoma"/>
            <family val="2"/>
            <charset val="186"/>
          </rPr>
          <t>18 180 kv.m</t>
        </r>
      </text>
    </comment>
    <comment ref="L182" authorId="0" shapeId="0">
      <text>
        <r>
          <rPr>
            <sz val="9"/>
            <color indexed="81"/>
            <rFont val="Tahoma"/>
            <family val="2"/>
            <charset val="186"/>
          </rPr>
          <t xml:space="preserve">6600 kv.m
</t>
        </r>
      </text>
    </comment>
    <comment ref="L183" authorId="0" shapeId="0">
      <text>
        <r>
          <rPr>
            <b/>
            <sz val="9"/>
            <color indexed="81"/>
            <rFont val="Tahoma"/>
            <family val="2"/>
            <charset val="186"/>
          </rPr>
          <t>11 000 kv.m</t>
        </r>
        <r>
          <rPr>
            <sz val="9"/>
            <color indexed="81"/>
            <rFont val="Tahoma"/>
            <family val="2"/>
            <charset val="186"/>
          </rPr>
          <t xml:space="preserve">
</t>
        </r>
      </text>
    </comment>
    <comment ref="L185" authorId="0" shapeId="0">
      <text>
        <r>
          <rPr>
            <b/>
            <sz val="9"/>
            <color indexed="81"/>
            <rFont val="Tahoma"/>
            <family val="2"/>
            <charset val="186"/>
          </rPr>
          <t xml:space="preserve">14 vnt. UKD </t>
        </r>
        <r>
          <rPr>
            <sz val="9"/>
            <color indexed="81"/>
            <rFont val="Tahoma"/>
            <family val="2"/>
            <charset val="186"/>
          </rPr>
          <t xml:space="preserve">pateikė poreikį šioms įstaigoms: 7 bendrojo ugdymo mokykloms ir 7 lopšeliams darželiams: </t>
        </r>
        <r>
          <rPr>
            <b/>
            <sz val="9"/>
            <color indexed="81"/>
            <rFont val="Tahoma"/>
            <family val="2"/>
            <charset val="186"/>
          </rPr>
          <t xml:space="preserve">
(darbai jau vykdomi prie šių įstaigų)
L/d "Berželis";
 L/d "Vėrinėlis"
L/d "Atžalynas"; 
Vitės progimnazija; 
"Žaliakalnio" gimnazija;
"Ąžuolyno" gimnazija;
</t>
        </r>
        <r>
          <rPr>
            <sz val="9"/>
            <color indexed="81"/>
            <rFont val="Tahoma"/>
            <family val="2"/>
            <charset val="186"/>
          </rPr>
          <t xml:space="preserve">(nepradėti vykdyti)
L/d "Želemenėlis";
L/d "Bangelė";
L/d "Pakalnutė";
L/d "Linelis";
"Gabijos" progimnazija;
"Versmės"  progimnazija;
"Vyturio" progimnazija;
Martyno Mažvydo progimnazija.
</t>
        </r>
        <r>
          <rPr>
            <b/>
            <sz val="9"/>
            <color indexed="81"/>
            <rFont val="Tahoma"/>
            <family val="2"/>
            <charset val="186"/>
          </rPr>
          <t xml:space="preserve">
2019 m. pradžioje SRD</t>
        </r>
        <r>
          <rPr>
            <sz val="9"/>
            <color indexed="81"/>
            <rFont val="Tahoma"/>
            <family val="2"/>
            <charset val="186"/>
          </rPr>
          <t xml:space="preserve"> pateikė poreikį 1 įstaigai, tačiau 23,1 tūkst. Eur lėšos nebuvo suplanuotos.
BĮ Klaipėdos vaikų globos namuose „Smiltelė“ kelio dangos remontas, kv. m. (darbai vykdomi) </t>
        </r>
        <r>
          <rPr>
            <b/>
            <sz val="9"/>
            <color indexed="81"/>
            <rFont val="Tahoma"/>
            <family val="2"/>
            <charset val="186"/>
          </rPr>
          <t xml:space="preserve">
</t>
        </r>
      </text>
    </comment>
    <comment ref="H214" authorId="0" shapeId="0">
      <text>
        <r>
          <rPr>
            <b/>
            <sz val="9"/>
            <color indexed="81"/>
            <rFont val="Tahoma"/>
            <family val="2"/>
            <charset val="186"/>
          </rPr>
          <t xml:space="preserve">15594,9 pirminis MVP
</t>
        </r>
        <r>
          <rPr>
            <sz val="9"/>
            <color indexed="81"/>
            <rFont val="Tahoma"/>
            <family val="2"/>
            <charset val="186"/>
          </rPr>
          <t xml:space="preserve">
</t>
        </r>
      </text>
    </comment>
    <comment ref="I214" authorId="0" shapeId="0">
      <text>
        <r>
          <rPr>
            <sz val="9"/>
            <color indexed="81"/>
            <rFont val="Tahoma"/>
            <family val="2"/>
            <charset val="186"/>
          </rPr>
          <t xml:space="preserve">19721 III SVP, administracijos direktoriaus 2019-10-30 įsakymą Nr. AD1-1349
</t>
        </r>
      </text>
    </comment>
    <comment ref="J231" authorId="0" shapeId="0">
      <text>
        <r>
          <rPr>
            <b/>
            <sz val="9"/>
            <color indexed="81"/>
            <rFont val="Tahoma"/>
            <family val="2"/>
            <charset val="186"/>
          </rPr>
          <t>23 521,9 +47Kt (plane nėra)</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s>
  <commentList>
    <comment ref="I26" authorId="0" shapeId="0">
      <text>
        <r>
          <rPr>
            <sz val="9"/>
            <color indexed="81"/>
            <rFont val="Tahoma"/>
            <family val="2"/>
            <charset val="186"/>
          </rPr>
          <t xml:space="preserve">AB „Klaipėdos nafta“ skirtia tikslines lėšas 175.000 Eur 
</t>
        </r>
      </text>
    </comment>
    <comment ref="I31" authorId="0" shapeId="0">
      <text>
        <r>
          <rPr>
            <b/>
            <sz val="9"/>
            <color indexed="81"/>
            <rFont val="Tahoma"/>
            <family val="2"/>
            <charset val="186"/>
          </rPr>
          <t>ŽP 637</t>
        </r>
        <r>
          <rPr>
            <sz val="9"/>
            <color indexed="81"/>
            <rFont val="Tahoma"/>
            <family val="2"/>
            <charset val="186"/>
          </rPr>
          <t xml:space="preserve">
</t>
        </r>
      </text>
    </comment>
    <comment ref="F41" authorId="0" shapeId="0">
      <text>
        <r>
          <rPr>
            <b/>
            <sz val="9"/>
            <color indexed="81"/>
            <rFont val="Tahoma"/>
            <family val="2"/>
            <charset val="186"/>
          </rPr>
          <t xml:space="preserve">P6, Klaipėdos miesto ekonominės plėtros strategija ir įgyvendinimo veiksmų planas iki 2030 metų, 3.3.2. priemonė </t>
        </r>
        <r>
          <rPr>
            <sz val="9"/>
            <color indexed="81"/>
            <rFont val="Tahoma"/>
            <family val="2"/>
            <charset val="186"/>
          </rPr>
          <t xml:space="preserve">
</t>
        </r>
      </text>
    </comment>
    <comment ref="M41" authorId="0" shapeId="0">
      <text>
        <r>
          <rPr>
            <sz val="9"/>
            <color indexed="81"/>
            <rFont val="Tahoma"/>
            <family val="2"/>
            <charset val="186"/>
          </rPr>
          <t xml:space="preserve">Techn. projekto </t>
        </r>
        <r>
          <rPr>
            <b/>
            <sz val="9"/>
            <color indexed="81"/>
            <rFont val="Tahoma"/>
            <family val="2"/>
            <charset val="186"/>
          </rPr>
          <t xml:space="preserve">kaina 534 tūkst. eur </t>
        </r>
        <r>
          <rPr>
            <sz val="8"/>
            <color indexed="81"/>
            <rFont val="Tahoma"/>
            <family val="2"/>
            <charset val="186"/>
          </rPr>
          <t xml:space="preserve">(Geologinių, topografinių (geodezinių) tyrinėjimo dokumentų parengimas; Techninis projektas; Investicinis projektas; Detaliojo plano koregavimas) </t>
        </r>
        <r>
          <rPr>
            <b/>
            <sz val="8"/>
            <color indexed="81"/>
            <rFont val="Tahoma"/>
            <family val="2"/>
            <charset val="186"/>
          </rPr>
          <t>10 tūkst. eur ekspertizė</t>
        </r>
      </text>
    </comment>
    <comment ref="F45"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 xml:space="preserve">Centrinėje miesto dalyje suformuoti pėsčiųjų takų, zonų ir gatvių tinklą </t>
        </r>
      </text>
    </comment>
    <comment ref="M45" authorId="0" shapeId="0">
      <text>
        <r>
          <rPr>
            <b/>
            <sz val="9"/>
            <color indexed="81"/>
            <rFont val="Tahoma"/>
            <family val="2"/>
            <charset val="186"/>
          </rPr>
          <t>Į senamiesčio grindinio atnaujinimo projektą įtraukta priemonė "</t>
        </r>
        <r>
          <rPr>
            <sz val="9"/>
            <color indexed="81"/>
            <rFont val="Tahoma"/>
            <family val="2"/>
            <charset val="186"/>
          </rPr>
          <t>Tomo ir Pylimo g. rekonstravimas", iš viso bus tvarkomos 8 gatvės:
Žvejų g., Teatro g., Sukilėlių g., Daržų g. (nuo Pilies g. iki Aukštosios g.), Aukštoji g. (nuo Daržų g. iki Didžiosios Vandens g.), Didžioji Vandens g. (nuo Aukštosios g. iki Tiltų g.), Vežėjų g. (nuo Turgaus g. iki Daržų g.), Tomo ir Pylimo g.</t>
        </r>
      </text>
    </comment>
    <comment ref="F48"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M49" authorId="0" shapeId="0">
      <text>
        <r>
          <rPr>
            <sz val="9"/>
            <color indexed="81"/>
            <rFont val="Tahoma"/>
            <family val="2"/>
            <charset val="186"/>
          </rPr>
          <t>Šiuo metu projektuotojai rengia poveikio aplinkai vertinimą, kol nebus atliktas PAV projektavimo darbai nebus vykdomi, nes PAV gali įtakoti techninio darbo projekto sprendinius.</t>
        </r>
      </text>
    </comment>
    <comment ref="M50" authorId="0" shapeId="0">
      <text>
        <r>
          <rPr>
            <b/>
            <sz val="9"/>
            <color indexed="81"/>
            <rFont val="Tahoma"/>
            <family val="2"/>
            <charset val="186"/>
          </rPr>
          <t>I etapas.</t>
        </r>
        <r>
          <rPr>
            <sz val="9"/>
            <color indexed="81"/>
            <rFont val="Tahoma"/>
            <family val="2"/>
            <charset val="186"/>
          </rPr>
          <t xml:space="preserve"> Bastionų g. nuo Danės g. iki Danės upės ir nuo Danės upės iki Gluosnių g. tiesimas. Pabaiga 2022 m.</t>
        </r>
      </text>
    </comment>
    <comment ref="F53"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M53" authorId="0" shapeId="0">
      <text>
        <r>
          <rPr>
            <sz val="9"/>
            <color indexed="81"/>
            <rFont val="Tahoma"/>
            <family val="2"/>
            <charset val="186"/>
          </rPr>
          <t>privaloma atlikti specialiąją paveldosaugos ekspertizę, todėl atliekamos viešųjų pirkimų procedūros, paveldosaugos ekspertizės pirkimui.</t>
        </r>
      </text>
    </comment>
    <comment ref="M55" authorId="0" shapeId="0">
      <text>
        <r>
          <rPr>
            <sz val="9"/>
            <color indexed="81"/>
            <rFont val="Tahoma"/>
            <family val="2"/>
            <charset val="186"/>
          </rPr>
          <t xml:space="preserve">Darbai nikelti į tolimesnį laikotarpį. Atlikta rekonstravimo (I etapo) darbų. Užbaigtumas, proc. </t>
        </r>
      </text>
    </comment>
    <comment ref="I65" authorId="0" shapeId="0">
      <text>
        <r>
          <rPr>
            <sz val="9"/>
            <color indexed="81"/>
            <rFont val="Tahoma"/>
            <family val="2"/>
            <charset val="186"/>
          </rPr>
          <t>Gyventojų lėšos</t>
        </r>
      </text>
    </comment>
    <comment ref="F66" authorId="0" shapeId="0">
      <text>
        <r>
          <rPr>
            <b/>
            <sz val="9"/>
            <color indexed="81"/>
            <rFont val="Tahoma"/>
            <family val="2"/>
            <charset val="186"/>
          </rPr>
          <t xml:space="preserve">P6, Klaipėdos miesto ekonominės plėtros strategija ir įgyvendinimo veiksmų planas iki 2030 metų, 3.3.3. priemonė </t>
        </r>
        <r>
          <rPr>
            <sz val="9"/>
            <color indexed="81"/>
            <rFont val="Tahoma"/>
            <family val="2"/>
            <charset val="186"/>
          </rPr>
          <t xml:space="preserve">
</t>
        </r>
      </text>
    </comment>
    <comment ref="M66" authorId="0" shapeId="0">
      <text>
        <r>
          <rPr>
            <sz val="9"/>
            <color indexed="81"/>
            <rFont val="Tahoma"/>
            <family val="2"/>
            <charset val="186"/>
          </rPr>
          <t>Rekonstravimo darbai bus pradėti 2022 metais. Atlikta gatvės (571 m) tiesimo darbų (II etapas). Užbaigtumas, proc.                                                  Pasirašyta koncesijos sutartis</t>
        </r>
      </text>
    </comment>
    <comment ref="F69"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M69" authorId="0" shapeId="0">
      <text>
        <r>
          <rPr>
            <sz val="9"/>
            <color indexed="81"/>
            <rFont val="Tahoma"/>
            <family val="2"/>
            <charset val="186"/>
          </rPr>
          <t>darbai nebus vykdomi dėl per didelės projekto finansinės vertės.</t>
        </r>
      </text>
    </comment>
    <comment ref="E71" authorId="0" shapeId="0">
      <text>
        <r>
          <rPr>
            <b/>
            <sz val="9"/>
            <color indexed="81"/>
            <rFont val="Tahoma"/>
            <family val="2"/>
            <charset val="186"/>
          </rPr>
          <t>SPG protokolas 2016-09-23 Nr. STR-12</t>
        </r>
        <r>
          <rPr>
            <sz val="9"/>
            <color indexed="81"/>
            <rFont val="Tahoma"/>
            <family val="2"/>
            <charset val="186"/>
          </rPr>
          <t xml:space="preserve">
</t>
        </r>
      </text>
    </comment>
    <comment ref="M71" authorId="0" shapeId="0">
      <text>
        <r>
          <rPr>
            <sz val="9"/>
            <color indexed="81"/>
            <rFont val="Tahoma"/>
            <family val="2"/>
            <charset val="186"/>
          </rPr>
          <t>Gatvės įrengimo darbai nukelti į 2022 m.</t>
        </r>
      </text>
    </comment>
    <comment ref="E73" authorId="0" shapeId="0">
      <text>
        <r>
          <rPr>
            <sz val="9"/>
            <color indexed="81"/>
            <rFont val="Tahoma"/>
            <family val="2"/>
            <charset val="186"/>
          </rPr>
          <t>SPG protokolas 2016-09-23 Nr. STR-12</t>
        </r>
      </text>
    </comment>
    <comment ref="F76"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I76"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M76" authorId="0" shapeId="0">
      <text>
        <r>
          <rPr>
            <sz val="9"/>
            <color indexed="81"/>
            <rFont val="Tahoma"/>
            <family val="2"/>
            <charset val="186"/>
          </rPr>
          <t>Savivaldybė rengia tik techninį projektą. Bendra projekto vertė 2 mln. Eur.</t>
        </r>
      </text>
    </comment>
    <comment ref="F85"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F86"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 xml:space="preserve">Centrinėje miesto dalyje suformuoti pėsčiųjų takų, zonų ir gatvių tinklą </t>
        </r>
      </text>
    </comment>
    <comment ref="M86" authorId="0" shapeId="0">
      <text>
        <r>
          <rPr>
            <b/>
            <sz val="9"/>
            <color indexed="81"/>
            <rFont val="Tahoma"/>
            <family val="2"/>
            <charset val="186"/>
          </rPr>
          <t>Į senamiesčio grindinio atnaujinimo projektą įtraukta priemonė "</t>
        </r>
        <r>
          <rPr>
            <sz val="9"/>
            <color indexed="81"/>
            <rFont val="Tahoma"/>
            <family val="2"/>
            <charset val="186"/>
          </rPr>
          <t>Tomo ir Pylimo g. rekonstravimas", iš viso bus tvarkomos 8 gatvės:
Žvejų g., Teatro g., Sukilėlių g., Daržų g. (nuo Pilies g. iki Aukštosios g.), Aukštoji g. (nuo Daržų g. iki Didžiosios Vandens g.), Didžioji Vandens g. (nuo Aukštosios g. iki Tiltų g.), Vežėjų g. (nuo Turgaus g. iki Daržų g.), Tomo ir Pylimo g.</t>
        </r>
      </text>
    </comment>
    <comment ref="F89"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M89" authorId="0" shapeId="0">
      <text>
        <r>
          <rPr>
            <sz val="9"/>
            <color indexed="81"/>
            <rFont val="Tahoma"/>
            <family val="2"/>
            <charset val="186"/>
          </rPr>
          <t>Šiuo metu projektuotojai rengia poveikio aplinkai vertinimą, kol nebus atliktas PAV projektavimo darbai nebus vykdomi, nes PAV gali įtakoti techninio darbo projekto sprendinius.</t>
        </r>
      </text>
    </comment>
    <comment ref="I90" authorId="0" shapeId="0">
      <text>
        <r>
          <rPr>
            <b/>
            <sz val="9"/>
            <color indexed="81"/>
            <rFont val="Tahoma"/>
            <family val="2"/>
            <charset val="186"/>
          </rPr>
          <t>ŽP 637</t>
        </r>
        <r>
          <rPr>
            <sz val="9"/>
            <color indexed="81"/>
            <rFont val="Tahoma"/>
            <family val="2"/>
            <charset val="186"/>
          </rPr>
          <t xml:space="preserve">
</t>
        </r>
      </text>
    </comment>
    <comment ref="M95" authorId="0" shapeId="0">
      <text>
        <r>
          <rPr>
            <sz val="9"/>
            <color indexed="81"/>
            <rFont val="Tahoma"/>
            <family val="2"/>
            <charset val="186"/>
          </rPr>
          <t>privaloma atlikti specialiąją paveldosaugos ekspertizę, todėl atliekamos viešųjų pirkimų procedūros, paveldosaugos ekspertizės pirkimui.</t>
        </r>
      </text>
    </comment>
    <comment ref="F96" authorId="0" shapeId="0">
      <text>
        <r>
          <rPr>
            <b/>
            <sz val="9"/>
            <color indexed="81"/>
            <rFont val="Tahoma"/>
            <family val="2"/>
            <charset val="186"/>
          </rPr>
          <t xml:space="preserve">P2.1.2.8
</t>
        </r>
        <r>
          <rPr>
            <sz val="9"/>
            <color indexed="81"/>
            <rFont val="Tahoma"/>
            <family val="2"/>
            <charset val="186"/>
          </rPr>
          <t xml:space="preserve">Centrinėje miesto dalyje suformuoti pėsčiųjų takų, zonų ir gatvių tinklą </t>
        </r>
      </text>
    </comment>
    <comment ref="I98"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M98" authorId="0" shapeId="0">
      <text>
        <r>
          <rPr>
            <sz val="9"/>
            <color indexed="81"/>
            <rFont val="Tahoma"/>
            <family val="2"/>
            <charset val="186"/>
          </rPr>
          <t>Savivaldybė rengia tik techninį projektą. Bendra projekto vertė 2 mln. Eur.</t>
        </r>
      </text>
    </comment>
    <comment ref="F99"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101"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E108" authorId="0" shapeId="0">
      <text>
        <r>
          <rPr>
            <b/>
            <sz val="9"/>
            <color indexed="81"/>
            <rFont val="Tahoma"/>
            <family val="2"/>
            <charset val="186"/>
          </rPr>
          <t>SPG protokolas 2016-09-23 Nr. STR-12</t>
        </r>
        <r>
          <rPr>
            <sz val="9"/>
            <color indexed="81"/>
            <rFont val="Tahoma"/>
            <family val="2"/>
            <charset val="186"/>
          </rPr>
          <t xml:space="preserve">
</t>
        </r>
      </text>
    </comment>
    <comment ref="M108" authorId="0" shapeId="0">
      <text>
        <r>
          <rPr>
            <sz val="9"/>
            <color indexed="81"/>
            <rFont val="Tahoma"/>
            <family val="2"/>
            <charset val="186"/>
          </rPr>
          <t>Gatvės įrengimo darbai nukelti į 2022 m.</t>
        </r>
      </text>
    </comment>
    <comment ref="F111"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F123"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M123" authorId="0" shapeId="0">
      <text>
        <r>
          <rPr>
            <sz val="9"/>
            <color indexed="81"/>
            <rFont val="Tahoma"/>
            <family val="2"/>
            <charset val="186"/>
          </rPr>
          <t>Projektas nebus vykdomas dėl per didelės projekto finansinės vertės.</t>
        </r>
      </text>
    </comment>
    <comment ref="F126"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E131" authorId="0" shapeId="0">
      <text>
        <r>
          <rPr>
            <sz val="9"/>
            <color indexed="81"/>
            <rFont val="Tahoma"/>
            <family val="2"/>
            <charset val="186"/>
          </rPr>
          <t>SPG protokolas 2016-09-23 Nr. STR-12</t>
        </r>
      </text>
    </comment>
    <comment ref="F134"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M139" authorId="0" shapeId="0">
      <text>
        <r>
          <rPr>
            <b/>
            <sz val="9"/>
            <color indexed="81"/>
            <rFont val="Tahoma"/>
            <family val="2"/>
            <charset val="186"/>
          </rPr>
          <t>Techninis projektas yra parengtas</t>
        </r>
        <r>
          <rPr>
            <sz val="9"/>
            <color indexed="81"/>
            <rFont val="Tahoma"/>
            <family val="2"/>
            <charset val="186"/>
          </rPr>
          <t xml:space="preserve">
</t>
        </r>
      </text>
    </comment>
    <comment ref="F141" authorId="0" shapeId="0">
      <text>
        <r>
          <rPr>
            <b/>
            <sz val="9"/>
            <color indexed="81"/>
            <rFont val="Tahoma"/>
            <family val="2"/>
            <charset val="186"/>
          </rPr>
          <t xml:space="preserve">P6, Klaipėdos miesto ekonominės plėtros strategija ir įgyvendinimo veiksmų planas iki 2030 metų, 3.3.3. priemonė </t>
        </r>
        <r>
          <rPr>
            <sz val="9"/>
            <color indexed="81"/>
            <rFont val="Tahoma"/>
            <family val="2"/>
            <charset val="186"/>
          </rPr>
          <t xml:space="preserve">
</t>
        </r>
      </text>
    </comment>
    <comment ref="M141" authorId="0" shapeId="0">
      <text>
        <r>
          <rPr>
            <sz val="9"/>
            <color indexed="81"/>
            <rFont val="Tahoma"/>
            <family val="2"/>
            <charset val="186"/>
          </rPr>
          <t>Rekonstravimo darbai bus pradėti 2022 metais. Atlikta gatvės (571 m) tiesimo darbų (II etapas). Užbaigtumas, proc.</t>
        </r>
      </text>
    </comment>
    <comment ref="F145"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F146" authorId="0" shapeId="0">
      <text>
        <r>
          <rPr>
            <b/>
            <sz val="9"/>
            <color indexed="81"/>
            <rFont val="Tahoma"/>
            <family val="2"/>
            <charset val="186"/>
          </rPr>
          <t xml:space="preserve">P6, Klaipėdos miesto ekonominės plėtros strategija ir įgyvendinimo veiksmų planas iki 2030 metų, 3.3.2. priemonė </t>
        </r>
        <r>
          <rPr>
            <sz val="9"/>
            <color indexed="81"/>
            <rFont val="Tahoma"/>
            <family val="2"/>
            <charset val="186"/>
          </rPr>
          <t xml:space="preserve">
</t>
        </r>
      </text>
    </comment>
    <comment ref="M146" authorId="0" shapeId="0">
      <text>
        <r>
          <rPr>
            <sz val="9"/>
            <color indexed="81"/>
            <rFont val="Tahoma"/>
            <family val="2"/>
            <charset val="186"/>
          </rPr>
          <t xml:space="preserve">Techn. projekto </t>
        </r>
        <r>
          <rPr>
            <b/>
            <sz val="9"/>
            <color indexed="81"/>
            <rFont val="Tahoma"/>
            <family val="2"/>
            <charset val="186"/>
          </rPr>
          <t xml:space="preserve">kaina 534 tūkst. eur </t>
        </r>
        <r>
          <rPr>
            <sz val="8"/>
            <color indexed="81"/>
            <rFont val="Tahoma"/>
            <family val="2"/>
            <charset val="186"/>
          </rPr>
          <t xml:space="preserve">(Geologinių, topografinių (geodezinių) tyrinėjimo dokumentų parengimas; Techninis projektas; Investicinis projektas; Detaliojo plano koregavimas) </t>
        </r>
        <r>
          <rPr>
            <b/>
            <sz val="8"/>
            <color indexed="81"/>
            <rFont val="Tahoma"/>
            <family val="2"/>
            <charset val="186"/>
          </rPr>
          <t>10 tūkst. eur ekspertizė</t>
        </r>
      </text>
    </comment>
    <comment ref="F157"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M167" authorId="0" shapeId="0">
      <text>
        <r>
          <rPr>
            <sz val="9"/>
            <color indexed="81"/>
            <rFont val="Tahoma"/>
            <family val="2"/>
            <charset val="186"/>
          </rPr>
          <t xml:space="preserve">2019 m.
1.1. Lietuvos valstybės atkūrimo dieną, 2019 m. vasario 16 d.;
1.2. Klaipėdos šviesų festivalio metu, 2019 m. vasario 17 d.;
1.3. Lietuvos vaikų ir jaunimo dainų šventė “Mes Lietuvos vaikai“, 2019 m. birželio 14-16 d. (renginio dalyviams)
1.4. Tarptautinio nematerialiojo paveldo festivalis ”Lauksnos“, 2019 m. liepos 11-14 d.  (renginio dalyviams)
1.5. Jūros šventės metu, 2019 m. liepos 26-28 d.
1.6. Dieną be automobilio, 2019 m. rugsėjo 20 d.
</t>
        </r>
      </text>
    </comment>
    <comment ref="M175" authorId="0" shapeId="0">
      <text>
        <r>
          <rPr>
            <sz val="9"/>
            <color indexed="81"/>
            <rFont val="Tahoma"/>
            <family val="2"/>
            <charset val="186"/>
          </rPr>
          <t xml:space="preserve">1. priemonę „Nuostolingų maršrutų subsidijavimas priemiesčio maršrutus aptarnaujantiems 
vežėjams“, numatant finansavimą iš savivaldybės biudžeto lėšų maršrutams į s. b. „Vaiteliai“, s. b. „Rasa“, „Klaipėdos autobusų stotis–Palangos oro uostas“, bandomajam maršrutui (aptarnaujamas elektriniu autobusu) ir į Ermitažą (nuo 2022 m.) naktiniam maršrutui subsidijuoti
</t>
        </r>
      </text>
    </comment>
    <comment ref="F181" authorId="0" shapeId="0">
      <text>
        <r>
          <rPr>
            <b/>
            <sz val="9"/>
            <color indexed="81"/>
            <rFont val="Tahoma"/>
            <family val="2"/>
            <charset val="186"/>
          </rPr>
          <t>Klaipėdos miesto darnaus judumo planas (2018-09-13, T2-185)
P6, Klaipėdos miesto ekonominės plėtros strategija ir įgyvendinimo veiksmų planas iki 2030 metų, 3.3.4. priemonė</t>
        </r>
        <r>
          <rPr>
            <sz val="9"/>
            <color indexed="81"/>
            <rFont val="Tahoma"/>
            <family val="2"/>
            <charset val="186"/>
          </rPr>
          <t xml:space="preserve">
 </t>
        </r>
      </text>
    </comment>
    <comment ref="F187"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M187" authorId="0" shapeId="0">
      <text>
        <r>
          <rPr>
            <sz val="9"/>
            <color indexed="81"/>
            <rFont val="Tahoma"/>
            <family val="2"/>
            <charset val="186"/>
          </rPr>
          <t xml:space="preserve">bendra vertė 123,1 tūkst. eur, iš jų 10 tūkst eur techninis projektas
</t>
        </r>
      </text>
    </comment>
    <comment ref="M191" authorId="0" shapeId="0">
      <text>
        <r>
          <rPr>
            <b/>
            <sz val="9"/>
            <color indexed="81"/>
            <rFont val="Tahoma"/>
            <family val="2"/>
            <charset val="186"/>
          </rPr>
          <t>I etapo stotelės 10 vnt.</t>
        </r>
        <r>
          <rPr>
            <sz val="9"/>
            <color indexed="81"/>
            <rFont val="Tahoma"/>
            <family val="2"/>
            <charset val="186"/>
          </rPr>
          <t xml:space="preserve">
 (Vasaros estrados (pietų ir šiaurės kryptys), Rumpiškės, Kooperacijos, Juodkrantės,  Naikupės, Šilutės, Minijos, Aula Magna, Minijos stotelės)</t>
        </r>
      </text>
    </comment>
    <comment ref="M193" authorId="0" shapeId="0">
      <text>
        <r>
          <rPr>
            <sz val="9"/>
            <color indexed="81"/>
            <rFont val="Tahoma"/>
            <family val="2"/>
            <charset val="186"/>
          </rPr>
          <t>2018 m. parengtas techninis projektas ir ekpertizės išvada1</t>
        </r>
      </text>
    </comment>
    <comment ref="E195" authorId="0" shapeId="0">
      <text>
        <r>
          <rPr>
            <sz val="9"/>
            <color indexed="81"/>
            <rFont val="Tahoma"/>
            <family val="2"/>
            <charset val="186"/>
          </rPr>
          <t>Projektas vykdomas kartu su Autobusų parku</t>
        </r>
      </text>
    </comment>
    <comment ref="F196"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99" authorId="0" shapeId="0">
      <text>
        <r>
          <rPr>
            <sz val="9"/>
            <color indexed="81"/>
            <rFont val="Tahoma"/>
            <family val="2"/>
            <charset val="186"/>
          </rPr>
          <t>Projektas vykdomas kartu su Autobusų parku</t>
        </r>
      </text>
    </comment>
    <comment ref="F199"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206"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N210" authorId="0" shapeId="0">
      <text>
        <r>
          <rPr>
            <sz val="9"/>
            <color indexed="81"/>
            <rFont val="Tahoma"/>
            <family val="2"/>
            <charset val="186"/>
          </rPr>
          <t>pagal GIS - 14533</t>
        </r>
      </text>
    </comment>
    <comment ref="N211" authorId="0" shapeId="0">
      <text>
        <r>
          <rPr>
            <sz val="9"/>
            <color indexed="81"/>
            <rFont val="Tahoma"/>
            <family val="2"/>
            <charset val="186"/>
          </rPr>
          <t>Šviesoforų pagal inventorizaciją eksploatuojama</t>
        </r>
        <r>
          <rPr>
            <b/>
            <sz val="9"/>
            <color indexed="81"/>
            <rFont val="Tahoma"/>
            <family val="2"/>
            <charset val="186"/>
          </rPr>
          <t xml:space="preserve"> 66 vnt.</t>
        </r>
        <r>
          <rPr>
            <sz val="9"/>
            <color indexed="81"/>
            <rFont val="Tahoma"/>
            <family val="2"/>
            <charset val="186"/>
          </rPr>
          <t xml:space="preserve"> ir  šiais metais bus įrengta</t>
        </r>
        <r>
          <rPr>
            <b/>
            <sz val="9"/>
            <color indexed="81"/>
            <rFont val="Tahoma"/>
            <family val="2"/>
            <charset val="186"/>
          </rPr>
          <t xml:space="preserve"> 5 nauj</t>
        </r>
        <r>
          <rPr>
            <sz val="9"/>
            <color indexed="81"/>
            <rFont val="Tahoma"/>
            <family val="2"/>
            <charset val="186"/>
          </rPr>
          <t xml:space="preserve">i (Baltijos pr. 20, Baltijos pr.6, Baltijos pr. 10, Šilutės pl. ties AB „Klaipėdos energija“, Taikos pr. ties Žvejų rūmais)
</t>
        </r>
      </text>
    </comment>
    <comment ref="M212" authorId="0" shapeId="0">
      <text>
        <r>
          <rPr>
            <sz val="9"/>
            <color indexed="81"/>
            <rFont val="Tahoma"/>
            <family val="2"/>
            <charset val="186"/>
          </rPr>
          <t xml:space="preserve">Planuojama vietoj senų susidevėjusių kellio ženklų stovų pakeisti naujus, taip pat bus keičiami stovai prie nederančio naujai įrengto apšvietimo centinėse miesto gatvėse
</t>
        </r>
      </text>
    </comment>
    <comment ref="K224" authorId="0" shapeId="0">
      <text>
        <r>
          <rPr>
            <sz val="9"/>
            <color indexed="81"/>
            <rFont val="Tahoma"/>
            <family val="2"/>
            <charset val="186"/>
          </rPr>
          <t>Patobulinta ir ekploatuojama programėlė (su start/stop funkcija) išmaniesiems įrenginiais stovėjimo mokesčiui apmokėti, 12 tūkst. eur SB(VR);</t>
        </r>
      </text>
    </comment>
    <comment ref="F226" authorId="0" shapeId="0">
      <text>
        <r>
          <rPr>
            <b/>
            <sz val="9"/>
            <color indexed="81"/>
            <rFont val="Tahoma"/>
            <family val="2"/>
            <charset val="186"/>
          </rPr>
          <t xml:space="preserve"> P2, Klaipėdos miesto darnaus judumo planas (2018-09-13, T2-185), </t>
        </r>
        <r>
          <rPr>
            <sz val="9"/>
            <color indexed="81"/>
            <rFont val="Tahoma"/>
            <family val="2"/>
            <charset val="186"/>
          </rPr>
          <t xml:space="preserve">
</t>
        </r>
      </text>
    </comment>
    <comment ref="M227"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F229" authorId="0" shapeId="0">
      <text>
        <r>
          <rPr>
            <b/>
            <sz val="9"/>
            <color indexed="81"/>
            <rFont val="Tahoma"/>
            <family val="2"/>
            <charset val="186"/>
          </rPr>
          <t>P2, Klaipėdos miesto darnaus judumo planas (2018-09-13, T2-185)</t>
        </r>
      </text>
    </comment>
    <comment ref="F231"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r>
          <rPr>
            <b/>
            <sz val="9"/>
            <color indexed="81"/>
            <rFont val="Tahoma"/>
            <family val="2"/>
            <charset val="186"/>
          </rPr>
          <t xml:space="preserve">P2, Klaipėdos miesto darnaus judumo planas (2018-09-13, T2-185), </t>
        </r>
      </text>
    </comment>
    <comment ref="M231" authorId="0" shapeId="0">
      <text>
        <r>
          <rPr>
            <sz val="9"/>
            <color indexed="81"/>
            <rFont val="Tahoma"/>
            <family val="2"/>
            <charset val="186"/>
          </rPr>
          <t>2021 m. numatyta suma iš KVJUD lėšų - sutarties projektą planuojama pradėti rengti 2020 m.</t>
        </r>
      </text>
    </comment>
    <comment ref="F235"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F238"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F241"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M241" authorId="0" shapeId="0">
      <text>
        <r>
          <rPr>
            <b/>
            <sz val="9"/>
            <color indexed="81"/>
            <rFont val="Tahoma"/>
            <family val="2"/>
            <charset val="186"/>
          </rPr>
          <t>Rezultatai:</t>
        </r>
        <r>
          <rPr>
            <sz val="9"/>
            <color indexed="81"/>
            <rFont val="Tahoma"/>
            <family val="2"/>
            <charset val="186"/>
          </rPr>
          <t xml:space="preserve">
SPG ir miesto Tarybai pritarus sprendimo projektui, kartu su Projekto partneriais būtų rengiama Projekto paraiška, siekiant miestiečiams parodyti ekonominę ir socialinę darnaus judumo (mobilumo) naudą.
Klaipėdos miesto savivaldybė, dalyvaudama Projekte, tikisi koncentruotis į pagrindinių trijų sričių problematiką (tačiau ji gali būti papildyta, modifikuota pagal vietos veiklos grupės diskusijas):
1) saugumas viešose miesto erdvėse;
2) senamiesčio centrinė dalis bemotoriam transportui; 
3) gyventojų motyvavimas keisti mobilumo įpročius.
Numatomos šios pagrindinės Projekto veiklos:
- partnerių susitikimas problemų identifikavimui ir projekto veiklų įgyvendinimo aptarimas;
- vietos veiklos grupės iš skirtingų visuomenės grupių sudarymas ir jų įtraukties į diskusijų užtikrinimas;
- keitimasis gerąją praktika tarp Projekto partnerių;
- integruoto veiksmų plano rengimas; 
- veiklų viešinimas.
Klaipėdos miesto savivaldybės tarybai pritarus dalyvavimui Projekte partnerio teisėmis bei laimėjus paraiškų konkursą, Klaipėdos miesto savivaldybė prisidėtų prie Klaipėdos miesto darnaus judumo strateginių tikslų siekimo. 
Laukiamas galutinis Projekto rezultatas - kartu su užsienio partneriais, mokslo, vietos valdžios, verslo ir bendruomenių atstovais parengtas integruotas veiksmų planas (IAP) dėl ekonominės ir socialinės darnaus judumo priemonių įgyvendinimo Klaipėdos miesto naudos įvertinimo. 
</t>
        </r>
      </text>
    </comment>
    <comment ref="F244"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M244" authorId="0" shapeId="0">
      <text>
        <r>
          <rPr>
            <b/>
            <sz val="9"/>
            <color indexed="81"/>
            <rFont val="Tahoma"/>
            <family val="2"/>
            <charset val="186"/>
          </rPr>
          <t>Projekto tikslai:</t>
        </r>
        <r>
          <rPr>
            <sz val="9"/>
            <color indexed="81"/>
            <rFont val="Tahoma"/>
            <family val="2"/>
            <charset val="186"/>
          </rPr>
          <t xml:space="preserve">
SUMP-PLUS pagrindiniai tikslai: 
• Plėtoti ir taikyti efektyvius būdus, metodus bei priemones miestams, susiduriantiems su sparčiu eismo augimu (susijusiu su automobilių nuosavybės ir naudojimo padidėjimu), kad jie galėtų nustatyti praktinį būdą kuris per tam tikrą laiką nustatytų kliūtis, kurios trukdo įgyvendinti darnaus judumo tikslus. 
• Parodyti, kaip miestai gali sukurti stipresnius ryšius su kitomis miesto sistemos sudedamosiomis dalimis, kurios sukuria judumo reikalavimus (švietimas, sveikata, mažmeninė prekyba, žemės naudojimo planavimas ir kt.). 
• Nustatyti ir parodyti naujus partnerystės ir verslo modelius, kurie leistų ekonomiškai efektyviai įgyvendinti įvairius judumo tikslus per tinkamas viešojo ir privataus sektoriaus partnerystes.
• Plačiai bendradarbiauti su miestiečiais, lankytojais ir įmonėmis, siekiant susitarti dėl miesto transporto vizijos ir bendrai kurti konkrečius sprendimus
</t>
        </r>
        <r>
          <rPr>
            <b/>
            <sz val="9"/>
            <color indexed="81"/>
            <rFont val="Tahoma"/>
            <family val="2"/>
            <charset val="186"/>
          </rPr>
          <t xml:space="preserve"> Projekto rezultatai:
</t>
        </r>
        <r>
          <rPr>
            <sz val="9"/>
            <color indexed="81"/>
            <rFont val="Tahoma"/>
            <family val="2"/>
            <charset val="186"/>
          </rPr>
          <t>• Klaipėdos miesto Darnaus judumo plano įgyvendinimo proceso stebėsena.
• Konkrečių priemonių įgyvendinimas.</t>
        </r>
        <r>
          <rPr>
            <b/>
            <sz val="9"/>
            <color indexed="81"/>
            <rFont val="Tahoma"/>
            <family val="2"/>
            <charset val="186"/>
          </rPr>
          <t xml:space="preserve">
</t>
        </r>
      </text>
    </comment>
    <comment ref="F247"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F248"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N248" authorId="0" shapeId="0">
      <text>
        <r>
          <rPr>
            <b/>
            <sz val="9"/>
            <color indexed="81"/>
            <rFont val="Tahoma"/>
            <family val="2"/>
            <charset val="186"/>
          </rPr>
          <t>2018 m. įrengtos 6 elektromobilių stotelės:</t>
        </r>
        <r>
          <rPr>
            <sz val="9"/>
            <color indexed="81"/>
            <rFont val="Tahoma"/>
            <family val="2"/>
            <charset val="186"/>
          </rPr>
          <t xml:space="preserve">
1. Prie Park&amp;Ride ligoninių komplekso, 1 vnt.
2. Prie Klaipėdos miesto savivaldybės administracijos pastato iš Vytauto ir Liepų g. pusės, 2 vnt.
     3. Prie LIDL p c., ties Sendvario žiedu, 1 vnt.
     4. Piliavietės aikštelėje, 2 vnt.
     5. Dar 2 stotelės įrengtos Smiltynėje, bet dar neperduotos eksploatuoti.
     6. </t>
        </r>
        <r>
          <rPr>
            <b/>
            <sz val="9"/>
            <color indexed="81"/>
            <rFont val="Tahoma"/>
            <family val="2"/>
            <charset val="186"/>
          </rPr>
          <t xml:space="preserve">2019 m. </t>
        </r>
        <r>
          <rPr>
            <sz val="9"/>
            <color indexed="81"/>
            <rFont val="Tahoma"/>
            <family val="2"/>
            <charset val="186"/>
          </rPr>
          <t xml:space="preserve">planuojamos įrengti 3 vnt. greitos įkrovimo elektromobilių stotelės, kurių įrengimą organizuoja LR susisiekimo ministerija. Klaipėdos mieste tokios stotelės turėtų atsirasti: Vingio g. gale esančioje automobilių statymo aikštelėje, Naujojo turgaus aikštelėje ir šalia Klaipėdos autobusų stoties esančioje automobilių statymo aikštelėje.
</t>
        </r>
      </text>
    </comment>
    <comment ref="N256" authorId="0" shapeId="0">
      <text>
        <r>
          <rPr>
            <b/>
            <sz val="9"/>
            <color indexed="81"/>
            <rFont val="Tahoma"/>
            <family val="2"/>
            <charset val="186"/>
          </rPr>
          <t>59 445 kv.m</t>
        </r>
        <r>
          <rPr>
            <sz val="9"/>
            <color indexed="81"/>
            <rFont val="Tahoma"/>
            <family val="2"/>
            <charset val="186"/>
          </rPr>
          <t xml:space="preserve">
</t>
        </r>
      </text>
    </comment>
    <comment ref="M265" authorId="0" shapeId="0">
      <text>
        <r>
          <rPr>
            <sz val="9"/>
            <color indexed="81"/>
            <rFont val="Tahoma"/>
            <family val="2"/>
            <charset val="186"/>
          </rPr>
          <t>Senamiesčio dangų pirtaikymas neįgaliesiems pagal parengtą aprašą (2018-09-18  UAB "Klaipėdos projektas" sutartis Nr. J9-1944)</t>
        </r>
      </text>
    </comment>
    <comment ref="N266" authorId="0" shapeId="0">
      <text>
        <r>
          <rPr>
            <sz val="9"/>
            <color indexed="81"/>
            <rFont val="Tahoma"/>
            <family val="2"/>
            <charset val="186"/>
          </rPr>
          <t xml:space="preserve">44 875 kv.m
</t>
        </r>
      </text>
    </comment>
    <comment ref="N267" authorId="0" shapeId="0">
      <text>
        <r>
          <rPr>
            <sz val="9"/>
            <color indexed="81"/>
            <rFont val="Tahoma"/>
            <family val="2"/>
            <charset val="186"/>
          </rPr>
          <t xml:space="preserve">13 338 kv.m
</t>
        </r>
      </text>
    </comment>
    <comment ref="M268" authorId="0" shapeId="0">
      <text>
        <r>
          <rPr>
            <sz val="9"/>
            <color indexed="81"/>
            <rFont val="Tahoma"/>
            <family val="2"/>
            <charset val="186"/>
          </rPr>
          <t xml:space="preserve">kasmet susidaro apie 120 kiemų
</t>
        </r>
      </text>
    </comment>
    <comment ref="N268" authorId="0" shapeId="0">
      <text>
        <r>
          <rPr>
            <sz val="9"/>
            <color indexed="81"/>
            <rFont val="Tahoma"/>
            <family val="2"/>
            <charset val="186"/>
          </rPr>
          <t>18 180 kv.m</t>
        </r>
      </text>
    </comment>
    <comment ref="N273" authorId="0" shapeId="0">
      <text>
        <r>
          <rPr>
            <b/>
            <sz val="9"/>
            <color indexed="81"/>
            <rFont val="Tahoma"/>
            <family val="2"/>
            <charset val="186"/>
          </rPr>
          <t>6 600 kv.m</t>
        </r>
        <r>
          <rPr>
            <sz val="9"/>
            <color indexed="81"/>
            <rFont val="Tahoma"/>
            <family val="2"/>
            <charset val="186"/>
          </rPr>
          <t xml:space="preserve">
</t>
        </r>
      </text>
    </comment>
    <comment ref="M274" authorId="0" shapeId="0">
      <text>
        <r>
          <rPr>
            <b/>
            <sz val="9"/>
            <color indexed="81"/>
            <rFont val="Tahoma"/>
            <family val="2"/>
            <charset val="186"/>
          </rPr>
          <t xml:space="preserve">2019 m. </t>
        </r>
        <r>
          <rPr>
            <sz val="9"/>
            <color indexed="81"/>
            <rFont val="Tahoma"/>
            <family val="2"/>
            <charset val="186"/>
          </rPr>
          <t xml:space="preserve">
Senamiesčio gatvės 
Ligoninės g.
Vytauto g.
Gedminų g.
Pievų tako g.
Jurginų g.
Poilsio g.
Medžiotojų g.
Naikupės g.
Tilžės g.
</t>
        </r>
      </text>
    </comment>
    <comment ref="N274" authorId="0" shapeId="0">
      <text>
        <r>
          <rPr>
            <b/>
            <sz val="9"/>
            <color indexed="81"/>
            <rFont val="Tahoma"/>
            <family val="2"/>
            <charset val="186"/>
          </rPr>
          <t xml:space="preserve">11 000 kv. m </t>
        </r>
        <r>
          <rPr>
            <sz val="9"/>
            <color indexed="81"/>
            <rFont val="Tahoma"/>
            <family val="2"/>
            <charset val="186"/>
          </rPr>
          <t xml:space="preserve">
</t>
        </r>
      </text>
    </comment>
    <comment ref="M275" authorId="0" shapeId="0">
      <text>
        <r>
          <rPr>
            <sz val="9"/>
            <color indexed="81"/>
            <rFont val="Tahoma"/>
            <family val="2"/>
            <charset val="186"/>
          </rPr>
          <t>Miesto ūkio ir aplinkosaugos komiteto pastaba 2019-01-25 TAR-5</t>
        </r>
      </text>
    </comment>
    <comment ref="E284" authorId="0" shapeId="0">
      <text>
        <r>
          <rPr>
            <sz val="9"/>
            <color indexed="81"/>
            <rFont val="Tahoma"/>
            <family val="2"/>
            <charset val="186"/>
          </rPr>
          <t>parkavimo vietų subraižymas, žaliųjų vejų ir skverų sutvarkymas</t>
        </r>
      </text>
    </comment>
    <comment ref="K303" authorId="0" shapeId="0">
      <text>
        <r>
          <rPr>
            <b/>
            <sz val="9"/>
            <color indexed="81"/>
            <rFont val="Tahoma"/>
            <family val="2"/>
            <charset val="186"/>
          </rPr>
          <t xml:space="preserve">19721
</t>
        </r>
        <r>
          <rPr>
            <sz val="9"/>
            <color indexed="81"/>
            <rFont val="Tahoma"/>
            <family val="2"/>
            <charset val="186"/>
          </rPr>
          <t xml:space="preserve">
</t>
        </r>
      </text>
    </comment>
  </commentList>
</comments>
</file>

<file path=xl/sharedStrings.xml><?xml version="1.0" encoding="utf-8"?>
<sst xmlns="http://schemas.openxmlformats.org/spreadsheetml/2006/main" count="2013" uniqueCount="804">
  <si>
    <t>Uždavinio kodas</t>
  </si>
  <si>
    <t>Priemonės požymis</t>
  </si>
  <si>
    <t>Asignavimų valdytojo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</si>
  <si>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</si>
  <si>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</si>
  <si>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</si>
  <si>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</si>
  <si>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</si>
  <si>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</si>
  <si>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</si>
  <si>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</si>
  <si>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</si>
  <si>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</si>
  <si>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</si>
  <si>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</si>
  <si>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</si>
  <si>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</si>
  <si>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</si>
  <si>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</si>
  <si>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</si>
  <si>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</si>
  <si>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</si>
  <si>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</si>
  <si>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</si>
  <si>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03</t>
  </si>
  <si>
    <t>SUSISIEKIMO SISTEMOS PRIEŽIŪROS IR PLĖTROS PROGRAMOS (NR. 06)</t>
  </si>
  <si>
    <t>Didinti gatvių tinklo pralaidumą ir užtikrinti jų tankumą</t>
  </si>
  <si>
    <t>Rekonstruoti ir tiesti gatves</t>
  </si>
  <si>
    <t xml:space="preserve"> Užtikrinti patogios viešojo transporto sistemos funkcionavimą</t>
  </si>
  <si>
    <t>04</t>
  </si>
  <si>
    <t>06</t>
  </si>
  <si>
    <t>6</t>
  </si>
  <si>
    <t>Eksploatuojama šviesoforų, vnt.</t>
  </si>
  <si>
    <t>Tiltų ir kelio statinių priežiūra</t>
  </si>
  <si>
    <t>Suremontuota asfaltbetonio dangos duobių gatvėse, ha</t>
  </si>
  <si>
    <t>Parduota lengvatinių bilietų, mln. vnt.</t>
  </si>
  <si>
    <t>Viešojo transporto priežiūros ir paslaugų kokybės kontroliavimas</t>
  </si>
  <si>
    <t>5</t>
  </si>
  <si>
    <t>ES</t>
  </si>
  <si>
    <t>Kt</t>
  </si>
  <si>
    <t>Parengtas techninis projektas, vnt.</t>
  </si>
  <si>
    <t>I</t>
  </si>
  <si>
    <t>KVJUD</t>
  </si>
  <si>
    <t>Transporto kompensacijų mokėjimas:</t>
  </si>
  <si>
    <t>Asfaltuotų daugiabučių kiemų dangų remontas</t>
  </si>
  <si>
    <t>Patikrinta viešojo transporto priemonių, tūkst. vnt.</t>
  </si>
  <si>
    <t>1</t>
  </si>
  <si>
    <t>Viešojo transporto paslaugų organizavimas:</t>
  </si>
  <si>
    <t xml:space="preserve">Iš viso  programai:  </t>
  </si>
  <si>
    <t>Pajūrio g. rekonstravimas</t>
  </si>
  <si>
    <t>Pamario gatvės rekonstravimas</t>
  </si>
  <si>
    <t>SB(L)</t>
  </si>
  <si>
    <t>Strateginis tikslas 02. Kurti mieste patrauklią, švarią ir saugią gyvenamąją aplinką</t>
  </si>
  <si>
    <t>Miesto gatvių ženklinimas</t>
  </si>
  <si>
    <t>Prižiūrima žvyruotos dangos, ha</t>
  </si>
  <si>
    <t>Paklota ištisinio asfaltbetonio dangos, ha</t>
  </si>
  <si>
    <t>Eksploatuojama prietaisų, vnt.</t>
  </si>
  <si>
    <t>SB(VR)</t>
  </si>
  <si>
    <r>
      <t xml:space="preserve">Vietinių rinkliavų lėšos </t>
    </r>
    <r>
      <rPr>
        <b/>
        <sz val="10"/>
        <rFont val="Times New Roman"/>
        <family val="1"/>
        <charset val="186"/>
      </rPr>
      <t>SB(VR)</t>
    </r>
  </si>
  <si>
    <t>SB(VRL)</t>
  </si>
  <si>
    <t>P2.1.2.9</t>
  </si>
  <si>
    <t xml:space="preserve"> - vežėjams už lengvatas turinčių keleivių vežimą</t>
  </si>
  <si>
    <t xml:space="preserve"> - moksleiviams</t>
  </si>
  <si>
    <t xml:space="preserve"> - profesinių mokyklų moksleiviams</t>
  </si>
  <si>
    <t>Suženklinta gatvių, ha</t>
  </si>
  <si>
    <t>Eksploatuojama greičio matuoklių, vnt.</t>
  </si>
  <si>
    <t>Parengtas paviljono su aikštele techninis projektas, vnt.</t>
  </si>
  <si>
    <t>Medžiagų tyrimas ir kontroliniai bandymai</t>
  </si>
  <si>
    <t xml:space="preserve">Savivaldybės biudžetas, iš jo: </t>
  </si>
  <si>
    <t xml:space="preserve">Parengtas techninis projektas, vnt. </t>
  </si>
  <si>
    <r>
      <rPr>
        <sz val="10"/>
        <rFont val="Times New Roman"/>
        <family val="1"/>
        <charset val="186"/>
      </rPr>
      <t>Vietinių rinkliavų likučio lėšos</t>
    </r>
    <r>
      <rPr>
        <b/>
        <sz val="10"/>
        <rFont val="Times New Roman"/>
        <family val="1"/>
        <charset val="186"/>
      </rPr>
      <t xml:space="preserve"> SB(VRL)</t>
    </r>
  </si>
  <si>
    <r>
      <t xml:space="preserve">Žemės pardavimų likučio lėšos </t>
    </r>
    <r>
      <rPr>
        <b/>
        <sz val="10"/>
        <rFont val="Times New Roman"/>
        <family val="1"/>
        <charset val="186"/>
      </rPr>
      <t>SB(ŽPL)</t>
    </r>
  </si>
  <si>
    <t>SB(ŽPL)</t>
  </si>
  <si>
    <t>SB(KPP)</t>
  </si>
  <si>
    <t xml:space="preserve">Ištisinio asfaltbetonio dangos remontas: </t>
  </si>
  <si>
    <t>Kiemų ir privažiuojamųjų kelių  prie biudžetinių įstaigų dangos remontas</t>
  </si>
  <si>
    <t>Asfaltbetonio dangos, žvyruotos dangos ir akmenimis grįstų miesto gatvių dangos remontas</t>
  </si>
  <si>
    <t>Ištisinio asfaltbetonio dangos įrengimas miesto gatvėse ir kiemuose:</t>
  </si>
  <si>
    <t>Eismo reguliavimo infrastruktūros eksploatacija ir įrengimas</t>
  </si>
  <si>
    <t>Mokamo automobilių stovėjimo sistemos mieste kūrimas ir išlaikymas</t>
  </si>
  <si>
    <t>Eismo srautų reguliavimo ir saugumo priemonių įgyvendinimas:</t>
  </si>
  <si>
    <t>2.1.2.8</t>
  </si>
  <si>
    <t>tūkst. Eur</t>
  </si>
  <si>
    <t xml:space="preserve">Diegti eismo srautų reguliavimo ir saugumo priemones </t>
  </si>
  <si>
    <t xml:space="preserve">Eksploatuojama eismo reguliavimo priemonių, tūkst. vnt. </t>
  </si>
  <si>
    <t>P2.1.2.3</t>
  </si>
  <si>
    <t xml:space="preserve">Susisiekimo sistemos objektų pritaikymas neįgaliesiems  </t>
  </si>
  <si>
    <t>Klaipėdos miesto viešojo transporto atnaujinimas (autobusų įsigijimas)</t>
  </si>
  <si>
    <t>Klaipėdos miesto viešojo transporto švieslenčių ir informacinių švieslenčių įrengimas ir atnaujinimas</t>
  </si>
  <si>
    <t xml:space="preserve">Įrengta švieslenčių miesto autobusų stotelėse, vnt.  </t>
  </si>
  <si>
    <t>P2.1.2.5</t>
  </si>
  <si>
    <r>
      <rPr>
        <b/>
        <sz val="10"/>
        <rFont val="Times New Roman"/>
        <family val="1"/>
        <charset val="186"/>
      </rPr>
      <t>II etapas.</t>
    </r>
    <r>
      <rPr>
        <sz val="10"/>
        <rFont val="Times New Roman"/>
        <family val="1"/>
        <charset val="186"/>
      </rPr>
      <t xml:space="preserve"> Žiedinės Tilžės g., Mokyklos g. ir Šilutės pl. sankryžos pertvarkymas į šviesoforinę </t>
    </r>
  </si>
  <si>
    <t>Kombinuotų kelionių jungčių (PARK&amp;RIDE) įrengimas (šiaurinėje miesto dalyje)</t>
  </si>
  <si>
    <t>Viešojo transporto (autobusų ir maršrutinių taksi) integravimo sistemos įrangos įsigijimas ir atnaujinimas</t>
  </si>
  <si>
    <t>Baltijos pr. ir Šilutės pl. žiedinės sankryžos rekonstravimas</t>
  </si>
  <si>
    <t>- nuostolių, patirtų vežant keleivius vietinio reguliaraus susisiekimo autobusų maršrutais renginių metu, kompensavimas</t>
  </si>
  <si>
    <t>Statybininkų prospekto tęsinio tiesimas nuo Šilutės pl. per LEZ teritoriją iki 141 kelio: II etapas – Lypkių gatvės ruožo nuo Šilutės plento tiesimas</t>
  </si>
  <si>
    <t>Apšviesta pėsčiųjų perėjų, vnt</t>
  </si>
  <si>
    <t xml:space="preserve">Privažiuojamojo kelio prie pastato Debreceno g. 48  įrengimas ir pastato aplinkos sutvarkymas </t>
  </si>
  <si>
    <t>Suteikta gatvių dangų, konstruktyvo ir betoninių gaminių kontrolinių bandymų paslaugų. Užbaigtumas, proc.</t>
  </si>
  <si>
    <t>Eksploatuojama bilietų automatų, vnt.</t>
  </si>
  <si>
    <t xml:space="preserve">Parengtas naujo tilto su pakeliamu mechanizmu statybos techninis projektas, vnt. </t>
  </si>
  <si>
    <t>Kompensuota bilietų moksleiviams, tūkst. vnt.</t>
  </si>
  <si>
    <t>Kompensuota bilietų profesinių mokyklų moksleiviams, tūkst. vnt.</t>
  </si>
  <si>
    <t>Parengtas techninis projektas ir detaliojo plano korekcija, vnt.</t>
  </si>
  <si>
    <t>Atlikta gatvės (1374 m ) rekonstravimo darbų. Užbaigtumas, proc.</t>
  </si>
  <si>
    <t>Įstaigų, kurių kiemuose atlikta asfalto dangos remonto darbų, skaičius</t>
  </si>
  <si>
    <r>
      <rPr>
        <b/>
        <sz val="10"/>
        <rFont val="Times New Roman"/>
        <family val="1"/>
        <charset val="186"/>
      </rPr>
      <t xml:space="preserve">I etapas. </t>
    </r>
    <r>
      <rPr>
        <sz val="10"/>
        <rFont val="Times New Roman"/>
        <family val="1"/>
        <charset val="186"/>
      </rPr>
      <t>Tilžės g. nuo Šilutės pl. iki geležinkelio pervažos rekonstravimas</t>
    </r>
  </si>
  <si>
    <t xml:space="preserve">Klaipėdos miesto gatvių pėsčiųjų perėjų kryptinis apšvietimas </t>
  </si>
  <si>
    <t>Parengtas II etapo techninis projektas (Klaipėdos g., Virkučių g., Slengių g., Lietaus g., Vaivorykštės g., Griaustinio g. ir Arimų g.), vnt.</t>
  </si>
  <si>
    <t>Maršruto „Klaipėdos autobusų stotis–Palangos oro uostas“ kursavimas</t>
  </si>
  <si>
    <t>Kompensuota nuostolingų maršrutų, vnt.</t>
  </si>
  <si>
    <r>
      <t xml:space="preserve">Europos Sąjungos paramos lėšos, kurios įtrauktos į Savivaldybės biudžetą </t>
    </r>
    <r>
      <rPr>
        <b/>
        <sz val="10"/>
        <rFont val="Times New Roman"/>
        <family val="1"/>
        <charset val="186"/>
      </rPr>
      <t>SB(ES)</t>
    </r>
  </si>
  <si>
    <t>Elektromobilių įkrovimo stotelių įrengimas  Klaipėdos mieste</t>
  </si>
  <si>
    <t xml:space="preserve">Nuostolių kompensacijų mokėjimas: </t>
  </si>
  <si>
    <t>patirtų įgyvendinant ES Sanglaudos fondų finansuojamus ekologiškų viešojo transporto  priemonių įsigijimo projektus</t>
  </si>
  <si>
    <t>Parengta galimybių studija, vnt.</t>
  </si>
  <si>
    <t>Atlikta gatvės tiesimo darbų. Užbaigtumas, proc.</t>
  </si>
  <si>
    <t>2.1.2.2.</t>
  </si>
  <si>
    <r>
      <t xml:space="preserve">Programų lėšų likučių lėšos </t>
    </r>
    <r>
      <rPr>
        <b/>
        <sz val="10"/>
        <rFont val="Times New Roman"/>
        <family val="1"/>
        <charset val="186"/>
      </rPr>
      <t xml:space="preserve">SB(L) </t>
    </r>
  </si>
  <si>
    <t xml:space="preserve"> Atlikti kasmetinius miesto susisiekimo infrastruktūros objektų priežiūros ir įrengimo darbus</t>
  </si>
  <si>
    <t>Naujų ekologiškų viešojo transporto ir  alternatyvaus judėjimo projektų įgyvendinimas:</t>
  </si>
  <si>
    <t>Šermukšnių g.;</t>
  </si>
  <si>
    <t>S. Šimkaus g.;</t>
  </si>
  <si>
    <t>Jurginų g.;</t>
  </si>
  <si>
    <t>Subsidijuojamų maršrutų skaičius:</t>
  </si>
  <si>
    <t>Atliktas gatvių – Akmenų g. (405 m), Vėjo g. (1373 m), Smėlio g. (960 m) ir Debesų g. (890 m) rekonstravimas. Užbaigtumas, proc.</t>
  </si>
  <si>
    <t>Atlikta gatvės (600 m) rekonstravimo darbų.
Užbaigtumas, proc.</t>
  </si>
  <si>
    <t>Atlikta žiedinės sankryžos rekonstravimo darbų. Užbaigtumas, proc.</t>
  </si>
  <si>
    <t>Atlikta Pamario g. (4400 m) rekonstravimo darbų (II-IV etapai). Užbaigtumas, proc.</t>
  </si>
  <si>
    <t>Atlikta prospekto atkarpos rekonstravimo darbų.  Užbaigtumas, proc.</t>
  </si>
  <si>
    <t>Elektra varomo viešojo transporto naujų galimybių plėtra (DEPO), ELENA</t>
  </si>
  <si>
    <t>Įrengta elektromobilių įkrovimo prieigų, vnt.</t>
  </si>
  <si>
    <t>Įdiegta dviračių saugojimo (angl. bike-storing) sistema, vnt.</t>
  </si>
  <si>
    <t>Lengvųjų automobilių taksi  ženklinimo  sprendinių projekto parengimas</t>
  </si>
  <si>
    <t>Parengtas ženklinimo sprendinių projektas, vnt.</t>
  </si>
  <si>
    <t>Transporto skyrius</t>
  </si>
  <si>
    <t>Įrengta elektros įvadų švieslenčių įrengimui, vnt.</t>
  </si>
  <si>
    <t>Tauralaukio gyvenvietės gatvių rekonstravimas</t>
  </si>
  <si>
    <t xml:space="preserve">Jūrininkų prospekto atkarpos nuo Šilutės pl. iki Minijos g. rekonstrukcija </t>
  </si>
  <si>
    <t xml:space="preserve">Naujo įvažiuojamojo kelio (Priešpilio g.) į piliavietę ir Kruizinių laivų terminalą tiesimas </t>
  </si>
  <si>
    <t xml:space="preserve">Dubliuojančios gatvės nuo Šiltnamių g. iki Klaipėdos g. su pėsčiųjų ir dviračių taku ir įvažomis į Liepojos g. įrengimas                          </t>
  </si>
  <si>
    <t xml:space="preserve">Joniškės g. rekonstravimas (II etapas – nuo Klemiškės g. iki Liepų g., Šienpjovių g.) </t>
  </si>
  <si>
    <t>Automobilių stovėjimo aikštelės teritorijoje  Bangų g., Klaipėdoje, įrengimas</t>
  </si>
  <si>
    <t xml:space="preserve">Sodų bendrija „Vaiteliai“–„Rasa“ kursavimas </t>
  </si>
  <si>
    <t xml:space="preserve">Atlikta gatvės rekonstravimo darbų. Užbaigtumas, proc.
</t>
  </si>
  <si>
    <t>Ekologiškų viešojo transporto priemonių, kuriomis važiuojant patiriami nuostoliai, vnt.</t>
  </si>
  <si>
    <t>Keleivinio transporto stotelių su įvažomis Klaipėdos miesto gatvėse projektavimas ir įrengimas</t>
  </si>
  <si>
    <t>Parengtas (II etapo) techninis projektas, vnt.</t>
  </si>
  <si>
    <t>Įsigyta naujų ekologiškų autobusų, vnt.</t>
  </si>
  <si>
    <t>Atlikta teritorijos buitinių nuotekų remonto darbų. Užbaigtumas, proc.</t>
  </si>
  <si>
    <t>Klaipėdos miestui priklausančių elektromobilių įkrovimo stotelių eksploatavimas ir priežiūra</t>
  </si>
  <si>
    <t>Senamiesčio grindinio atnaujinimas ir universalaus dizaino pritaikymas</t>
  </si>
  <si>
    <t>Įrengta neregių vedimo dangos autobusų stotelėse, vnt</t>
  </si>
  <si>
    <t>SB(ES)</t>
  </si>
  <si>
    <t>Atliktas poveikio aplinkai vertinimo dokumentas, vnt.</t>
  </si>
  <si>
    <t>Vertinimo kriterijaus</t>
  </si>
  <si>
    <t>Informacija apie pasiektus rezultatus, duomenys apie programai skirtų asignavimų panaudojimo tikslingumą</t>
  </si>
  <si>
    <t>Priežastys, dėl kurių planuotos rodiklių reikšmės nepasiektos</t>
  </si>
  <si>
    <t>pavadinimas</t>
  </si>
  <si>
    <t>faktinės reikšmės</t>
  </si>
  <si>
    <t xml:space="preserve">STRATEGINIO VEIKLOS PLANO VYKDYMO ATASKAITA </t>
  </si>
  <si>
    <t>SUSISIEKIMO SISTEMOS PRIEŽIŪROS IR PLĖTROS PROGRAMA (NR. 06)</t>
  </si>
  <si>
    <t>ĮVYKDYMO ATASKAITA</t>
  </si>
  <si>
    <r>
      <t xml:space="preserve">Asignavimų valdytojai: </t>
    </r>
    <r>
      <rPr>
        <sz val="12"/>
        <rFont val="Times New Roman"/>
        <family val="1"/>
        <charset val="186"/>
      </rPr>
      <t>Investicijų ir ekonomikos departamentas (5), Miesto ūkio departamentas (6), Klaipėdos miesto savivaldybės administracija (1).</t>
    </r>
  </si>
  <si>
    <r>
      <rPr>
        <b/>
        <sz val="12"/>
        <rFont val="Times New Roman"/>
        <family val="1"/>
        <charset val="186"/>
      </rPr>
      <t xml:space="preserve">Programą vykdė: </t>
    </r>
    <r>
      <rPr>
        <sz val="12"/>
        <rFont val="Times New Roman"/>
        <family val="1"/>
        <charset val="186"/>
      </rPr>
      <t>Miesto ūkio departamentas (Miesto tvarkymo skyrius, Transporto skyrius), Investicijų ir ekonomikos departamentas (Statybos ir infrastruktūros plėtros ir Projektų  skyriai), Savivaldybės administracijos direktoriaus pavaduotojo pavaldumo Viešosios tvarkos skyrius.</t>
    </r>
  </si>
  <si>
    <t>faktiškai įvykdyta</t>
  </si>
  <si>
    <t>–</t>
  </si>
  <si>
    <t>(pagal planą arba geriau);</t>
  </si>
  <si>
    <t>iš dalies įvykdyta</t>
  </si>
  <si>
    <t>(blogiau, nei planuota);</t>
  </si>
  <si>
    <t>neįvykdyta</t>
  </si>
  <si>
    <r>
      <rPr>
        <b/>
        <sz val="12"/>
        <rFont val="Times New Roman"/>
        <family val="1"/>
        <charset val="186"/>
      </rPr>
      <t>Pastaba</t>
    </r>
    <r>
      <rPr>
        <sz val="12"/>
        <rFont val="Times New Roman"/>
        <family val="1"/>
        <charset val="186"/>
      </rPr>
      <t>. Strateginio planavimo skyrius, vertindamas programos įgyvendinimo lygį, atsižvelgia į programos priemonių ir papriemonių įgyvendinimo lygį:</t>
    </r>
  </si>
  <si>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</si>
  <si>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</si>
  <si>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</si>
  <si>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Gatvių tankis km/kv. km</t>
  </si>
  <si>
    <t>Gatvių, kuriomis važinėja viešasis transportas, ilgis km</t>
  </si>
  <si>
    <t>P2</t>
  </si>
  <si>
    <t>I, P2</t>
  </si>
  <si>
    <r>
      <t xml:space="preserve">P2.1.2.10, </t>
    </r>
    <r>
      <rPr>
        <b/>
        <sz val="10"/>
        <rFont val="Times New Roman"/>
        <family val="1"/>
        <charset val="186"/>
      </rPr>
      <t>P2</t>
    </r>
  </si>
  <si>
    <r>
      <t xml:space="preserve">P2.1.2.5,  </t>
    </r>
    <r>
      <rPr>
        <b/>
        <sz val="10"/>
        <rFont val="Times New Roman"/>
        <family val="1"/>
        <charset val="186"/>
      </rPr>
      <t>P2</t>
    </r>
  </si>
  <si>
    <r>
      <t xml:space="preserve">P2.1.2.7-8, </t>
    </r>
    <r>
      <rPr>
        <b/>
        <sz val="9"/>
        <rFont val="Times New Roman"/>
        <family val="1"/>
        <charset val="186"/>
      </rPr>
      <t>P2</t>
    </r>
  </si>
  <si>
    <t>Lietuvos statistikos departamento duomenys</t>
  </si>
  <si>
    <t xml:space="preserve">2019 M. KLAIPĖDOS MIESTO SAVIVALDYBĖS </t>
  </si>
  <si>
    <t>2019 m. SVP programos Nr. 06 įvykdymas</t>
  </si>
  <si>
    <t>Gatvių tiesimas ir  rekonstravimas:</t>
  </si>
  <si>
    <t>Tilžės g. nuo Šilutės pl. iki geležinkelio pervažos rekonstravimas, pertvarkant žiedinę Mokyklos g. ir Šilutės pl. sankryžą</t>
  </si>
  <si>
    <t>P6</t>
  </si>
  <si>
    <t xml:space="preserve">Parengtas techninis projektas (2019 m. - Žvejų g., Teatro g., Sukilėlių g., Daržų g., Aukštoji g., Didžioji Vandens g., Vežėjų g., 2020 m. - Tomo ir Pylimo g.), vnt. </t>
  </si>
  <si>
    <t>Naujo tilto su pakeliamu mechanizmu per Danę statyba ir prieigų sutvarkymas</t>
  </si>
  <si>
    <t xml:space="preserve">Parengtas techninis projektas (ruožas nuo Atgimimo aikštės iki Laivų skersgatvio), vnt. </t>
  </si>
  <si>
    <t>Šilutės plento ruožo nuo Tilžės g. iki geležinkelio pervažos (iki Kauno g.) rekonstravimas</t>
  </si>
  <si>
    <t xml:space="preserve">Neeksploatuojamų požeminių perėjų Šilutės pl. kapitalinis remontas </t>
  </si>
  <si>
    <t>Žvejybos produktų iškrovimo vietos prie jūros Klaipėdos miesto teritorijoje įrengimas</t>
  </si>
  <si>
    <t>Mėgėjų sodų teritorijoje savivaldybių institucijų valdomų kelių remontas</t>
  </si>
  <si>
    <t>Medžiagų tyrimas ir kontroliniai bandymai, topografinių nuotraukų, išpildomųjų geodezinių nuotraukų įsigijimas, statinių projektų ekspertizių bei kitos inžinerinės paslaugos</t>
  </si>
  <si>
    <t xml:space="preserve">Renginių, kurių metu keleiviams bus taikomos lengvatos, vnt. </t>
  </si>
  <si>
    <t>Nuostolingų maršrutų subsidijavimas priemiesčio ir miesto maršrutus aptarnaujantiems vežėjams</t>
  </si>
  <si>
    <t>Naktinis maršrutas</t>
  </si>
  <si>
    <t>Maršrutas į LEZ teritoriją</t>
  </si>
  <si>
    <t>I, P2, P6</t>
  </si>
  <si>
    <t>Integruota autobusų ir maršrutinių taksi, vnt.</t>
  </si>
  <si>
    <t>Išmokėta už 2018 m. gautą autobusų integracijos įrangą ir sistemą. Užbaigtumas, proc.</t>
  </si>
  <si>
    <t>Viešojo transporto infrastruktūros gerinimas:</t>
  </si>
  <si>
    <t>Įrengta (I etapo) stotelių su įvažomis, vnt.</t>
  </si>
  <si>
    <t>8</t>
  </si>
  <si>
    <r>
      <t>Įvažos pratęsimo autobusų stotelėje „Naujasis turgus“ įrengimas (</t>
    </r>
    <r>
      <rPr>
        <i/>
        <sz val="10"/>
        <rFont val="Times New Roman"/>
        <family val="1"/>
        <charset val="186"/>
      </rPr>
      <t>kryptis į pietinę miesto dalį</t>
    </r>
    <r>
      <rPr>
        <sz val="10"/>
        <rFont val="Times New Roman"/>
        <family val="1"/>
        <charset val="186"/>
      </rPr>
      <t xml:space="preserve">)  </t>
    </r>
  </si>
  <si>
    <t>Įrengtas įvažos pratęsimas, vnt.</t>
  </si>
  <si>
    <t>Atnaujinta dekoratyvinių kelio ženklų stovų, vnt.</t>
  </si>
  <si>
    <t>Įrengta kintamos informacijos ženklų Lideikio g. Užbaigtumas, proc.</t>
  </si>
  <si>
    <t xml:space="preserve">10  </t>
  </si>
  <si>
    <t>Rekonstruotas šviesoforas (Tilžės g. ir Sausio 15-osios g. sankryžoje), vnt.</t>
  </si>
  <si>
    <t>Automatinės eismo priežiūros prietaisų eksploatacija</t>
  </si>
  <si>
    <t>URBACT III projekto „Gyvos gatvės“ įgyvendinimas</t>
  </si>
  <si>
    <t>Darnaus judumo planavimas: bendradarbiavimas bei ryšiai urbanistinėje sistemoje, SUMP- PLUS</t>
  </si>
  <si>
    <t>Įgyvendintas projektas, vnt.</t>
  </si>
  <si>
    <t>Eksploatuojama elektromobilių įkrovimo stotelių, vnt.</t>
  </si>
  <si>
    <t>Gedminų g.;</t>
  </si>
  <si>
    <t>Smiltelės g. (atkarpa nuo Taikos pr. iki Minijos g.);</t>
  </si>
  <si>
    <t>Vytauto g. (atkarpa nuo S. Šimkaus g. iki Puodžių g.);</t>
  </si>
  <si>
    <t>Herkaus Manto g. (labiausiai pažeistos atkarpos, įvažos);</t>
  </si>
  <si>
    <t>Šilutės pl. (labiausiai pažeistos atkarpos, įvažos);</t>
  </si>
  <si>
    <t>Suremontuota gatvių akmens grindinio dangos  senamiesčio gatvėse, ha</t>
  </si>
  <si>
    <t>0,15</t>
  </si>
  <si>
    <t>1,3</t>
  </si>
  <si>
    <t>Atnaujinta senamiesčio dangų pritaikant neįgaliesiems, ha</t>
  </si>
  <si>
    <t>0,13</t>
  </si>
  <si>
    <t>Suremontuota asfaltbetonio dangos duobių kiemuose, ha</t>
  </si>
  <si>
    <t>1,8</t>
  </si>
  <si>
    <t>Pėsčiųjų ir dviračių takų, šaligatvių (su dviračių takais) remonto bei įrengimo darbai</t>
  </si>
  <si>
    <t>Suremontuota šaligatvių (su dviračių takais), ha</t>
  </si>
  <si>
    <t>0,66</t>
  </si>
  <si>
    <t>Atnaujinta šaligatvių miesto gatvėse, ha</t>
  </si>
  <si>
    <t>1,1</t>
  </si>
  <si>
    <t>Parengtas S. Neries gatvės šaligatvių kompleksiško atnaujinimo projektas</t>
  </si>
  <si>
    <t>Prižiūrėta tiltų ir viadukų, vnt.</t>
  </si>
  <si>
    <t xml:space="preserve">Šalia Klaipėdos Simono Dacho progimnazijos esančio Jūrininkų tako gatvės prailginimas </t>
  </si>
  <si>
    <t>Įvažiavimo kelių atnaujinimas:</t>
  </si>
  <si>
    <t>Įvažiavimo kelio ir šalia esančio skvero į Taikos pr. 109 ;</t>
  </si>
  <si>
    <t>Įvažiavimo kelio į Taikos pr. 101;</t>
  </si>
  <si>
    <t>Įvažiavimo kelio  į Debreceno g. 61</t>
  </si>
  <si>
    <t>S. Daukanto gatvės rekonstravimas nuo H. Manto iki Naujojo Uosto g.</t>
  </si>
  <si>
    <r>
      <t xml:space="preserve">Valstybės biudžeto specialiosios tikslinės dotacijos lėšos </t>
    </r>
    <r>
      <rPr>
        <b/>
        <sz val="10"/>
        <rFont val="Times New Roman"/>
        <family val="1"/>
        <charset val="186"/>
      </rPr>
      <t>SB(VB)</t>
    </r>
  </si>
  <si>
    <r>
      <t xml:space="preserve">Kelių priežiūros ir plėtros programos lėšos įtrauktos į savivaldybės biudžetą </t>
    </r>
    <r>
      <rPr>
        <b/>
        <sz val="10"/>
        <rFont val="Times New Roman"/>
        <family val="1"/>
        <charset val="186"/>
      </rPr>
      <t>SB(KPP)</t>
    </r>
  </si>
  <si>
    <r>
      <t xml:space="preserve">Planuojamos kelių priežiūros ir plėtros programos lėšos </t>
    </r>
    <r>
      <rPr>
        <b/>
        <sz val="10"/>
        <rFont val="Times New Roman"/>
        <family val="1"/>
        <charset val="186"/>
      </rPr>
      <t>SB(KPP)</t>
    </r>
  </si>
  <si>
    <r>
      <t xml:space="preserve">Vietinės reikšmės kelių (gatvių) tikslinio finansavimo lėšos  </t>
    </r>
    <r>
      <rPr>
        <b/>
        <sz val="10"/>
        <rFont val="Times New Roman"/>
        <family val="1"/>
        <charset val="186"/>
      </rPr>
      <t>KPP(VIP)</t>
    </r>
  </si>
  <si>
    <t>2019 m. asignavimų patvirtintas planas*</t>
  </si>
  <si>
    <t>2019 m. asignavimų patikslintas planas**</t>
  </si>
  <si>
    <t>2019 m. panaudotos lėšos (kasinės išlaidos)</t>
  </si>
  <si>
    <t xml:space="preserve">Danės g. rekonstravimas (siekiant racionaliai suplanuoti jungtis su Bastionų g., nauju tiltu per Danės upę ir Artojų g.) </t>
  </si>
  <si>
    <t>patirtų vykdant keleivinio kelių transporto viešųjų paslaugų vežant keleivius vietinio (miesto) reguliaraus susisiekimo autobusų maršrutais</t>
  </si>
  <si>
    <t xml:space="preserve">Uostamiesčiai: darnaus judumo principų integravimas (PORT Cities: Integrating Sustainability, PORTIS) </t>
  </si>
  <si>
    <t>Automobilių kelių su patobulinta danga ilgis, palyginti su bendru kelių ilgiu, proc.</t>
  </si>
  <si>
    <t>Autobusų, kurių amžius neviršija 15 metų, dalis miesto viešajame transporte, proc.</t>
  </si>
  <si>
    <t>0</t>
  </si>
  <si>
    <t>UAB „Klaipėdos autobusų parkas“ įstatinio kapitalo didinimas įsigyjant du elektra varomus autobusus</t>
  </si>
  <si>
    <t>patikslintos reikšmės</t>
  </si>
  <si>
    <t>Kodas</t>
  </si>
  <si>
    <t>METINIO VEIKLOS PLANO VYKDYMO ATASKAITA</t>
  </si>
  <si>
    <t>Atsakingas (-i) asmuo (-ys)</t>
  </si>
  <si>
    <t>SP lėšos</t>
  </si>
  <si>
    <t>Patvirtintas asignavimų planas</t>
  </si>
  <si>
    <t>Patikslintas asignavimų planas</t>
  </si>
  <si>
    <t>Iš viso gauta asignavimų</t>
  </si>
  <si>
    <t>Likutis</t>
  </si>
  <si>
    <t>Rodiklis</t>
  </si>
  <si>
    <t>Mato vnt.</t>
  </si>
  <si>
    <t>2019</t>
  </si>
  <si>
    <t>Aprašymas</t>
  </si>
  <si>
    <t>Pastaba</t>
  </si>
  <si>
    <t>Planas</t>
  </si>
  <si>
    <t>Faktas</t>
  </si>
  <si>
    <t>Susisiekimo sistemos priežiūros ir plėtros programa</t>
  </si>
  <si>
    <t>06.01.</t>
  </si>
  <si>
    <t xml:space="preserve">Didinti gatvių tinklo pralaidumą ir užtikrinti jų tankumą   </t>
  </si>
  <si>
    <t>06.01.01.</t>
  </si>
  <si>
    <t xml:space="preserve">Rekonstruoti ir tiesti gatves  </t>
  </si>
  <si>
    <t>06.01.01.01.</t>
  </si>
  <si>
    <t>Centrinės miesto dalies gatvių tinklo modernizavimas</t>
  </si>
  <si>
    <t>06.01.01.01.01.</t>
  </si>
  <si>
    <t>Edita Čerbienė</t>
  </si>
  <si>
    <t>Parengtas naujo tilto su pakeliamu mechanizmu statybos techninis projektas</t>
  </si>
  <si>
    <t>vnt.</t>
  </si>
  <si>
    <t>2,00</t>
  </si>
  <si>
    <t>0,00</t>
  </si>
  <si>
    <t>Atliktas poveikio aplinkai vertinimo dokumentas</t>
  </si>
  <si>
    <t>1,00</t>
  </si>
  <si>
    <t>06.01.01.01.03.</t>
  </si>
  <si>
    <t>Danės g. rekonstravimas (siekiant racionaliai suplanuoti jungtis su Bastionų g., nauju tiltu per Danės upę ir Artojų g.)</t>
  </si>
  <si>
    <t>Inesa Gustaitienė</t>
  </si>
  <si>
    <t>Parengtas rekonstravimo techninis projektas (ruožas nuo Atgimimo aikštės iki Laivų skersgatvio)</t>
  </si>
  <si>
    <t>Atliktas techninis projektas " ruožo nuo Atgimimo aikštės iki Laivų skersgatvio".</t>
  </si>
  <si>
    <t>06.01.01.01.04.</t>
  </si>
  <si>
    <t>Naujo įvažiuojamojo kelio (Priešpilio g.) į piliavietę ir kruizinių laivų terminalą tiesimas</t>
  </si>
  <si>
    <t>Romualdas Stasiulis</t>
  </si>
  <si>
    <t>Atlikta gatvės tiesimo darbų. Užbaigtumas</t>
  </si>
  <si>
    <t>proc.</t>
  </si>
  <si>
    <t>100,00</t>
  </si>
  <si>
    <t>SB(ŽP)</t>
  </si>
  <si>
    <t>06.01.01.01.05.</t>
  </si>
  <si>
    <t>Automobilių stovėjimo aikštelės teritorijoje  Bangų g., Klaipėdoje, įrengimas (Daugiaaukščio garažo statyba su požemine aikštele Bangų g., Klaipėdoje)</t>
  </si>
  <si>
    <t>06.01.01.02.</t>
  </si>
  <si>
    <t>Šiaurinės miesto dalies gatvių tinklo modernizavimas</t>
  </si>
  <si>
    <t>06.01.01.02.01.</t>
  </si>
  <si>
    <t>Vaida Lendraitienė</t>
  </si>
  <si>
    <t>Parengtas II etapo techninis projektas (Klaipėdos g., Virkučių g., Slengių g., Lietaus g., Vaivorykštės g., Griaustinio g. ir Arimų g.)</t>
  </si>
  <si>
    <t>Atliktas gatvių –  Klaipėdos g. (500 m) ir Virkučių g. (1004 m) rekonstravimas. Užbaigtumas</t>
  </si>
  <si>
    <t>Atliktas gatvių – Akmenų g. (405 m), Vėjo g. (1373 m), Smėlio g. (960 m) ir Debesų g. (890 m) rekonstravimas. Užbaigtumas</t>
  </si>
  <si>
    <t>06.01.01.02.02.</t>
  </si>
  <si>
    <t>Atlikta gatvės rekonstravimo darbų. Užbaigtumas</t>
  </si>
  <si>
    <t>5,00</t>
  </si>
  <si>
    <t>Rekonstruota gatvė (1374 m )</t>
  </si>
  <si>
    <t>Techninis projektas parengtas,gautas statybą leidžiantis dokumentas.Lietuvos automobilių kelių direkcija (pagal bendradarbiavimo sutartį 2018-10-19 Nr. J9-2347) vykdo rangos darbų pirkimą. Rangos darbų pradžia numatoma 2020 m. kovo mėnesį.</t>
  </si>
  <si>
    <t>06.01.01.02.03.</t>
  </si>
  <si>
    <t>Dubliuojančios gatvės nuo Šiltnamių g. iki Klaipėdos g. su pėsčiųjų ir dviračių taku ir įvažomis į Liepojos g. įrengimas</t>
  </si>
  <si>
    <t>Parengtas techninis projektas</t>
  </si>
  <si>
    <t>Projektas  užbaigtas, gautas statybą leidžiantis dokumentas.</t>
  </si>
  <si>
    <t>06.01.01.02.07.</t>
  </si>
  <si>
    <t>06.01.01.03.</t>
  </si>
  <si>
    <t>Šiaurės ir Pietų transporto koridorių gatvių tinklo modernizavimas</t>
  </si>
  <si>
    <t>06.01.01.03.01.</t>
  </si>
  <si>
    <t>Tilžės g. nuo Šilutės pl. iki geležinkelio pervažos rekonstrukcija, pertvarkant žiedinę Mokyklos g. ir Šilutės pl. sankryžą</t>
  </si>
  <si>
    <t>600 m gatvės</t>
  </si>
  <si>
    <t>Atlikta žiedinės sankryžos rekonstravimo darbų. Užbaigtumas</t>
  </si>
  <si>
    <t>80,00</t>
  </si>
  <si>
    <t>600 m</t>
  </si>
  <si>
    <t>06.01.01.03.02.</t>
  </si>
  <si>
    <t>Neeksploatuojamų požeminių perėjų Šilutės pl. rekonstravimas</t>
  </si>
  <si>
    <t>Vienos perėjos techninis proejktas parengtas 2017 m. 2018 m. - kitos perėjos</t>
  </si>
  <si>
    <t>06.01.01.03.04.</t>
  </si>
  <si>
    <t>Šilutės plento rekonstrukcija (atkarpos nuo Tilžės g. iki geležinkelio pervažos iki Kauno g.)</t>
  </si>
  <si>
    <t>06.01.01.04.</t>
  </si>
  <si>
    <t>Pajūrio rekreacinių teritorijų gatvių tinklo modernizavimas</t>
  </si>
  <si>
    <t>06.01.01.04.01.</t>
  </si>
  <si>
    <t>Atlikta rekonstravimo darbų (II–IV etapai).</t>
  </si>
  <si>
    <t>06.01.01.04.05.</t>
  </si>
  <si>
    <t>Audronė Orentienė</t>
  </si>
  <si>
    <t>Savivaldybė LR Aplinkos ministerijai buvo pateikusi siūlymus susijusius su Pajūrio juostos žemyninės dalies specialiojo plano (SP) koregavimu. Dėl  SP grafinės dalies ir vieno iš sprendinių, kuriame vietoje nurodyto privažiavimo prie jūros palei Klaipėdos miesto ir rajono savivaldybių ribą paprašyta pakeisti į žvejų ir žvejybos įmonių naudojamą privažiavimą prie jūros arčiau Girulių.  Taip pat paprašyta sprendinį, kuriame nurodomos vietos galimoms žvejų prieplaukoms papildyti Klaipėdos miesto rekreaciniu ruožu. Į prašymus dėl SP papildymo naujais sprendiniais buvo atsižvelgta ir patvirtinta 2019-06-28 LR Žemės ūkio ministro įsakymu Nr.3D-392. Norint gauti ES paramą, savivaldybė teisėtais pagrindais turi valdyti iškrovimo vietą, kurioje numatoma atlikti investicijas, t. y. žemė turi priklausyti savivaldybei. Būtina atlikti žemės perdavimo  naudotis savivaldybei procedūras ( arba sudaryti panaudos sutartį, arba nustatyti servitutą).Kol nebus atliktos šios procedūros, nėra galimybės organizuoti projektavimo darbus.</t>
  </si>
  <si>
    <t>06.01.01.05.</t>
  </si>
  <si>
    <t>Rytų ir Vakarų krypties gatvių tinklo modernizavimas</t>
  </si>
  <si>
    <t>06.01.01.05.01.</t>
  </si>
  <si>
    <t>Joniškės g. rekonstravimas</t>
  </si>
  <si>
    <t>Atlikta rekonstravimo darbų. Užbaigtumas</t>
  </si>
  <si>
    <t>10,00</t>
  </si>
  <si>
    <t>06.01.01.05.02.</t>
  </si>
  <si>
    <t>Statybininkų prospekto tęsinio tiesimas nuo Šilutės pl. per LEZ teritoriją iki 141 kelio: II etapas – Lypkių gatvės ruožo nuo Šilutės plento tiesmas</t>
  </si>
  <si>
    <t>Techninis projektas parengtas. Gautas statybą leidžiantis dokumentas</t>
  </si>
  <si>
    <t>06.01.01.05.03.</t>
  </si>
  <si>
    <t>Jūrininkų prospekto atkarpos nuo Šilutės pl. iki Minijos g. rekonstrukcija</t>
  </si>
  <si>
    <t>06.01.01.06.</t>
  </si>
  <si>
    <t>Bendri KVJUD ir miesto projektai</t>
  </si>
  <si>
    <t>06.01.01.06.01.</t>
  </si>
  <si>
    <t>Valdas Švedas</t>
  </si>
  <si>
    <t>06.01.01.07.</t>
  </si>
  <si>
    <t>Parengiamieji darbai įgyvendinat gatvių rekonstrukcijos projektus</t>
  </si>
  <si>
    <t>06.01.01.07.01.</t>
  </si>
  <si>
    <t>Suteikta gatvių dangų, konstruktyvo ir betoninių gaminių kontrolinių bandymų paslaugų. Užbaigtumas</t>
  </si>
  <si>
    <t>06.01.01.07.02.</t>
  </si>
  <si>
    <t>06.01.02.</t>
  </si>
  <si>
    <t xml:space="preserve"> Užtikrinti patogios viešojo transporto sistemos funkcionavimą  </t>
  </si>
  <si>
    <t>06.01.02.01.</t>
  </si>
  <si>
    <t>Viešojo transporto paslaugų organizavimas</t>
  </si>
  <si>
    <t>Rimantas Mockus, Saulina Paulauskienė</t>
  </si>
  <si>
    <t>06.01.02.01.01.</t>
  </si>
  <si>
    <t>Transporto kompensacijų mokėjimas</t>
  </si>
  <si>
    <t>Kazimiera Rimienė</t>
  </si>
  <si>
    <t>Renginių, kurių metu keleiviams bus taikomos lengvatos</t>
  </si>
  <si>
    <t>skaičius</t>
  </si>
  <si>
    <t>6,00</t>
  </si>
  <si>
    <t>2019 m.
1.1. Lietuvos valstybės atkūrimo dieną, 2019 m. vasario 16 d.;
1.2. Klaipėdos šviesų festivalio metu, 2019 m. vasario 17 d.;
1.3. Lietuvos vaikų ir jaunimo dainų šventė “Mes Lietuvos vaikai“, 2019 m. birželio 14-16 d. (renginio dalyviams)
1.4. Tarptautinio nematerialiojo paveldo festivalis ”Lauksnos“, 2019 m. liepos 11-14 d.  (renginio dalyviams)
1.5. Jūros šventės metu, 2019 m. liepos 26-28 d.
1.6. Dieną be automobilio, 2019 m. rugsėjo 20 d.</t>
  </si>
  <si>
    <t>Kompensuota bilietų profesinių mokyklų moksleiviams, tūkst.</t>
  </si>
  <si>
    <t>22,00</t>
  </si>
  <si>
    <t>15,00</t>
  </si>
  <si>
    <t>Kompensuota bilietų moksleiviams, tūkst.</t>
  </si>
  <si>
    <t>4,00</t>
  </si>
  <si>
    <t>Parduota lengvatinių bilietų, milijonai</t>
  </si>
  <si>
    <t>06.01.02.01.02.</t>
  </si>
  <si>
    <t>Nuostolių, patirtų vykdant keleivinio kelių transporto viešųjų paslaugų sutartis, vežant keleivius vietinio (miesto) reguliaraus susisiekimo autobusų maršrutais, kompensavimas</t>
  </si>
  <si>
    <t>Kompensuota nuostolingų maršrutų</t>
  </si>
  <si>
    <t>21,00</t>
  </si>
  <si>
    <t>06.01.02.01.03.</t>
  </si>
  <si>
    <t>Patikrinta viešojo transporto priemonių, tūkst.</t>
  </si>
  <si>
    <t>7,00</t>
  </si>
  <si>
    <t>06.01.02.01.04.</t>
  </si>
  <si>
    <t>Subsidijuojama maršrutų</t>
  </si>
  <si>
    <t>Subsidijuojami Palangos, LEZ, naktinis ir Jokūbavo (Vaiteliai-Rasa) maršrutai.</t>
  </si>
  <si>
    <t>Sodų bendrija „Vaiteliai“–„Rasa“ kursavimas</t>
  </si>
  <si>
    <t>06.01.02.01.05.</t>
  </si>
  <si>
    <t>Rimantas Mockus</t>
  </si>
  <si>
    <t>Integruota autobusų ir maršrutinių taksi</t>
  </si>
  <si>
    <t>205,00</t>
  </si>
  <si>
    <t>planas įvykdytas</t>
  </si>
  <si>
    <t>Išmokėta už 2018 m. gautą autobusų integracijos įrangą ir sistemą. Užbaigtumas</t>
  </si>
  <si>
    <t>83,00</t>
  </si>
  <si>
    <t>06.01.02.01.06.</t>
  </si>
  <si>
    <t>Karolis Šakarnis, Rimantas Mockus</t>
  </si>
  <si>
    <t>Įrengta elektros įvadų švieslenčių įrengimui</t>
  </si>
  <si>
    <t>8,00</t>
  </si>
  <si>
    <t>Įrengta švieslenčių miesto autobusų stotelėse</t>
  </si>
  <si>
    <t>06.01.02.01.07.</t>
  </si>
  <si>
    <t>Lengvųjų automobilių taksi ženklinimo sprendinių projekto parengimas</t>
  </si>
  <si>
    <t>Parengtas ženklinimo sprendinių projektas</t>
  </si>
  <si>
    <t>06.01.02.02.</t>
  </si>
  <si>
    <t>06.01.02.02.01.</t>
  </si>
  <si>
    <t>Regina Dekėrytė</t>
  </si>
  <si>
    <t>Įrengta stotelių su įvažomis</t>
  </si>
  <si>
    <t>I etapo stotelės 10 vnt. (Vasaros estrados (pietų ir šiaurės kryptys), Rumpiškės, Kooperacijos, Juodkrantės,  Naikupės, Šilutės, Minijos, Aula Magna, Minijos stotelės)</t>
  </si>
  <si>
    <t>2019 m. bus pradedamas rengti II etapo techninis projektas</t>
  </si>
  <si>
    <t>Įrengtas įvažos pratęsimas, esantis Naujojo turgaus autobusų stotelėje (kryptis į pietinę miesto dalį)</t>
  </si>
  <si>
    <t>06.01.02.03.</t>
  </si>
  <si>
    <t>Klaipėdos miesto viešojo transporto atnaujinimas</t>
  </si>
  <si>
    <t>Elona Jurkevičienė</t>
  </si>
  <si>
    <t>06.01.02.03.01.</t>
  </si>
  <si>
    <t>Daina Stankevičienė</t>
  </si>
  <si>
    <t>Įsigyta naujų ekologiškų autobusų</t>
  </si>
  <si>
    <t>18,00</t>
  </si>
  <si>
    <t>Pagal 2019-02-14 UAB "Klaipėdos autobusų parkas" sutartį su UAB "Adampolis" įsigyta 18 vnt. suslėgtomis gamtinėmis dujomis varomų miesto tipo autobusų.</t>
  </si>
  <si>
    <t>06.01.02.04.</t>
  </si>
  <si>
    <t>06.01.02.04.01.</t>
  </si>
  <si>
    <t>06.01.03.</t>
  </si>
  <si>
    <t xml:space="preserve">Diegti eismo srautų reguliavimo ir saugumo priemones  </t>
  </si>
  <si>
    <t>06.01.03.01.</t>
  </si>
  <si>
    <t>Eismo srautų reguliavimo ir saugumo priemonių įgyvendinimas</t>
  </si>
  <si>
    <t>Irena Šakalienė</t>
  </si>
  <si>
    <t>06.01.03.01.01.</t>
  </si>
  <si>
    <t>Gintarė Kareivienė, Vidmantas Paliakas</t>
  </si>
  <si>
    <t>Įrengta kintamos informacijos ženklų Lideikio g. Užbaigtumas</t>
  </si>
  <si>
    <t>Atnaujinta dekoratyvinių kelio ženklų stovų</t>
  </si>
  <si>
    <t>2019-05-29 pasirašyta sutartis Nr. J9-1756. Dekoratyviniai stovai įrengti Naujojo Sodo g., Naujojo Uosto g., Vytauto g., Šaulių g., Liepų g. Pievų Tako g.
Priemonė vykdoma pagal planą, lėšos įsisavintos. įrengtos 107 dekoratyvinės atramos</t>
  </si>
  <si>
    <t>Eksploatuojama šviesoforų</t>
  </si>
  <si>
    <t>71,00</t>
  </si>
  <si>
    <t>ĮII ketvirtyje įrengti  5 nauji šviesoforai, eksploatuojama 71 šviesoforas.</t>
  </si>
  <si>
    <t>Rekonstruotas šviesoforas (Tilžės g. ir Sausio 15-osios g. sankryžoje)</t>
  </si>
  <si>
    <t>Darbai atlikti.</t>
  </si>
  <si>
    <t>Naujai įrengta šviesoforų (Baltijos prospekte atkarpoje tarp Šilutės pl. ir Taikos pr., Šilutės pl. prie AB „Klaipėdos energija“, Taikos pr. ties Žvejų rūmais)</t>
  </si>
  <si>
    <t>Visos šviesoforais reguliuojamos pėsčiųjų perėjos įrengtos ir perduotos eksploatuoti gegužės mėn.</t>
  </si>
  <si>
    <t>Eksploatuojama eismo reguliavimo priemonių, tūkst.</t>
  </si>
  <si>
    <t>14,50</t>
  </si>
  <si>
    <t>15,19</t>
  </si>
  <si>
    <t>Įrengti/suremontuoti  705 kelio ženklai. Įrengta/suremontuota 43 vnt. apsauginių  tvorelių Simonaitytės, Baltijos pr. Kauno, Panevėžio, H. Manto g. gatvėse. Įrengta iškilioji pėsčiųjų perėja Kooperacijos g., 180 m. sijinių atitvarų Taikos pr. (link Kairių g) Banginiu.  Priemonė įgyvendinta</t>
  </si>
  <si>
    <t>06.01.03.01.02.</t>
  </si>
  <si>
    <t>Suženklinta gatvių</t>
  </si>
  <si>
    <t>ha</t>
  </si>
  <si>
    <t>0,90</t>
  </si>
  <si>
    <t>06.01.03.01.03.</t>
  </si>
  <si>
    <t>Susisiekimo sistemos objektų pritaikymas neįgaliesiems</t>
  </si>
  <si>
    <t>Daiva Butkuvienė, Nijolė Vedeikienė, Rimantas Mockus</t>
  </si>
  <si>
    <t>Įrengta neregių vedimo dangos autobusų stotelėse</t>
  </si>
  <si>
    <t>14,00</t>
  </si>
  <si>
    <t>06.01.03.01.04.</t>
  </si>
  <si>
    <t>Eksploatuojamų bilietų automatų</t>
  </si>
  <si>
    <t>172,00</t>
  </si>
  <si>
    <t>06.01.03.01.05.</t>
  </si>
  <si>
    <t>Klaipėdos miesto gatvių pėsčiųjų perėjų kryptinis apšvietimas</t>
  </si>
  <si>
    <t>Karolis Šakarnis</t>
  </si>
  <si>
    <t>Apšviesta pėsčiųjų perėjų</t>
  </si>
  <si>
    <t>06.01.03.02.</t>
  </si>
  <si>
    <t>Automatinės eismo priežiūros prietaisų įsigijimas ir nuoma</t>
  </si>
  <si>
    <t>06.01.03.02.01.</t>
  </si>
  <si>
    <t>Marius Poimanskis, Rita Mikluševičiūtė</t>
  </si>
  <si>
    <t>Eksploatuojama greičio matuoklių</t>
  </si>
  <si>
    <t>Vykdomas pirkimas 2 greičio matuoklių paslaugos įsigijimui. Užsitęsus viešųjų pirkimų procedūroms (gautos pretenzijos) liko nepanaudotos lėšos planuotos šių matuoklių techniniam aptarnavimui.</t>
  </si>
  <si>
    <t>Eksploatuojama prietaisų</t>
  </si>
  <si>
    <t>06.01.03.03.</t>
  </si>
  <si>
    <t>Naujų ekologiškų viešojo transporto ir  alternatyvaus judėjimo projektų įgyvendinimas</t>
  </si>
  <si>
    <t>06.01.03.03.01.</t>
  </si>
  <si>
    <t>Uostamiesčiai: darnaus judumo principų integravimas (PORT Cities: Integrating Sustainability, PORTIS)</t>
  </si>
  <si>
    <t>Vaiva Varnaitė</t>
  </si>
  <si>
    <t>Įdiegta transporto valdymo sistema. Užbaigtumas</t>
  </si>
  <si>
    <t>Įdiegta dviračių saugojimo (angl. bike-storing) sistema</t>
  </si>
  <si>
    <t>06.01.03.03.02.</t>
  </si>
  <si>
    <t>Parengta galimybių studija</t>
  </si>
  <si>
    <t>Pagal 2019-01-16 paslaugų sutartį Nr. J9-159 UAB "Civitta" parengė perspektyvinių naujų viešojo transporto rūšių diegimo mieste galimybių studiją. Rengiamas studijos pristatymas savivaldybės tarybos kolegijoje. Sutartis su UAB "Civitta" 2019-12-02 sustabdyta iki kol bus priimtas politinis sprendimas dėl siūlomų viešojo transporto vystymo alternatyvų pasirinkimo.</t>
  </si>
  <si>
    <t>06.01.03.03.03.</t>
  </si>
  <si>
    <t>Elektromobilių įkrovimo stotelių įrengimas Klaipėdos mieste</t>
  </si>
  <si>
    <t>Įrengta elektromobilių įkrovimo prieigų</t>
  </si>
  <si>
    <t>Įrengtos 3 greito krovimo elektromobilių įkrovimo stotelės. Kiekviena stotelė turi po dvi krovimo prieigas (viso 6 prieigos)</t>
  </si>
  <si>
    <t>06.01.03.03.04.</t>
  </si>
  <si>
    <t>Violeta Pronskuvienė</t>
  </si>
  <si>
    <t>0,50</t>
  </si>
  <si>
    <t>(2019 m. - Žvejų g., Teatro g., Sukilėlių g., Daržų g., Aukštoji g., Didžioji Vandens g., Vežėjų g., 2020 m. - Tomo ir Pylimo g.)</t>
  </si>
  <si>
    <t>Rengiami techniniai darbo projektai. Nuo 2019-09-02 projektavimo sutartis sustabdyta, kol bus gauti gyventojų sutikimai dėl apšvietimo įrengimo ant pastatų. Sutarties vykdymą planuojama pratęsti spalio pradžioje. Nepradėti Tomo ir Pylimo gatvių techniniai projektai kol nebaigti Jono kalnelio tvarkymo darbai ir nėra sprendimo dėl Jono bažnyčios atstatymo.</t>
  </si>
  <si>
    <t>06.01.03.03.05.</t>
  </si>
  <si>
    <t>Kombinuotų kelionių jungčių (PARK&amp;RIDE) įrengimas</t>
  </si>
  <si>
    <t>Parengtas paviljono su aikštele techninis projektas</t>
  </si>
  <si>
    <t>06.01.03.03.06.</t>
  </si>
  <si>
    <t>Vytautas Paukštė</t>
  </si>
  <si>
    <t>Ekslpoatuojama elektromobilių įkrovimo stotelių</t>
  </si>
  <si>
    <t>11,00</t>
  </si>
  <si>
    <t>06.01.03.03.07.</t>
  </si>
  <si>
    <t>06.01.04.</t>
  </si>
  <si>
    <t>Atlikti kasmetinius miesto susisiekimo infrastruktūros objektų priežiūros ir įrengimo darbus</t>
  </si>
  <si>
    <t>06.01.04.01.</t>
  </si>
  <si>
    <t>Ištisinio asfaltbetonio dangos įrengimas miesto gatvėse ir kiemuose</t>
  </si>
  <si>
    <t>06.01.04.01.01.</t>
  </si>
  <si>
    <t>Ištisinio asfaltbetonio dangos remontas</t>
  </si>
  <si>
    <t>Gintarė Kareivienė, Nijolė Vedeikienė, Vidmantas Paliakas</t>
  </si>
  <si>
    <t>Paklota ištisinio asfaltbetonio dangos</t>
  </si>
  <si>
    <t>5,90</t>
  </si>
  <si>
    <t>06.01.04.01.02.</t>
  </si>
  <si>
    <t>Laima Jūrevičienė, Nijolė Vedeikienė, Vidmantas Paliakas</t>
  </si>
  <si>
    <t>Suremontuota asfaltbetonio dangos duobių gatvėse</t>
  </si>
  <si>
    <t>4,50</t>
  </si>
  <si>
    <t>Darbai vyksta.
Pasirašyta nauja rangos sutartis šiaurinės miesto dalies asfalto dangoms remontuoti.</t>
  </si>
  <si>
    <t>Prižiūrima žvyruotos dangos</t>
  </si>
  <si>
    <t>1,30</t>
  </si>
  <si>
    <t>Suremontuota gatvių akmens grindinio dangos pagal poreikį senamiesčio gatvėse</t>
  </si>
  <si>
    <t>06.01.04.01.03.</t>
  </si>
  <si>
    <t>Suremontuota asfaltbetonio dangos duobių kiemuose</t>
  </si>
  <si>
    <t>1,80</t>
  </si>
  <si>
    <t>06.01.04.01.04.</t>
  </si>
  <si>
    <t>Pėsčiųjų ir dviračių takų, šaligatvių (su dviračių takais) bei privažiuojamųjų kelių remonto bei įrengimo darbai</t>
  </si>
  <si>
    <t>Nijolė Vedeikienė</t>
  </si>
  <si>
    <t>Atnaujinta pėsčiųjų takų ir laiptų prie Kultūros centro „Žvejų rūmai“</t>
  </si>
  <si>
    <t>Suremontuota šaligatvių su dviračių takais</t>
  </si>
  <si>
    <t>S. Neries g. šaligatviai buvo tvarkyti 2016 m. Kompleksiško atnaujinimo klausimas bus sprendžiamas priėmus sprendimą dėl želdinių tvarkymo.</t>
  </si>
  <si>
    <t>Atnaujinta šaligatvių miesto gatvėse</t>
  </si>
  <si>
    <t>Atnaujinta įvažą ir automobilių stovėjimo  aikštelė Vilniaus Dailės akademijos Klaipėdos fakulteto teritorijoje</t>
  </si>
  <si>
    <t>06.01.04.01.05.</t>
  </si>
  <si>
    <t>Daiva Butkuvienė, Nijolė Vedeikienė</t>
  </si>
  <si>
    <t>Įstaigų, kurių kiemuose atlikta asfalto dangos remonto darbų</t>
  </si>
  <si>
    <t>UKD - 7 bendrojo ugdymo mokyklos; 7 lopšeliai darželiai:
"Saulutė" mokykla-darželis.Saulutės"  mokykla-darželis
L/d "Berželis"
 L/d "Vėrinėlis"
L/d "Atžalynas" 
L/d "Bangelė"
L/d "Pakalnutė"
L/d "Linelis"
Vitės progimnazija 
"Žaliakalnio" gimnazija
"Gabijos" progimnazija
"Versmės"  progimnazija
"Ąžuolyno" gimnazija
"Vyturio" progimnazija
Martyno Mažvydo progimnazija
SRD - 1 įstaig:
1. BĮ Klaipėdos vaikų globos namuose „Smiltelė“ kelio dangos remontas, kv m 23,1 tūkst. Eur;</t>
  </si>
  <si>
    <t>06.01.04.01.06.</t>
  </si>
  <si>
    <t>Vidmantas Paliakas</t>
  </si>
  <si>
    <t>Prižiūrima tiltų ir viadukų</t>
  </si>
  <si>
    <t>06.01.04.01.07.</t>
  </si>
  <si>
    <t>Įvažiavimo kelių atnaujinimas</t>
  </si>
  <si>
    <t>Gintarė Kareivienė, Nijolė Vedeikienė</t>
  </si>
  <si>
    <t>Parengtas projektas</t>
  </si>
  <si>
    <t>3,00</t>
  </si>
  <si>
    <t>06.01.04.01.08.</t>
  </si>
  <si>
    <t>Šalia Klaipėdos Simono Dacho progimnazijos esančio Jūrininkų tako gatvės prailginimas</t>
  </si>
  <si>
    <t>06.01.04.02.</t>
  </si>
  <si>
    <t>Privažiuojamojo kelio prie pastato Debreceno g. 48  įrengimas ir pastato aplinkos sutvarkymas</t>
  </si>
  <si>
    <t>06.01.04.02.01.</t>
  </si>
  <si>
    <t>Parengtas techninis projektas ir detaliojo plano korekcija</t>
  </si>
  <si>
    <t>Europos Sąjungos paramos lėšos</t>
  </si>
  <si>
    <t>Kelių priežiūros ir plėtros programos lėšos</t>
  </si>
  <si>
    <t>Programų lėšų likučių laikinai laisvos lėšos  (apyvartos lėšų likutis)</t>
  </si>
  <si>
    <t>Vietinės rinkliavos lėšos</t>
  </si>
  <si>
    <t>Vietinių rinkliavų likučio lėšos</t>
  </si>
  <si>
    <t>Kiti šaltiniai</t>
  </si>
  <si>
    <t>Žemės pardavimų lėšos</t>
  </si>
  <si>
    <t>Žemės pardavimų likučio lėšos</t>
  </si>
  <si>
    <t>Klaipėdos valstybinio jūsų uosto direkcijos lėšos</t>
  </si>
  <si>
    <t>Savivaldybės biudžeto</t>
  </si>
  <si>
    <t>Europos Sąjungos paramos lėšos (Savivaldybės biudžetas)</t>
  </si>
  <si>
    <t>Efekto /Rezultato /Produkto</t>
  </si>
  <si>
    <t>Poveikio aplinkai vertinimo dokumentas gautas nebuvo. 2018-10-10 projektuotojams parengus PAV programą, ji buvo pateikta vertinimo subjektams bei pradėtas PAV programos viešinimas. 2019 m. pradžioje buvo gautos  pastabos PAV programai, projektuotojams papildžius programą pagal pastabas, 2019 m. spalio mėn. Aplinkos apsaugos agentūra PAV programą patvirtino. Rengiama PAV ataskaita.</t>
  </si>
  <si>
    <t>Techninių darbo projektų parengimas negalimas, kol nebus parengta ir patvirtinta PAV ataskaita (Poveikio aplinkai vertinimo dokumentas gautas nebuvo. 2018-10-10 projektuotojams parengus PAV programą, ji buvo pateikta vertinimo subjektams bei pradėtas PAV programos viešinimas. 2019 m. pradžioje buvo gautos PAV programai pastabos, projektuotojams papildžius programą pagal pastabas, 2019 m. spalio mėn. Aplinkos apsaugos agentūra PAV programą patvirtino. Rengiama PAV ataskaita).</t>
  </si>
  <si>
    <t>75,00</t>
  </si>
  <si>
    <t>Atliekami rangos darbai pagal 2018-08-10 rangos sutartį Nr. J9-1738  UAB "Kauno keliai". 2019 metais atlikta 75 % darbų, nes darbų metu rasta archeologinių radinių, neiškeltas Baltijos laivų statyklos dujotiekis, gamyklos teritorijoje rastos kuro talpos kurias reikalinga utilizuoti. Visi išvardinti faktoriai trukdė laiku atlikti numatytus darbus, todėl projekto užbaigimas nukeliamas į 2020 metus.</t>
  </si>
  <si>
    <t>Techninis projektas rengiamas pagal 2017-01-11 Nr. J9-50 UAB "Ekspoit" SIA "Nams". Atlikta 90 % darbų, bet negautas statybą leidžiantis dokumentas.</t>
  </si>
  <si>
    <t>Dėl tiekėjo UAB "Hidrostatybos projektai"  bankroto, nutraukta 2017-05-10 paslaugų sutartis Nr. J9-1130 (techninio projekto parengimo). Projekto užbaigimo ir rangos darbus nuspręsta pirkti kartu. 2019 m. rugpjūčio 14 d. viešojo pirkimo konkursas neįvyko (dėl per didelės pasiūlytos kainos). 2019-11-05 pasirašyta sutartis Nr. J9-2874 UAB "Plungės Lagūna", atlikti techniniam projektui :Klaipėdos g., Virkučių g., Slengių g., Lietaus g., Vaivorykštės g., Griaustinio g. ir Arimų g. kapitalinio remonto ir rangos darbų :Klaipėdos g. ir Virkučių g.</t>
  </si>
  <si>
    <t>Rangos darbai užbaigti.</t>
  </si>
  <si>
    <t>2019-11-05 pasirašyta sutartis Nr. J9-2874 UAB "Plungės Lagūna", atlikti techniniam projektui :Klaipėdos g., Virkučių g., Slengių g., Lietaus g., Vaivorykštės g., Griaustinio g. ir Arimų g. kapitalinio remonto ir rangos darbų :Klaipėdos g. ir Virkučių g.</t>
  </si>
  <si>
    <t>Atlikta II etapo rekonstravimo darbų. Užbaigtumas</t>
  </si>
  <si>
    <t>67,00</t>
  </si>
  <si>
    <t>20,00</t>
  </si>
  <si>
    <t>Rodiklis nepasiektas dėl objektyvių priežasčių – rangovo, UAB „Žemkasa“, bankrotas, 2019-06-25 vienašališkai nutraukus sutartį su UAB "Žemkasa", buvo vykdomas naujas rangos darbų pirkimas. Sutartis su nauju rangovu (UAB „YIT „Lietuva“) pasirašyta 2019-10-25, darbai pradėti vykdyti lapkričio mėn. UAB „YIT Lietuva“ atliko  13 proc. darbų, UAB „Žemkasa“ per 2019 metus atliko 6,55 proc. darbų</t>
  </si>
  <si>
    <t>12,49</t>
  </si>
  <si>
    <t>Rodiklis nepasiektas dėl objektyvių priežasčių – rangovo, UAB „Žemkasa“, bankrotas, 2019-06-25 vienašališkai nutraukus sutartį su UAB "Žemkasa", buvo vykdomas naujas rangos darbų pirkimas. Sutartis su nauju rangovu (UAB „YIT „Lietuva“) pasirašyta 2019-10-25, darbai pradėti vykdyti lapkričio mėn. UAB „YIT Lietuva“ atliko  1,49 proc. darbų, UAB „Žemkasa“ atliko 11 proc. darbų</t>
  </si>
  <si>
    <t>Gerbūvio sutvarkymo rangos darbai baigti (Šilutės pl. 62 požeminės perėjos). Vadovaujantis 2019-04-19 papildomu susitarimu, prie 2018 m. sausio 8 d. rangos sutarties Nr. J9-20, Nr. J9-1403, požeminės perėjos nebus įrenginėjamos. 
Požeminės perėjos Šilutės pl. 48 Techninis projektas neparengtas, nes šiuo metu taisomas pagal IS info statybą gautas pastabas.</t>
  </si>
  <si>
    <t>Atliktas techninis projektas. Gautas statybą leidžiantis dokumentas.</t>
  </si>
  <si>
    <t>Rangos darbai baigti.</t>
  </si>
  <si>
    <t>2019-08-06 pasirašyta rangos darbų sutartis Nr. J9-2252 UAB "YIT Lietuva". Dėl rangos darbams netinkamų oro salygų, nepanaudotos lėšos 2019 m. ir perkeliamos į 2020 metus</t>
  </si>
  <si>
    <t>Objektas užbaigtas</t>
  </si>
  <si>
    <t>Tiekėjas UAB "Kelprojektas" vėluoja atlikti techninio projekto parengimą. Techninio projekto parengimo terminą numatoma pratęsti iki 2020 metų pradžios. 2019 metais sumokėta 90 % techninio projekto parengimo ( gautas teigiamas projekto ekspertizės aktas)</t>
  </si>
  <si>
    <t>Bandymai atlikti pagal poreikius</t>
  </si>
  <si>
    <t>19,60</t>
  </si>
  <si>
    <t>3,30</t>
  </si>
  <si>
    <t>4,90</t>
  </si>
  <si>
    <t>įvykdyta</t>
  </si>
  <si>
    <t>6,60</t>
  </si>
  <si>
    <t>Vienos švieslentės įrengimo kaina buvo didesnė nei planuota, todėl įsigyta viena švieslente mažiau.</t>
  </si>
  <si>
    <t>9,00</t>
  </si>
  <si>
    <t>2019 metais  įrengti 9 elektros įvadai. 2020 m. planuojama įrengti 4 įvadus ir dar 4 įvadus suprojektuoti.</t>
  </si>
  <si>
    <t>Įvykdyta</t>
  </si>
  <si>
    <t>Rangos darbai, pagal 2018-09-14 Nr. J9-1927, atlikti.
įrengtos Vasaros estrados (pietų ir šiaurės kryptys), Rumpiškės, Kooperacijos, Juodkrantės,  Naikupės, Šilutės, Minijos, Aula Magna, Minijos stotelės</t>
  </si>
  <si>
    <t>Vykdomi rangos darbai pagal 2019-07-16 sutartį Nr. J9-2098 UAB "Šilutės automobilių keliai".  2019 metais  atlikta 70 % darbų.</t>
  </si>
  <si>
    <t>2019-06-14 pasirašyta sutartis Nr. J9-1867 dėl projekto parengimo. IV ketvirtyje projektas parengtas pilnai 100 proc.</t>
  </si>
  <si>
    <t>Per metus paženklinta 9094,95 kv. m. gatvių
Priemonė įvykdyta, lėšos įsisavintos.</t>
  </si>
  <si>
    <t>Įgyvendinta 100%, pagal skirtas lėšas.</t>
  </si>
  <si>
    <t>13,00</t>
  </si>
  <si>
    <t>Šiuo metu 3 rangovai įrenginėja kryptinį apšvietimą prie 13  perėjų. 2  perėjoms  apšvietimas nebus įrengtas. Kauno g. perėja bus įrengiama su kitu projektu (kartu su sankryžos rekonstrukcija). Projektavimo metu paaiškėjo, kad  pagal Agluonos gatvės kategoriją gali būti įrengta tik  perėja su šviesoforu.  Bendra rangos darbų suma preliminariai - 48 000 eurų. Po viešųjų pirkimų sutaupytą sumą planuojame perkelti eismo reguliavimo priemonių priežiūrai ir remontui. 
2019 m .suprojektuota ir įrengta 13 perėjų.</t>
  </si>
  <si>
    <t>Pirkimas buvo skelbtas 2 kartus, dalyvių neatsirado. Pirkimas skelbiamas trečią kartą, padidinus numatomą įrengimo kainą.</t>
  </si>
  <si>
    <t>Eismo valdymo rangos pirkimas perduotas Klaipėdos keleiviniam transportui (KKT). Pirkimo sąlygos yra apskųstos, laukiama teismo sprendimo, kuris numatomas 2020-01-30</t>
  </si>
  <si>
    <t>Eksploatuota mažiau stotelių nei planuota, nes vis dar vyksta 3 greitaeigių stotelių perdavimas UAB "Gatvių apšvietimas" eksploatavimui. 
Įkrovimo stotelė Tilžės gatvėj šalia prekybos centro "Lidl" taip pat dar neperduota eksploatacijai.</t>
  </si>
  <si>
    <t>2,67</t>
  </si>
  <si>
    <t>I ketv..-Gedminų g. pasirašyta techninės priežiūros sutartis ir parengtas paprastojo remonto aprašas, darbus numatoma pradėti 04 mėnesį. Vyksta viešojo pirkimo procedūros Jurginų ir Šermukšnių gatvių remontui.
II ketv. - vyksta darbai Gedminų g. 
Rengiamos sutartys dėl Jurginų g., Šermukšnių g. ir  Šilutės pl. atkarpos tarp Baltijos pr./Šilutės pl. žiedo ir Mainų g.
III ketv. - pradėti darbai Šermukšnių ir Jurginų g., planuojama užbaigti spalio mėn. Užbaigti Gedminų g. remonto darbai.  Vyksta Šilutės plento remonto darbai. 
Planuojama, kad lėšos bus įsisavintos (bus suremontuotos 4 gatvės).
IV ketv. - pabaigti Šermukšnių, Jurginų g. ir Šilutės pl. ištisinės dangos paprastojo remonto darbai.
2019 m., atsižvelgiant į skirtas lėšas, pasirašytos rangos sutartys 4 gatvių ištisinės asfaltbetonio dangos remonto darbams vykdyti.</t>
  </si>
  <si>
    <t>4,88</t>
  </si>
  <si>
    <t>Klaipėdos miesto žvyruotų gatvių dangų remonto darbai atliekami pagal 2018-05-24 sutartį J9-1228 ir vadovaujantis vietinės reikšmės kelių sąrašu</t>
  </si>
  <si>
    <t>0,16</t>
  </si>
  <si>
    <t>2019-04-17 pasirašyta sutartis dėl priežiūros darbų, darbai pradėti . 2 kartą kartojamas pirkimas senamiesčio dangų pritaikymo neįgaliesiems pritaikymo darbams.
Pasirašyta sutartis senamiesčio dangų pritaikymo neįgaliesiems pritaikymo darbams. Darbai bus pradėti spalio pradžioje. Vyksta paruošiamieji darbai (derinami leidimai, perkamos medžiagos).
Priežiūros darbai vykdomi pagal poreikį.
IV ketv. - vykdomi akmens grindinio priežiūros darbai ir senamiesčio dangų pritaikymo neįgaliesiems pritaikymo darbai.</t>
  </si>
  <si>
    <t>Atnaujinta senamiesčio dangų pritaikant neįgaliesiems</t>
  </si>
  <si>
    <t>0,08</t>
  </si>
  <si>
    <t>Darbai nepabaigti užsitęsus medžiagų tiekimo terminams. Tuo pačiu nepanaudota visa suma už techninę priežiūrą (bus apmokėta pabaigus objektą).</t>
  </si>
  <si>
    <t>1,70</t>
  </si>
  <si>
    <t>I ketv. - Šiaurinėje dalyje darbai bus pradėti gegužės mėnesį, užbaigus darbus pagrindinėse magistralinėse gatvėse.
II ketv. - vyksta darbai.
III ketv. - vyksta darbai pagal poreikį. Lėšas planuojama įsisavinti.
IV ketv. - darbai pabaigti panaudojus skirtas lėšas.</t>
  </si>
  <si>
    <t>Parengtas  tvarkybos darbų aprašas.</t>
  </si>
  <si>
    <t>1,25</t>
  </si>
  <si>
    <t>Priežiūros darbai vykdyti pagal poreikį.</t>
  </si>
  <si>
    <t>1,10</t>
  </si>
  <si>
    <t>0,67</t>
  </si>
  <si>
    <t>Atlikti darbai Tilžės gatvėje.
Pasirašyta sutartis Naikupės ir I. Simonaitytės gatvių šaligatvių remontui, Naikupės gatvėje darbai pradėti, I. Simonaitytės g. šaligatvių remontas bus pradėtas spalio pradžioje. Darbai bus užbaigti šiais metais.
IV ketv. - pabaigti Naikupės g. ir I. Simonaitytės g. šaligatvių paprastojo remonto darbai.</t>
  </si>
  <si>
    <t>Rengiamas teritorijos tvarkymo darbų aprašas.</t>
  </si>
  <si>
    <t>2019-06-27 pasirašyta sutartis dėl 7 įstaigų kiemų dangų remonto.
Baigti Kadetų mokyklos, lopšelių-darželių "Berželis", "Atžalynas", Vaikų globos namų "Smiltelė" aplinkos tvarkymo darbai.
Dėl vykdomų "Žaliakalnio" gimnazijos renovacijos darbų, aplinkos tvarkymo darbai nepradėti, perkelti į 2020 metus. Likusiose įstaigose darbus planuojame pabaigti šiais metais.
IV ketv. Pabaigti darbai L/d   "Želmenėlis", Vitės progimnazijoje, Ąžuolyno gimnazijoje.</t>
  </si>
  <si>
    <t>Iš visų eksploatuojamų 14 miesto tiltų ir viadukų techninė priežiūra nuolat buvo vykdoma 10 tiltų ir viadukų, kadangi remontuojamiems 4 tiltams pagal teisės aktus priežiūra neatliekama.
Biržos tilto kontrasvorių remonto pirkimas pagal parengtą projektą buvo skelbtas 3 kartus, tiekėjai pasiūlymų nepateikė ar pateikta kaina viršijo planuotą sumą. Atliktas lėšų perskirstymas ir pirkimas skelbiamas iš naujo. 2019-09-12 pasirašyta rangos sutartis dėl Biržos tilto kontrasvorių remonto. 
IV-ame ketvirtyje atlikti Biržos tilto paprastojo remonto darbai.</t>
  </si>
  <si>
    <t>1,20</t>
  </si>
  <si>
    <t>2019 m. sumokėta 40 proc. už projektus, projektai bus parengti 2020 m. pradžioje, kadangi susidubliavo du savivaldybės projektai ir reikėjo laukti kol išsispręs situacija.</t>
  </si>
  <si>
    <t>Buvo sustabdytas sutarties vykdymas dėl užsitęsusių geologinių tyrimų. Projektas bus parengtas 2020 m. pradžioje.</t>
  </si>
  <si>
    <t>Techninis projektas pagal 2018-11-12 sutartį Nr.J9-2506 UAB "Atamis", parengtas. IS infostatyba pateiktas ir laukiama statybą leidžiančio dokumento gavimo. Todėl 10 % vertės numatyta apmokėti 2020 metais.</t>
  </si>
  <si>
    <t>*Pagal Klaipėdos miesto savivaldybės administracijos direktoriaus 2019-03-04 įsakymą Nr. AD1-399</t>
  </si>
  <si>
    <t xml:space="preserve">Lyginamasis variantas </t>
  </si>
  <si>
    <r>
      <t>2019 M. KLAIPĖDOS MIESTO SAVIVALDYBĖS ADMINISTRACIJOS</t>
    </r>
    <r>
      <rPr>
        <b/>
        <sz val="12"/>
        <rFont val="Times New Roman"/>
        <family val="1"/>
        <charset val="186"/>
      </rPr>
      <t xml:space="preserve">          </t>
    </r>
  </si>
  <si>
    <t xml:space="preserve"> TIKSLŲ, UŽDAVINIŲ, PRIEMONIŲ, PRIEMONIŲ IŠLAIDŲ IR PRODUKTO KRITERIJŲ SUVESTINĖ</t>
  </si>
  <si>
    <t>Priemonės kodas</t>
  </si>
  <si>
    <t>Papriemonės kodas</t>
  </si>
  <si>
    <t>Vykdytojas (skyrius / asmuo)</t>
  </si>
  <si>
    <t>2019-ųjų metų asignavimų planas</t>
  </si>
  <si>
    <t>Siūlomas keisti 2019-ųjų metų asignavimų planas*</t>
  </si>
  <si>
    <t>Skirtumas</t>
  </si>
  <si>
    <t>Produkto kriterijaus</t>
  </si>
  <si>
    <t>2019-ieji metai</t>
  </si>
  <si>
    <t xml:space="preserve">IED Projektų skyrius </t>
  </si>
  <si>
    <t>Perkeliame KPP lėšas į Tilžės g. nes pasirašyta nauja rangos sutartis su YIT (2019-10-25). Nuo 2019-11-18 planuojama darbų pradžia, šiais metais atliksime: šviesoforo pastatymas ties Tilžės turgumi, apšvietimo įrengimas visoje Tilžės g., dviračio tako įrengimas Tilžės g. nuo Šilutės pl. link geležinkelio pervažos, ištisinio asfalto dangos įrengimas nuo Lidl prekybos centro link Komunarų g.</t>
  </si>
  <si>
    <t>IED Statybos ir infrastruktūros plėtros skyrius</t>
  </si>
  <si>
    <t>05</t>
  </si>
  <si>
    <t>Atliktas gatvių –  Klaipėdos g. (500 m) ir Virkučių g. (1004 m) rekonstravimas. Užbaigtumas, proc.</t>
  </si>
  <si>
    <t>Atliktas gatvių – Slengių g., Lietaus g., Vaivorykštės g., Griaustinio g. ,Arimų g., Vėjo g. (II dalies), Žvaigždžių g. rekonstravimas. Užbaigtumas, proc.</t>
  </si>
  <si>
    <t>Atlikta sankryžos rekonstravimo darbų. Užbaigtumas, proc.</t>
  </si>
  <si>
    <t>LRVB</t>
  </si>
  <si>
    <t>KPP(VIP)</t>
  </si>
  <si>
    <t>Senamiesčio gatvės</t>
  </si>
  <si>
    <t>07</t>
  </si>
  <si>
    <t>Atlikta senamiesčio gatvių atnaujinimo darbų. Užbaigtumas, proc.</t>
  </si>
  <si>
    <t>Naujas tiltas ir gatvių jungtys</t>
  </si>
  <si>
    <t>08</t>
  </si>
  <si>
    <t>Atlikta naujo tilto statybos ir Bastiono gatvės (I etapo) rekonstravimo darbų. Užbaigtumas, proc.</t>
  </si>
  <si>
    <t>09</t>
  </si>
  <si>
    <t>Parengtas  techninis projektas (ruožas nuo Laivų skersgatvio iki Artojų g.), vnt.</t>
  </si>
  <si>
    <t>10</t>
  </si>
  <si>
    <t>Joniškės g. ir Šienpjovių objekte darbai dėl orų salygų nevyksta kaip planuota, atsiliekama pagal vykdymo grafiką, nebeįsisavinsime planuotas lėšas ir liks nepanaudota lėšų, todėl dalį jų perkeliame į Tilžės objektą.</t>
  </si>
  <si>
    <t>11</t>
  </si>
  <si>
    <t>12</t>
  </si>
  <si>
    <t>Atlikta rekonstravimo darbų. Užbaigtumas, proc.</t>
  </si>
  <si>
    <t>13</t>
  </si>
  <si>
    <t>14</t>
  </si>
  <si>
    <t>15</t>
  </si>
  <si>
    <t>16</t>
  </si>
  <si>
    <t>Įrengtas naujas žvejų laivams skirtas slipas (aikštelė, skirta valtims nuleisti ir ištraukti iš vandens). Užbaigtumas, proc.</t>
  </si>
  <si>
    <t>17</t>
  </si>
  <si>
    <t>18</t>
  </si>
  <si>
    <t>19</t>
  </si>
  <si>
    <t>Centrinės miesto dalies gatvių tinklo modernizavimas:</t>
  </si>
  <si>
    <t>2.1.2.11</t>
  </si>
  <si>
    <t>SB*</t>
  </si>
  <si>
    <t xml:space="preserve">Parengtas techninis projektas (2019 m. – Žvejų g., Teatro g., Sukilėlių g., Daržų g., Aukštoji g., Didžioji Vandens g., Vežėjų g., 2020 m. – Tomo ir Pylimo g.), vnt. </t>
  </si>
  <si>
    <r>
      <t xml:space="preserve">P2.1.2.7-8, </t>
    </r>
    <r>
      <rPr>
        <b/>
        <strike/>
        <sz val="9"/>
        <rFont val="Cambria"/>
        <family val="1"/>
        <charset val="186"/>
      </rPr>
      <t>P2</t>
    </r>
  </si>
  <si>
    <t>*SB(ŽPL)</t>
  </si>
  <si>
    <t>SB(KPP)*</t>
  </si>
  <si>
    <t>KVJUD*</t>
  </si>
  <si>
    <t>SB(ŽPL)*</t>
  </si>
  <si>
    <t>SB(L)*</t>
  </si>
  <si>
    <t xml:space="preserve">Parengtas rekonstravimo techninis projektas (ruožas nuo Atgimimo aikštės iki Laivų skersgatvio), vnt. </t>
  </si>
  <si>
    <t>Kt*</t>
  </si>
  <si>
    <t>Šiaurinės miesto dalies gatvių tinklo modernizavimas:</t>
  </si>
  <si>
    <t>2.1.2.13</t>
  </si>
  <si>
    <t>30   0</t>
  </si>
  <si>
    <t>Šiaurės ir pietų transporto koridorių gatvių tinklo modernizavimas:</t>
  </si>
  <si>
    <t>2.1.2.12</t>
  </si>
  <si>
    <t>SB(ES)*</t>
  </si>
  <si>
    <r>
      <rPr>
        <b/>
        <strike/>
        <sz val="10"/>
        <rFont val="Cambria"/>
        <family val="1"/>
        <charset val="186"/>
      </rPr>
      <t xml:space="preserve">I etapas. </t>
    </r>
    <r>
      <rPr>
        <strike/>
        <sz val="10"/>
        <rFont val="Cambria"/>
        <family val="1"/>
        <charset val="186"/>
      </rPr>
      <t>Tilžės g. nuo Šilutės pl. iki geležinkelio pervažos rekonstravimas</t>
    </r>
  </si>
  <si>
    <r>
      <rPr>
        <b/>
        <strike/>
        <sz val="10"/>
        <rFont val="Cambria"/>
        <family val="1"/>
        <charset val="186"/>
      </rPr>
      <t>II etapas.</t>
    </r>
    <r>
      <rPr>
        <strike/>
        <sz val="10"/>
        <rFont val="Cambria"/>
        <family val="1"/>
        <charset val="186"/>
      </rPr>
      <t xml:space="preserve"> Žiedinės Tilžės g., Mokyklos g. ir Šilutės pl. sankryžos pertvarkymas į šviesoforinę </t>
    </r>
  </si>
  <si>
    <t>IED    Statybos ir infrastruktūros plėtros skyrius</t>
  </si>
  <si>
    <t>Pajūrio rekreacinių teritorijų gatvių tinklo modernizavimas:</t>
  </si>
  <si>
    <t>2.1.2.15</t>
  </si>
  <si>
    <t>IED     Statybos ir infrastruktūros plėtros skyrius</t>
  </si>
  <si>
    <t>Rytų ir vakarų krypties gatvių tinklo modernizavimas:</t>
  </si>
  <si>
    <t>2.1.2.14</t>
  </si>
  <si>
    <t xml:space="preserve">IED Statybos ir infrastruk. plėtros sk. </t>
  </si>
  <si>
    <t>I, P6</t>
  </si>
  <si>
    <t>Bendri KVJUD ir miesto projektai:</t>
  </si>
  <si>
    <t>2.1.2.2</t>
  </si>
  <si>
    <t xml:space="preserve">IED    Statybos ir infrastruktūros plėtros </t>
  </si>
  <si>
    <t>Parengiamieji darbai įgyvendinat gatvių rekonstrukcijos projektus:</t>
  </si>
  <si>
    <t>Topografinių nuotraukų, išpildomųjų geodezinių nuotraukų įsigijimas, statinių projektų ekspertizių bei kitos inžinerinės paslaugos</t>
  </si>
  <si>
    <t>MŪD Transporto skyrius</t>
  </si>
  <si>
    <t>Kompensuota bilietų pradinių klasių moksleiviams, tūkst. vnt.</t>
  </si>
  <si>
    <t>22,0</t>
  </si>
  <si>
    <t>Maršrutas, kuriais važinės du elektra varomi autobusai</t>
  </si>
  <si>
    <t xml:space="preserve"> Miesto tvarkymo skyrius</t>
  </si>
  <si>
    <t>IED  Statybos ir infrastruktūros plėtros skyrius</t>
  </si>
  <si>
    <t>FTD Turto skyrius</t>
  </si>
  <si>
    <t>Padidintas UAB „Klaipėdos autobusų parkas" įstatinis kapitalas, proc.</t>
  </si>
  <si>
    <t>MŪD Miesto tvarkymo skyrius</t>
  </si>
  <si>
    <t>Naujai įrengta šviesoforų (Baltijos prospekte atkarpoje tarp Šilutės pl. ir Taikos pr., Šilutės pl. prie AB „Klaipėdos energija“, Taikos pr. ties Žvejų rūmais), vnt., Tilžės g. ir Sausio 15-osios g. sankryžoje), vnt.</t>
  </si>
  <si>
    <t>MŪD Transporto sk.</t>
  </si>
  <si>
    <t>Viešosios tvarkos skyrius</t>
  </si>
  <si>
    <t>IED Projektų skyrius</t>
  </si>
  <si>
    <t>Įgyvendintas projekto I etapas, vnt.</t>
  </si>
  <si>
    <t>Įgyvendintas projekto II etapas, vnt.</t>
  </si>
  <si>
    <t>MŪD  Transporto sk.</t>
  </si>
  <si>
    <t>MŪD Miesto tvarkymo sk.</t>
  </si>
  <si>
    <t>2019 m.</t>
  </si>
  <si>
    <t xml:space="preserve">0,15  </t>
  </si>
  <si>
    <r>
      <rPr>
        <strike/>
        <sz val="10"/>
        <color rgb="FFFF0000"/>
        <rFont val="Times New Roman"/>
        <family val="1"/>
        <charset val="186"/>
      </rPr>
      <t xml:space="preserve">4,5  </t>
    </r>
    <r>
      <rPr>
        <sz val="10"/>
        <color rgb="FFFF0000"/>
        <rFont val="Times New Roman"/>
        <family val="1"/>
        <charset val="186"/>
      </rPr>
      <t xml:space="preserve">       5,3</t>
    </r>
  </si>
  <si>
    <t>Bus atlikta daugiau darbų pagal paskaičiavimus (rengimo medziagoje)</t>
  </si>
  <si>
    <t xml:space="preserve">Šaligatvių paprastajam remontui planuota buvo dalis Kelių direkcijos lėšų, dalis savivaldybės biudžeto lėšų, tačiau po viešųjų pirkimų pagal pasirašytas sutartis mažiau reikės savivaldybės biudžeto lėšų. </t>
  </si>
  <si>
    <t xml:space="preserve">0,66 </t>
  </si>
  <si>
    <t xml:space="preserve">1,1  </t>
  </si>
  <si>
    <t>Parengtas S. Nėries gatvės šaligatvių kompleksiško atnaujinimo projektas</t>
  </si>
  <si>
    <t>Sutaupyta po viešųjų pirkimų</t>
  </si>
  <si>
    <t>Atlikta kelio atnaujinimo darbų. Užbaigtumas, proc.</t>
  </si>
  <si>
    <t>IED Statybos ir infrastruktūros plėtros sk.</t>
  </si>
  <si>
    <t xml:space="preserve">* Pagal Klaipėdos miesto savivaldybės tarybos 2019-10-24 sprendimą T2-293
</t>
  </si>
  <si>
    <t>_________________________________</t>
  </si>
  <si>
    <t>5,3</t>
  </si>
  <si>
    <t xml:space="preserve">**Pagal Klaipėdos miesto savivaldybės administracijos direktoriaus 2019-11-25 įsakymą Nr. AD1-1434 </t>
  </si>
  <si>
    <t xml:space="preserve">Kriterijaus reikšmė pasiekta iš dalies, techninis projektas rengiamas,  gautas teigiamas projekto ekspertizės aktas, statybos leidimą planuojama gauti 2020 m. I ketv.  </t>
  </si>
  <si>
    <t>0,9</t>
  </si>
  <si>
    <t>Darbai vyko pagal planą, atlikta 10 proc. darbų. Rangos darbų sutartis pasirašyta 2019-08-06. Projekto pabaiga – 2021 m.</t>
  </si>
  <si>
    <t>6,6</t>
  </si>
  <si>
    <t>Parengtos viešųjų pirkimų sąlygos, darbai bus tęsiami 2020 m.</t>
  </si>
  <si>
    <t>Darbai vyksta pagal planą, atlikta 70 proc. darbų. Pabaiga – 2020 m.</t>
  </si>
  <si>
    <t>Padidintas UAB „Klaipėdos autobusų parkas“ įstatinis kapitalas, proc.</t>
  </si>
  <si>
    <t>Įrengti 5 nauji šviesoforai</t>
  </si>
  <si>
    <t>Darbai vyksta pagal planą, parengtas techninis projektas, vyko rangos darbų pirkimas. Projekto pabaiga – 2020 m.</t>
  </si>
  <si>
    <t>0,1</t>
  </si>
  <si>
    <t>1,7</t>
  </si>
  <si>
    <t>Atlikti šaligatvių paprastojo remonto darbai gatvėse – Tilžės g., Naikupės g. ir I. Simonaitytės g.</t>
  </si>
  <si>
    <t>7</t>
  </si>
  <si>
    <r>
      <rPr>
        <b/>
        <sz val="12"/>
        <rFont val="Times New Roman"/>
        <family val="1"/>
        <charset val="186"/>
      </rPr>
      <t xml:space="preserve">Iš 2019 m. </t>
    </r>
    <r>
      <rPr>
        <sz val="12"/>
        <rFont val="Times New Roman"/>
        <family val="1"/>
        <charset val="186"/>
      </rPr>
      <t xml:space="preserve">planuotų įvykdyti 52 priemonių ir papriemonių (kurioms patvirtinti /skirti asignavimai): </t>
    </r>
  </si>
  <si>
    <t>(nepasiekta planuota reikšmė)</t>
  </si>
  <si>
    <t>Rodiklis nepasiektas dėl rangovo bankroto. 2019-06-25 vienašališkai nutraukta sutartis ir  buvo vykdomas naujas rangos darbų pirkimas. Sutartis su nauju rangovu pasirašyta 2019-10-25, darbai pradėti vykdyti lapkričio mėn. Atlikta 20 proc. darbų.</t>
  </si>
  <si>
    <t>Kompensuota pagal faktą.</t>
  </si>
  <si>
    <t xml:space="preserve">Papildyti 2435 bilietai.
</t>
  </si>
  <si>
    <t>Subsidijuoti visi planuoti maršrutai.</t>
  </si>
  <si>
    <t>Paženklinta 9094,95 kv. m gatvių.</t>
  </si>
  <si>
    <t xml:space="preserve">Eksploatuojamos 7 elektromobilių įkrovimo stotelės;
4 elektromobilių įkrovimo stotelės neveikė, nes vyko eksploatavimo paslaugos perdavimo procedūros.
</t>
  </si>
  <si>
    <t>Buvo vykdomi akmens grindinio priežiūros darbai ir senamiesčio dangų pritaikymas neįgaliesiems.</t>
  </si>
  <si>
    <t xml:space="preserve">
</t>
  </si>
  <si>
    <t>Atlikta 90 proc. darbų, projektas derinamas Informacinėje sistemoje (IS) „Infostatyba“.</t>
  </si>
  <si>
    <t>Techninis projektas parengtas ir pateiktas derinti IS „Infostatyba“. 10 proc. sutarties vertės bus apmokėta 2020 m.</t>
  </si>
  <si>
    <t>Kriterijaus reikšmė įvykdyta iš dalies.</t>
  </si>
  <si>
    <t>Savivaldybės tarybos 2019-10-24 sprendimu Nr. T2-293 buvo pakeista kriterijaus reikšmė, kadangi   nutraukta sutartis su rangovu dėl sutartinių įsipareigojimų nevykdymo.</t>
  </si>
  <si>
    <t>Kriterijaus reikšmė pasiekta iš dalies.</t>
  </si>
  <si>
    <t xml:space="preserve">
 </t>
  </si>
  <si>
    <t>Rengiama poveikio aplinkai vertinimo (toliau – PAV) ataskaita. 2019 m. parengta PAV programa, kuri buvo patvirtinta Aplinkos apsaugos agentūroje. Ataskaita bus parengta 2020 m.</t>
  </si>
  <si>
    <t>Kriterijaus reikšmė nepasiekta.</t>
  </si>
  <si>
    <t>Techninių projektų parengti nebuvo galima, kol nebus parengta ir patvirtinta PAV ataskaita.</t>
  </si>
  <si>
    <t>Techninis projektas parengtas, gautas statybą leidžiantis dokumentas. Rangos darbų pirkimą vykdo Lietuvos automobilių kelių direkcija prie Susisiekimo ministerijos. Rangos darbų pradžia numatoma 2020 m. kovo mėnesį. Projekto pabaiga – 2022 m.</t>
  </si>
  <si>
    <t>Bandymai yra atliekami pagal poreikį.</t>
  </si>
  <si>
    <t xml:space="preserve">Įrengtos stotelės su įvažomis:
1. Vasaros estrados (pietų ir šiaurės kryptys);
2. Rumpiškės;
3. Kooperacijos; 
4. Juodkrantės; 
5. Naikupės; 
6. Šilutės; 
7. Minijos; 
8. Aula Magna.
</t>
  </si>
  <si>
    <t>Įsigyti suslėgtomis gamtinėmis dujomis varomi miesto tipo autobusai.</t>
  </si>
  <si>
    <t xml:space="preserve">Viešųjų pirkimas konkursas skelbtas 2 kartus, tačiau dalyvių neatsirado. Padidinus projekto kainą,  pirkimas skelbiamas trečią kartą. Darbai bus tęsiami  2020 m. </t>
  </si>
  <si>
    <t>Įrengtos 3 stotelės, 6 prieigos:
Taikos pr. 80 (2 vnt.);
Jūrininkų pr. 16 (2 vnt.);
S. Nėries g. 16A (2 vnt.);
Savivaldybė 5 metus po stotelių įrengimo užtikrins nemokamą elektromobilių įkrovimo paslaugos teikimą.</t>
  </si>
  <si>
    <t xml:space="preserve">Projekto veiklos pradėtos, bus tęsiamos 2020 m. </t>
  </si>
  <si>
    <t>Kriterijaus reikšmė nepasiekta</t>
  </si>
  <si>
    <t xml:space="preserve">Savivaldybės tarybos 2019-10-24 sprendimu Nr. T2-293 lėšos ir vertinimo kriterijaus reikšmė buvo pakeisti, planuojant darbus 2020 m. </t>
  </si>
  <si>
    <t>Rengiamas techninis projektas.</t>
  </si>
  <si>
    <t xml:space="preserve">Atliktas remontas šiose gatvėse – Šermukšnių g., Jurginų g., Šilutės pl. ir Gedminų g. </t>
  </si>
  <si>
    <t xml:space="preserve">Jūrininkų prospekto ruožo nuo Šilutės pl. iki Minijos g. rekonstrukcija </t>
  </si>
  <si>
    <r>
      <t>Įvažos pratęsimo autobusų stotelėje Naujojo turgaus stotelėje įrengimas (</t>
    </r>
    <r>
      <rPr>
        <i/>
        <sz val="10"/>
        <rFont val="Times New Roman"/>
        <family val="1"/>
        <charset val="186"/>
      </rPr>
      <t>kryptis į pietinę miesto dalį</t>
    </r>
    <r>
      <rPr>
        <sz val="10"/>
        <rFont val="Times New Roman"/>
        <family val="1"/>
        <charset val="186"/>
      </rPr>
      <t xml:space="preserve">)  </t>
    </r>
  </si>
  <si>
    <t>Šilutės pl. (labiausiai pažeisti ruožai, įvažos);</t>
  </si>
  <si>
    <t>Smiltelės g. (ruožas nuo Taikos pr. iki Minijos g.);</t>
  </si>
  <si>
    <t>Vytauto g. (ruožas nuo S. Šimkaus g. iki Puodžių g.);</t>
  </si>
  <si>
    <t>H. Manto g. (labiausiai pažeisti ruožai, įvažos);</t>
  </si>
  <si>
    <t xml:space="preserve">Šalia Klaipėdos Simono Dacho progimnazijos esančio Jūrininkų tako prailginimas </t>
  </si>
  <si>
    <t>Įvažiuojamųjų kelių atnaujinimas:</t>
  </si>
  <si>
    <t>Įvažiuojamojo kelio ir šalia esančio skvero į Taikos pr. 109 ;</t>
  </si>
  <si>
    <t>Įvažiuojamojo kelio į Taikos pr. 101;</t>
  </si>
  <si>
    <t>Įvažiuojamojo kelio  į Debreceno g. 61</t>
  </si>
  <si>
    <t>S. Daukanto gatvės rekonstravimas nuo H. Manto iki Naujosios Uosto g.</t>
  </si>
  <si>
    <r>
      <t xml:space="preserve">Europos Sąjungos paramos lėšos, kurios įtrauktos į savivaldybės biudžetą </t>
    </r>
    <r>
      <rPr>
        <b/>
        <sz val="10"/>
        <rFont val="Times New Roman"/>
        <family val="1"/>
        <charset val="186"/>
      </rPr>
      <t>SB(ES)</t>
    </r>
  </si>
  <si>
    <t>______________________________________</t>
  </si>
  <si>
    <t xml:space="preserve">
(2018 m. duomenys, vėlesni duomenys dar neskelbiami.)
</t>
  </si>
  <si>
    <t>Atlikta Pamario g. (4400 m) rekonstravimo darbų (II–IV etapai). Užbaigtumas, proc.</t>
  </si>
  <si>
    <t>Atlikta prospekto ruožo rekonstravimo darbų.  Užbaigtumas, proc.</t>
  </si>
  <si>
    <t>Didžioji dalis darbų atlikta. Likę darbai neatlikti, kadangi rekonstravimo metu buvo rasta archeologinių radinių, nebuvo iškeltas Baltijos laivų statyklos dujotiekis, reikėjo utilizuoti gamyklos teritorijoje rastas kuro talpyklas. Šie faktoriai trukdė laiku įvykdyti darbus. Atlikta 75 proc. darbų, pabaiga – 2020 m.</t>
  </si>
  <si>
    <t>Kriterijaus reikšmė nepasiekta, nes buvo nutraukta projektavimo paslaugų sutartis dėl rangovo bankroto. Nuspręsta projekto užbaigimo ir rangos darbus pirkti kartu. 2019-08-14 viešojo pirkimo konkursas neįvyko dėl per didelės pasiūlytos kainos. Po įvykusių  pakartotinių viešųjų pirkimų sutartis pasirašyta 2019-11-05. Projekto pabaiga – 2021 m.</t>
  </si>
  <si>
    <t xml:space="preserve">Parengtas techninis projektas (2019 m. - Žvejų g., Teatro g., Sukilėlių g., Daržų g., Aukštoji g., Didžioji Vandens g., Vežėjų g., 2020 m. – Tomo ir Pylimo g.), vnt. </t>
  </si>
  <si>
    <t xml:space="preserve">Darbai vyksta pagal planą. Atlikta 50 proc. techninio projekto parengimo darbų.
Nuo 2019-09-02 projektavimo sutartis buvo sustabdyta, kol bus gauti gyventojų sutikimai dėl apšvietimo įrengimo ant pastatų.
Sutarties vykdymas tęsiamas.
Nebuvo pradėti  rengti Tomo ir Pylimo gatvių techniniai projektai, kol nebuvo baigti Jono kalnelio tvarkymo darbai ir nebuvo priimta sprendimo dėl Šv. Jono bažnyčios atstatymo.
</t>
  </si>
  <si>
    <t xml:space="preserve">Požeminių perėjų techniniai projektai yra parengti:
Šilutės pl. 62 – baigtas (gautas statybos leidimas);
Šilutės pl. 48 yra derinamas infostatyba.lt.
</t>
  </si>
  <si>
    <t xml:space="preserve">Kriterijaus reikšmė nepasiekta. Siekiant parengti techninį projektą, reikia pakeisti specialųjį planą (toliau – SP). </t>
  </si>
  <si>
    <t xml:space="preserve">Buvo teiktas siūlymas Lietuvos Respublikos aplinkos ministerijai dėl Pajūrio juostos žemyninės dalies SP koregavimo – siūlyta pakeisti Klaipėdos miesto ir rajono savivaldybių privažiavimo prie jūros ribą, ją perkeliant arčiau į Girulius, kur šiuo metu naudojasi žvejybos įmonės ir žvejai. 
Taip pat paprašyta sprendinį, kuriame nurodomos vietos galimoms žvejų prieplaukoms, papildyti Klaipėdos miesto rekreaciniu ruožu. 
Į prašymus dėl SP papildymo naujais sprendiniais buvo atsižvelgta ir patvirtinta Lietuvos Respublikos žemės ūkio ministro 2019-06-28 įsakymu Nr. 3D-392.
Norėdama gauti ES paramą, savivaldybė teisėtais pagrindais turi valdyti iškrovimo vietą, kurioje numatoma atlikti investicijas, t. y. žemė turi priklausyti savivaldybei. Būtina atlikti žemės perdavimo  naudotis savivaldybei procedūras (arba sudaryti panaudos sutartį, arba nustatyti servitutą). Kol nebus atliktos šios procedūros, nėra galimybės organizuoti projektavimo darbus.
</t>
  </si>
  <si>
    <t xml:space="preserve">Darbai vyksta pagal planą, pradėtas rengti techninis projektas. Darbai bus tęsiami 2020 m. </t>
  </si>
  <si>
    <t>Kompensuota bilietų pradinių (1–4) klasių moksleivaims, tūkst. vnt.</t>
  </si>
  <si>
    <t xml:space="preserve">Lengvatos buvo taikomos:                                             1. Lietuvos valstybės atkūrimo dieną, 2019 m. vasario 16 d.;
2. Klaipėdos šviesų festivalio metu, 2019 m. vasario 17 d.;
3. Lietuvos vaikų ir jaunimo dainų šventė „Mes Lietuvos vaikai“, 2019 m. birželio 14–16 d. (renginio dalyviams);
4. Tarptautinio nematerialiojo paveldo festivalis „Lauksnos“, 2019 m. liepos 11–14 d.  (renginio dalyviams);
5. Jūros šventės metu, 2019 m. liepos 26–28 d.;
6. Dieną be automobilio, 2019 m. rugsėjo 20 d.
</t>
  </si>
  <si>
    <t>Maršruto Klaipėdos autobusų stotis–Palangos oro uostas kursavimas</t>
  </si>
  <si>
    <t>Vienos švieslentės įrengimo kaina buvo didesnė, nei planuota, todėl įsigyta viena švieslente mažiau.</t>
  </si>
  <si>
    <t xml:space="preserve">Iš viso mieste eksploatuota 15,2 tūkst. eismo reguliavimo priemonių. 
Pagal poreikį buvo naujai įrengti ir suremontuoti:
705 kelio ženklai;
43 apsauginės  tvorelės (I. Simonaitytės g., Baltijos pr., Kauno g., Panevėžio g., H. Manto g.);
iškilioji pėsčiųjų perėja Kooperacijos g.;
180 metrų sijinių atitvarų Taikos pr. (link Kairių g) ties PC „Banginis“.
</t>
  </si>
  <si>
    <t xml:space="preserve">Priemonė vykdoma pagal planą, įrengti 107 dekoratyviniai stovai – Naujojo Sodo g., Naujojoje Uosto g., Vytauto g., Šaulių g., Liepų g. Pievų Tako g. </t>
  </si>
  <si>
    <t>Įrengta kintamos informacijos ženklų Prano Lideikio g. Užbaigtumas, proc.</t>
  </si>
  <si>
    <t>Naujai įrengta šviesoforų (Baltijos prospekto ruože tarp Šilutės pl. ir Taikos pr., Šilutės pl. prie AB „Klaipėdos energija“, Taikos pr. ties Žvejų rūmais, Tilžės g. ir Sausio 15-osios g. sankryžoje), vnt.</t>
  </si>
  <si>
    <t xml:space="preserve">Perėjos, kuriose įrengtas kryptinis apšvietimas:
1. Taikos pr. 122, 
2. Naikupės g. 21, 
3. Naikupės g. –Taikos pr., 
4. Bangų g. 14, 
5. Bangų g.–Joniškės g., 
6. Kauno g. 35, 
7. Kauno g. 25, 
8. J. Janonio g. 10, 
9. Debreceno g. 54A, 
10. Debreceno g.–Taikos pr., 
11. Mogiliovo g. 6, 
12. Mogiliovo g. 2, 
13. Mogiliovo g. šalia Brožynų g.
</t>
  </si>
  <si>
    <t>Buvo parengta perspektyvinių naujų viešojo transporto rūšių diegimo mieste galimybių studija. 2020 m. sausį pristatyta Savivaldybės tarybos kolegijoje. Sutartis su paslaugos teikėjais buvo sustabdyta, kol bus priimtas politinis sprendimas dėl siūlomų viešojo transporto vystymo alternatyvų pasirinkimo, todėl lėšos nebuvo panaudotos.</t>
  </si>
  <si>
    <t xml:space="preserve">Įstaigos:
1. Jūrų kadetų mokykla;
2. lopšelis-darželis „Berželis“;
3. lopšelis-darželis „Atžalynas“;
4. lopšelis-darželis „Želmenėlis“,
5. Vaikų globos namai „Smiltelė“;
6. Vitės progimnazija;
7. „Ąžuolyno“ gimnazija.
„Žaliakalnio“ gimnazijos aplinkos tvarkymo darbai nepradėti dėl renovacijos darbų, perkelti į 2020 metus.
</t>
  </si>
  <si>
    <t>Nuolat vykdoma 10 tiltų ir viadukų priežiūra;
4 tiltai remontuojami (priežiūra neatliekama).
Buvo atlikti  Biržos tilto kontrasvorių paprastojo remonto darbai.</t>
  </si>
  <si>
    <t>Atlikta  40 proc. projektavimo darbų. Projektų parengimas tęsiamas 2020 m. Remonto darbai planuojami 2021 m. ir 2022 m.</t>
  </si>
  <si>
    <t xml:space="preserve">Klaipėdos miesto savivaldybės 2019–2021 m. 
strateginio veiklos plano įgyvendinimo        
</t>
  </si>
  <si>
    <t xml:space="preserve"> 2019 m. ataskaitos dalis</t>
  </si>
  <si>
    <t>Asignavimai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</si>
</sst>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L_t_-;\-* #,##0.00\ _L_t_-;_-* &quot;-&quot;??\ _L_t_-;_-@_-"/>
    <numFmt numFmtId="165" formatCode="0.0"/>
    <numFmt numFmtId="166" formatCode="#,##0.0"/>
    <numFmt numFmtId="167" formatCode="[$-409]General"/>
    <numFmt numFmtId="168" formatCode="[$-10427]#,##0.00;\-#,##0.00;&quot;&quot;"/>
    <numFmt numFmtId="169" formatCode="#,##0.00_ ;\-#,##0.00\ "/>
  </numFmts>
  <fonts count="54" x14ac:knownFonts="1">
    <font>
      <sz val="10"/>
      <name val="Arial"/>
      <charset val="186"/>
    </font>
    <font>
      <sz val="8"/>
      <name val="Times New Roman"/>
      <family val="1"/>
      <charset val="186"/>
    </font>
    <font>
      <sz val="10"/>
      <name val="Times New Roman"/>
      <family val="1"/>
      <charset val="186"/>
    </font>
    <font>
      <b/>
      <sz val="10"/>
      <name val="Times New Roman"/>
      <family val="1"/>
      <charset val="186"/>
    </font>
    <font>
      <b/>
      <sz val="8"/>
      <name val="Times New Roman"/>
      <family val="1"/>
      <charset val="186"/>
    </font>
    <font>
      <b/>
      <sz val="10"/>
      <name val="Times New Roman"/>
      <family val="1"/>
      <charset val="204"/>
    </font>
    <font>
      <sz val="9"/>
      <name val="Times New Roman"/>
      <family val="1"/>
      <charset val="186"/>
    </font>
    <font>
      <sz val="10"/>
      <name val="Arial"/>
      <family val="2"/>
      <charset val="186"/>
    </font>
    <font>
      <sz val="9"/>
      <color indexed="81"/>
      <name val="Tahoma"/>
      <family val="2"/>
      <charset val="186"/>
    </font>
    <font>
      <b/>
      <sz val="9"/>
      <color indexed="81"/>
      <name val="Tahoma"/>
      <family val="2"/>
      <charset val="186"/>
    </font>
    <font>
      <b/>
      <sz val="9"/>
      <name val="Times New Roman"/>
      <family val="1"/>
      <charset val="186"/>
    </font>
    <font>
      <sz val="7"/>
      <name val="Times New Roman"/>
      <family val="1"/>
      <charset val="186"/>
    </font>
    <font>
      <sz val="7"/>
      <name val="Arial"/>
      <family val="2"/>
      <charset val="186"/>
    </font>
    <font>
      <i/>
      <sz val="10"/>
      <name val="Times New Roman"/>
      <family val="1"/>
      <charset val="186"/>
    </font>
    <font>
      <b/>
      <sz val="11"/>
      <name val="Times New Roman"/>
      <family val="1"/>
      <charset val="186"/>
    </font>
    <font>
      <b/>
      <i/>
      <sz val="10"/>
      <name val="Times New Roman"/>
      <family val="1"/>
      <charset val="186"/>
    </font>
    <font>
      <b/>
      <sz val="12"/>
      <name val="Times New Roman"/>
      <family val="1"/>
      <charset val="186"/>
    </font>
    <font>
      <sz val="12"/>
      <name val="Times New Roman"/>
      <family val="1"/>
      <charset val="186"/>
    </font>
    <font>
      <b/>
      <sz val="10"/>
      <name val="Times New Roman"/>
      <family val="1"/>
    </font>
    <font>
      <sz val="10"/>
      <name val="Times New Roman"/>
      <family val="1"/>
    </font>
    <font>
      <sz val="11"/>
      <name val="Times New Roman"/>
      <family val="1"/>
    </font>
    <font>
      <sz val="8"/>
      <color indexed="81"/>
      <name val="Tahoma"/>
      <family val="2"/>
      <charset val="186"/>
    </font>
    <font>
      <sz val="11"/>
      <color rgb="FF000000"/>
      <name val="Calibri"/>
      <family val="2"/>
      <charset val="186"/>
    </font>
    <font>
      <b/>
      <sz val="8"/>
      <color indexed="81"/>
      <name val="Tahoma"/>
      <family val="2"/>
      <charset val="186"/>
    </font>
    <font>
      <b/>
      <sz val="9"/>
      <color rgb="FF000000"/>
      <name val="times New Roman"/>
      <family val="2"/>
    </font>
    <font>
      <b/>
      <sz val="9"/>
      <color rgb="FF000000"/>
      <name val="Calibri"/>
      <family val="2"/>
    </font>
    <font>
      <sz val="8"/>
      <color rgb="FF000000"/>
      <name val="Arial"/>
      <family val="2"/>
    </font>
    <font>
      <b/>
      <sz val="8"/>
      <color rgb="FF000000"/>
      <name val="Arial"/>
      <family val="2"/>
    </font>
    <font>
      <sz val="11"/>
      <name val="Calibri"/>
      <family val="2"/>
      <charset val="186"/>
      <scheme val="minor"/>
    </font>
    <font>
      <b/>
      <i/>
      <sz val="11"/>
      <name val="Times New Roman"/>
      <family val="1"/>
      <charset val="186"/>
    </font>
    <font>
      <b/>
      <i/>
      <sz val="11"/>
      <name val="Arial"/>
      <family val="2"/>
      <charset val="186"/>
    </font>
    <font>
      <sz val="11"/>
      <name val="Times New Roman"/>
      <family val="1"/>
      <charset val="186"/>
    </font>
    <font>
      <sz val="12"/>
      <name val="Arial"/>
      <family val="2"/>
      <charset val="186"/>
    </font>
    <font>
      <sz val="10"/>
      <color rgb="FFFF0000"/>
      <name val="Times New Roman"/>
      <family val="1"/>
      <charset val="186"/>
    </font>
    <font>
      <b/>
      <strike/>
      <sz val="10"/>
      <name val="Cambria"/>
      <family val="1"/>
      <charset val="186"/>
    </font>
    <font>
      <b/>
      <strike/>
      <u/>
      <sz val="10"/>
      <name val="Cambria"/>
      <family val="1"/>
      <charset val="186"/>
    </font>
    <font>
      <b/>
      <strike/>
      <sz val="8"/>
      <name val="Cambria"/>
      <family val="1"/>
      <charset val="186"/>
    </font>
    <font>
      <strike/>
      <sz val="10"/>
      <name val="Cambria"/>
      <family val="1"/>
      <charset val="186"/>
    </font>
    <font>
      <b/>
      <strike/>
      <sz val="9"/>
      <name val="Cambria"/>
      <family val="1"/>
      <charset val="186"/>
    </font>
    <font>
      <strike/>
      <sz val="9"/>
      <name val="Cambria"/>
      <family val="1"/>
      <charset val="186"/>
    </font>
    <font>
      <i/>
      <strike/>
      <sz val="10"/>
      <name val="Cambria"/>
      <family val="1"/>
      <charset val="186"/>
    </font>
    <font>
      <strike/>
      <sz val="7"/>
      <name val="Cambria"/>
      <family val="1"/>
      <charset val="186"/>
    </font>
    <font>
      <b/>
      <sz val="10"/>
      <color rgb="FFFF0000"/>
      <name val="Times New Roman"/>
      <family val="1"/>
      <charset val="186"/>
    </font>
    <font>
      <sz val="9"/>
      <color rgb="FFFF0000"/>
      <name val="Times New Roman"/>
      <family val="1"/>
      <charset val="186"/>
    </font>
    <font>
      <strike/>
      <sz val="10"/>
      <name val="Times New Roman"/>
      <family val="1"/>
      <charset val="186"/>
    </font>
    <font>
      <strike/>
      <sz val="10"/>
      <color rgb="FFFF0000"/>
      <name val="Times New Roman"/>
      <family val="1"/>
      <charset val="186"/>
    </font>
    <font>
      <sz val="10"/>
      <name val="Calibri"/>
      <family val="2"/>
      <charset val="186"/>
      <scheme val="minor"/>
    </font>
    <font>
      <b/>
      <sz val="10"/>
      <color indexed="81"/>
      <name val="Tahoma"/>
      <family val="2"/>
      <charset val="186"/>
    </font>
    <font>
      <sz val="10"/>
      <color indexed="81"/>
      <name val="Tahoma"/>
      <family val="2"/>
      <charset val="186"/>
    </font>
    <font>
      <b/>
      <sz val="9"/>
      <color rgb="FF000000"/>
      <name val="Arial"/>
      <family val="2"/>
    </font>
    <font>
      <sz val="9"/>
      <color rgb="FF000000"/>
      <name val="Arial"/>
      <family val="2"/>
    </font>
    <font>
      <sz val="9"/>
      <name val="Arial"/>
      <family val="2"/>
      <charset val="186"/>
    </font>
    <font>
      <sz val="8"/>
      <color rgb="FFFF0000"/>
      <name val="Arial"/>
      <family val="2"/>
    </font>
    <font>
      <sz val="8"/>
      <name val="Arial"/>
      <family val="2"/>
      <charset val="186"/>
    </font>
  </fonts>
  <fills count="1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
      <patternFill patternType="solid">
        <fgColor rgb="FFFFFFFF"/>
        <bgColor indexed="64"/>
      </patternFill>
    </fill>
    <fill>
      <patternFill patternType="solid">
        <fgColor theme="4"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right/>
      <top/>
      <bottom style="hair">
        <color indexed="64"/>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thin">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164" fontId="7" fillId="0" borderId="0" applyFont="0" applyFill="0" applyBorder="0" applyAlignment="0" applyProtection="0"/>
    <xf numFmtId="0" fontId="7" fillId="0" borderId="0"/>
    <xf numFmtId="167" fontId="22" fillId="0" borderId="0" applyBorder="0" applyProtection="0"/>
  </cellStyleXfs>
  <cellXfs count="1737">
    <xf numFmtId="0" fontId="0" fillId="0" borderId="0" xfId="0"/>
    <xf numFmtId="0" fontId="2" fillId="0" borderId="0" xfId="0" applyFont="1" applyBorder="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Fill="1" applyAlignment="1">
      <alignment vertical="top"/>
    </xf>
    <xf numFmtId="0" fontId="2" fillId="3" borderId="0" xfId="0" applyFont="1" applyFill="1" applyAlignment="1">
      <alignment vertical="top"/>
    </xf>
    <xf numFmtId="3" fontId="2" fillId="0" borderId="25" xfId="0" applyNumberFormat="1" applyFont="1" applyFill="1" applyBorder="1" applyAlignment="1">
      <alignment horizontal="center" vertical="top" wrapText="1"/>
    </xf>
    <xf numFmtId="0" fontId="2" fillId="0" borderId="0" xfId="0" applyFont="1" applyAlignment="1">
      <alignment vertical="center"/>
    </xf>
    <xf numFmtId="164" fontId="2" fillId="0" borderId="0" xfId="1" applyFont="1" applyBorder="1" applyAlignment="1">
      <alignment vertical="top"/>
    </xf>
    <xf numFmtId="0" fontId="7" fillId="0" borderId="0" xfId="0" applyFont="1"/>
    <xf numFmtId="0" fontId="3" fillId="0" borderId="0" xfId="0" applyNumberFormat="1" applyFont="1" applyAlignment="1">
      <alignment vertical="top"/>
    </xf>
    <xf numFmtId="0" fontId="2" fillId="0" borderId="25" xfId="0" applyFont="1" applyBorder="1" applyAlignment="1">
      <alignment vertical="top"/>
    </xf>
    <xf numFmtId="49" fontId="3" fillId="2" borderId="32" xfId="0" applyNumberFormat="1" applyFont="1" applyFill="1" applyBorder="1" applyAlignment="1">
      <alignment horizontal="center" vertical="top"/>
    </xf>
    <xf numFmtId="166" fontId="2" fillId="0" borderId="0" xfId="0" applyNumberFormat="1" applyFont="1" applyAlignment="1">
      <alignment vertical="top"/>
    </xf>
    <xf numFmtId="0" fontId="2" fillId="0" borderId="29" xfId="0" applyFont="1" applyBorder="1" applyAlignment="1">
      <alignment vertical="top"/>
    </xf>
    <xf numFmtId="0" fontId="2" fillId="0" borderId="29" xfId="0" applyFont="1" applyBorder="1" applyAlignment="1">
      <alignment vertical="center"/>
    </xf>
    <xf numFmtId="0" fontId="3" fillId="0" borderId="29" xfId="0" applyNumberFormat="1" applyFont="1" applyBorder="1" applyAlignment="1">
      <alignment vertical="top"/>
    </xf>
    <xf numFmtId="0" fontId="2" fillId="7" borderId="26" xfId="0" applyFont="1" applyFill="1" applyBorder="1" applyAlignment="1">
      <alignment vertical="top" wrapText="1"/>
    </xf>
    <xf numFmtId="3" fontId="2" fillId="7" borderId="75" xfId="0" applyNumberFormat="1" applyFont="1" applyFill="1" applyBorder="1" applyAlignment="1">
      <alignment horizontal="center" vertical="top"/>
    </xf>
    <xf numFmtId="3" fontId="2" fillId="7" borderId="76" xfId="0" applyNumberFormat="1" applyFont="1" applyFill="1" applyBorder="1" applyAlignment="1">
      <alignment horizontal="center" vertical="top"/>
    </xf>
    <xf numFmtId="3" fontId="2" fillId="7" borderId="24" xfId="0" applyNumberFormat="1" applyFont="1" applyFill="1" applyBorder="1" applyAlignment="1">
      <alignment horizontal="center" vertical="top" wrapText="1"/>
    </xf>
    <xf numFmtId="166" fontId="2" fillId="0" borderId="9" xfId="0" applyNumberFormat="1" applyFont="1" applyFill="1" applyBorder="1" applyAlignment="1">
      <alignment horizontal="center" vertical="top"/>
    </xf>
    <xf numFmtId="166" fontId="2" fillId="7" borderId="44" xfId="0" applyNumberFormat="1" applyFont="1" applyFill="1" applyBorder="1" applyAlignment="1">
      <alignment horizontal="center" vertical="top"/>
    </xf>
    <xf numFmtId="166" fontId="2" fillId="7" borderId="15" xfId="0" applyNumberFormat="1" applyFont="1" applyFill="1" applyBorder="1" applyAlignment="1">
      <alignment horizontal="center" vertical="top"/>
    </xf>
    <xf numFmtId="166" fontId="2" fillId="7" borderId="32" xfId="0" applyNumberFormat="1" applyFont="1" applyFill="1" applyBorder="1" applyAlignment="1">
      <alignment horizontal="center" vertical="top"/>
    </xf>
    <xf numFmtId="166" fontId="2" fillId="7" borderId="25" xfId="0" applyNumberFormat="1" applyFont="1" applyFill="1" applyBorder="1" applyAlignment="1">
      <alignment horizontal="center" vertical="top"/>
    </xf>
    <xf numFmtId="166" fontId="2" fillId="7" borderId="24" xfId="0" applyNumberFormat="1" applyFont="1" applyFill="1" applyBorder="1" applyAlignment="1">
      <alignment horizontal="center" vertical="top"/>
    </xf>
    <xf numFmtId="0" fontId="2" fillId="7" borderId="71" xfId="0" applyFont="1" applyFill="1" applyBorder="1" applyAlignment="1">
      <alignment horizontal="left" vertical="top" wrapText="1"/>
    </xf>
    <xf numFmtId="0" fontId="2" fillId="7" borderId="57" xfId="0" applyFont="1" applyFill="1" applyBorder="1" applyAlignment="1">
      <alignment horizontal="center" vertical="top"/>
    </xf>
    <xf numFmtId="0" fontId="2" fillId="7" borderId="31" xfId="0" applyFont="1" applyFill="1" applyBorder="1" applyAlignment="1">
      <alignment horizontal="center" vertical="top"/>
    </xf>
    <xf numFmtId="3" fontId="2" fillId="7" borderId="32" xfId="0" applyNumberFormat="1" applyFont="1" applyFill="1" applyBorder="1" applyAlignment="1">
      <alignment horizontal="center" vertical="top"/>
    </xf>
    <xf numFmtId="166" fontId="2" fillId="0" borderId="0" xfId="0" applyNumberFormat="1" applyFont="1" applyBorder="1" applyAlignment="1">
      <alignment vertical="top"/>
    </xf>
    <xf numFmtId="166" fontId="2" fillId="7" borderId="20" xfId="0" applyNumberFormat="1" applyFont="1" applyFill="1" applyBorder="1" applyAlignment="1">
      <alignment vertical="top"/>
    </xf>
    <xf numFmtId="3" fontId="2" fillId="0" borderId="32" xfId="0" applyNumberFormat="1" applyFont="1" applyFill="1" applyBorder="1" applyAlignment="1">
      <alignment horizontal="center" vertical="top" wrapText="1"/>
    </xf>
    <xf numFmtId="166" fontId="2" fillId="7" borderId="6" xfId="0" applyNumberFormat="1" applyFont="1" applyFill="1" applyBorder="1" applyAlignment="1">
      <alignment horizontal="center" vertical="top"/>
    </xf>
    <xf numFmtId="166" fontId="2" fillId="0" borderId="20" xfId="0" applyNumberFormat="1" applyFont="1" applyBorder="1" applyAlignment="1">
      <alignment horizontal="center" vertical="top"/>
    </xf>
    <xf numFmtId="166" fontId="2" fillId="7" borderId="20" xfId="0" applyNumberFormat="1" applyFont="1" applyFill="1" applyBorder="1" applyAlignment="1">
      <alignment horizontal="center" vertical="top" wrapText="1"/>
    </xf>
    <xf numFmtId="166" fontId="2" fillId="7" borderId="79" xfId="0" applyNumberFormat="1" applyFont="1" applyFill="1" applyBorder="1" applyAlignment="1">
      <alignment horizontal="center" vertical="top"/>
    </xf>
    <xf numFmtId="166" fontId="2" fillId="7" borderId="39" xfId="0" applyNumberFormat="1" applyFont="1" applyFill="1" applyBorder="1" applyAlignment="1">
      <alignment horizontal="center" vertical="top"/>
    </xf>
    <xf numFmtId="166" fontId="2" fillId="7" borderId="20" xfId="0" applyNumberFormat="1" applyFont="1" applyFill="1" applyBorder="1" applyAlignment="1">
      <alignment horizontal="center" vertical="top"/>
    </xf>
    <xf numFmtId="166" fontId="2" fillId="7" borderId="4" xfId="0" applyNumberFormat="1" applyFont="1" applyFill="1" applyBorder="1" applyAlignment="1">
      <alignment horizontal="center" vertical="top"/>
    </xf>
    <xf numFmtId="166" fontId="2" fillId="7" borderId="4" xfId="0" applyNumberFormat="1" applyFont="1" applyFill="1" applyBorder="1" applyAlignment="1">
      <alignment horizontal="center" vertical="top" wrapText="1"/>
    </xf>
    <xf numFmtId="166" fontId="3" fillId="9" borderId="65" xfId="0" applyNumberFormat="1" applyFont="1" applyFill="1" applyBorder="1" applyAlignment="1">
      <alignment horizontal="center" vertical="top"/>
    </xf>
    <xf numFmtId="166" fontId="2" fillId="0" borderId="13" xfId="0" applyNumberFormat="1" applyFont="1" applyFill="1" applyBorder="1" applyAlignment="1">
      <alignment horizontal="left" vertical="top" wrapText="1"/>
    </xf>
    <xf numFmtId="166" fontId="2" fillId="3" borderId="61" xfId="0" applyNumberFormat="1" applyFont="1" applyFill="1" applyBorder="1" applyAlignment="1">
      <alignment horizontal="center" vertical="top"/>
    </xf>
    <xf numFmtId="166" fontId="2" fillId="3" borderId="20" xfId="0" applyNumberFormat="1" applyFont="1" applyFill="1" applyBorder="1" applyAlignment="1">
      <alignment horizontal="center" vertical="top"/>
    </xf>
    <xf numFmtId="166" fontId="2" fillId="7" borderId="88" xfId="0" applyNumberFormat="1" applyFont="1" applyFill="1" applyBorder="1" applyAlignment="1">
      <alignment horizontal="center" vertical="top"/>
    </xf>
    <xf numFmtId="166" fontId="3" fillId="9" borderId="50" xfId="0" applyNumberFormat="1" applyFont="1" applyFill="1" applyBorder="1" applyAlignment="1">
      <alignment horizontal="center" vertical="top"/>
    </xf>
    <xf numFmtId="166" fontId="3" fillId="2" borderId="2" xfId="0" applyNumberFormat="1" applyFont="1" applyFill="1" applyBorder="1" applyAlignment="1">
      <alignment horizontal="center" vertical="top"/>
    </xf>
    <xf numFmtId="166" fontId="2" fillId="7" borderId="31" xfId="0" applyNumberFormat="1" applyFont="1" applyFill="1" applyBorder="1" applyAlignment="1">
      <alignment horizontal="center" vertical="top"/>
    </xf>
    <xf numFmtId="166" fontId="2" fillId="7" borderId="74" xfId="0" applyNumberFormat="1" applyFont="1" applyFill="1" applyBorder="1" applyAlignment="1">
      <alignment horizontal="left" vertical="top" wrapText="1"/>
    </xf>
    <xf numFmtId="166" fontId="2" fillId="7" borderId="57" xfId="0" applyNumberFormat="1" applyFont="1" applyFill="1" applyBorder="1" applyAlignment="1">
      <alignment horizontal="center" vertical="top"/>
    </xf>
    <xf numFmtId="166" fontId="2" fillId="7" borderId="45" xfId="0" applyNumberFormat="1" applyFont="1" applyFill="1" applyBorder="1" applyAlignment="1">
      <alignment horizontal="center" vertical="top"/>
    </xf>
    <xf numFmtId="166" fontId="3" fillId="7" borderId="0" xfId="0" applyNumberFormat="1" applyFont="1" applyFill="1" applyBorder="1" applyAlignment="1">
      <alignment horizontal="center" vertical="top"/>
    </xf>
    <xf numFmtId="166" fontId="3" fillId="8" borderId="53" xfId="0" applyNumberFormat="1" applyFont="1" applyFill="1" applyBorder="1" applyAlignment="1">
      <alignment horizontal="center" vertical="top"/>
    </xf>
    <xf numFmtId="166" fontId="3" fillId="9" borderId="51" xfId="0" applyNumberFormat="1" applyFont="1" applyFill="1" applyBorder="1" applyAlignment="1">
      <alignment horizontal="center" vertical="top"/>
    </xf>
    <xf numFmtId="166" fontId="2" fillId="7" borderId="8" xfId="0" applyNumberFormat="1" applyFont="1" applyFill="1" applyBorder="1" applyAlignment="1">
      <alignment horizontal="center" vertical="top"/>
    </xf>
    <xf numFmtId="166" fontId="3" fillId="7" borderId="29" xfId="0" applyNumberFormat="1" applyFont="1" applyFill="1" applyBorder="1" applyAlignment="1">
      <alignment horizontal="center" vertical="top"/>
    </xf>
    <xf numFmtId="166" fontId="2" fillId="0" borderId="35" xfId="0" applyNumberFormat="1" applyFont="1" applyFill="1" applyBorder="1" applyAlignment="1">
      <alignment horizontal="center" vertical="top"/>
    </xf>
    <xf numFmtId="166" fontId="2" fillId="7" borderId="0" xfId="0" applyNumberFormat="1" applyFont="1" applyFill="1" applyBorder="1" applyAlignment="1">
      <alignment horizontal="center" vertical="top"/>
    </xf>
    <xf numFmtId="166" fontId="3" fillId="5" borderId="50" xfId="0" applyNumberFormat="1" applyFont="1" applyFill="1" applyBorder="1" applyAlignment="1">
      <alignment horizontal="center" vertical="top"/>
    </xf>
    <xf numFmtId="166" fontId="2" fillId="0" borderId="0" xfId="0" applyNumberFormat="1" applyFont="1" applyFill="1" applyBorder="1" applyAlignment="1">
      <alignment horizontal="center" vertical="top"/>
    </xf>
    <xf numFmtId="166" fontId="10" fillId="7" borderId="22" xfId="0" applyNumberFormat="1" applyFont="1" applyFill="1" applyBorder="1" applyAlignment="1">
      <alignment horizontal="center" vertical="center" wrapText="1"/>
    </xf>
    <xf numFmtId="166" fontId="7" fillId="7" borderId="25" xfId="0" applyNumberFormat="1" applyFont="1" applyFill="1" applyBorder="1" applyAlignment="1">
      <alignment horizontal="center" vertical="center" textRotation="90" wrapText="1"/>
    </xf>
    <xf numFmtId="166" fontId="2" fillId="3" borderId="25" xfId="0" applyNumberFormat="1" applyFont="1" applyFill="1" applyBorder="1" applyAlignment="1">
      <alignment horizontal="center" vertical="top" wrapText="1"/>
    </xf>
    <xf numFmtId="166" fontId="2" fillId="7" borderId="43" xfId="0" applyNumberFormat="1" applyFont="1" applyFill="1" applyBorder="1" applyAlignment="1">
      <alignment horizontal="center" vertical="top"/>
    </xf>
    <xf numFmtId="166" fontId="2" fillId="7" borderId="54" xfId="0" applyNumberFormat="1" applyFont="1" applyFill="1" applyBorder="1" applyAlignment="1">
      <alignment horizontal="center" vertical="top"/>
    </xf>
    <xf numFmtId="166" fontId="2" fillId="7" borderId="57" xfId="0" applyNumberFormat="1" applyFont="1" applyFill="1" applyBorder="1" applyAlignment="1">
      <alignment horizontal="center" vertical="top" wrapText="1"/>
    </xf>
    <xf numFmtId="166" fontId="2" fillId="7" borderId="33" xfId="0" applyNumberFormat="1" applyFont="1" applyFill="1" applyBorder="1" applyAlignment="1">
      <alignment horizontal="center" vertical="top"/>
    </xf>
    <xf numFmtId="166" fontId="2" fillId="7" borderId="5" xfId="0" applyNumberFormat="1" applyFont="1" applyFill="1" applyBorder="1" applyAlignment="1">
      <alignment horizontal="center" vertical="top"/>
    </xf>
    <xf numFmtId="166" fontId="2" fillId="7" borderId="26" xfId="0" applyNumberFormat="1" applyFont="1" applyFill="1" applyBorder="1" applyAlignment="1">
      <alignment horizontal="center" vertical="top"/>
    </xf>
    <xf numFmtId="166" fontId="2" fillId="7" borderId="85" xfId="0" applyNumberFormat="1" applyFont="1" applyFill="1" applyBorder="1" applyAlignment="1">
      <alignment horizontal="center" vertical="top"/>
    </xf>
    <xf numFmtId="166" fontId="3" fillId="8" borderId="59" xfId="0" applyNumberFormat="1" applyFont="1" applyFill="1" applyBorder="1" applyAlignment="1">
      <alignment horizontal="center" vertical="top"/>
    </xf>
    <xf numFmtId="166" fontId="2" fillId="7" borderId="43" xfId="0" applyNumberFormat="1" applyFont="1" applyFill="1" applyBorder="1" applyAlignment="1">
      <alignment horizontal="center" vertical="center" textRotation="90" wrapText="1"/>
    </xf>
    <xf numFmtId="166" fontId="3" fillId="2" borderId="21" xfId="0" applyNumberFormat="1" applyFont="1" applyFill="1" applyBorder="1" applyAlignment="1">
      <alignment horizontal="center" vertical="top"/>
    </xf>
    <xf numFmtId="166" fontId="3" fillId="9" borderId="59" xfId="0" applyNumberFormat="1" applyFont="1" applyFill="1" applyBorder="1" applyAlignment="1">
      <alignment horizontal="center" vertical="top"/>
    </xf>
    <xf numFmtId="166" fontId="3" fillId="5" borderId="21" xfId="0" applyNumberFormat="1" applyFont="1" applyFill="1" applyBorder="1" applyAlignment="1">
      <alignment horizontal="center" vertical="top"/>
    </xf>
    <xf numFmtId="166" fontId="2" fillId="0" borderId="57" xfId="0" applyNumberFormat="1" applyFont="1" applyBorder="1" applyAlignment="1">
      <alignment horizontal="center" vertical="top"/>
    </xf>
    <xf numFmtId="166" fontId="3" fillId="8" borderId="7" xfId="0" applyNumberFormat="1" applyFont="1" applyFill="1" applyBorder="1" applyAlignment="1">
      <alignment horizontal="center" vertical="top"/>
    </xf>
    <xf numFmtId="166" fontId="2" fillId="7" borderId="68" xfId="0" applyNumberFormat="1" applyFont="1" applyFill="1" applyBorder="1" applyAlignment="1">
      <alignment horizontal="center" vertical="top"/>
    </xf>
    <xf numFmtId="3" fontId="2" fillId="7" borderId="32" xfId="0" applyNumberFormat="1" applyFont="1" applyFill="1" applyBorder="1" applyAlignment="1">
      <alignment horizontal="center" vertical="top" wrapText="1"/>
    </xf>
    <xf numFmtId="3" fontId="2" fillId="7" borderId="80" xfId="0" applyNumberFormat="1" applyFont="1" applyFill="1" applyBorder="1" applyAlignment="1">
      <alignment horizontal="center" vertical="top"/>
    </xf>
    <xf numFmtId="166" fontId="2" fillId="7" borderId="9" xfId="0" applyNumberFormat="1" applyFont="1" applyFill="1" applyBorder="1" applyAlignment="1">
      <alignment vertical="top"/>
    </xf>
    <xf numFmtId="166" fontId="2" fillId="7" borderId="31" xfId="0" applyNumberFormat="1" applyFont="1" applyFill="1" applyBorder="1" applyAlignment="1">
      <alignment vertical="top" wrapText="1"/>
    </xf>
    <xf numFmtId="166" fontId="2" fillId="7" borderId="49" xfId="0" applyNumberFormat="1" applyFont="1" applyFill="1" applyBorder="1" applyAlignment="1">
      <alignment horizontal="center" vertical="top"/>
    </xf>
    <xf numFmtId="166" fontId="3" fillId="8" borderId="58" xfId="0" applyNumberFormat="1" applyFont="1" applyFill="1" applyBorder="1" applyAlignment="1">
      <alignment horizontal="center" vertical="top"/>
    </xf>
    <xf numFmtId="166" fontId="2" fillId="7" borderId="22" xfId="0" applyNumberFormat="1" applyFont="1" applyFill="1" applyBorder="1" applyAlignment="1">
      <alignment horizontal="center" vertical="top"/>
    </xf>
    <xf numFmtId="166" fontId="2" fillId="7" borderId="35" xfId="0" applyNumberFormat="1" applyFont="1" applyFill="1" applyBorder="1" applyAlignment="1">
      <alignment horizontal="center" vertical="top"/>
    </xf>
    <xf numFmtId="166" fontId="2" fillId="7" borderId="27" xfId="0" applyNumberFormat="1" applyFont="1" applyFill="1" applyBorder="1" applyAlignment="1">
      <alignment horizontal="center" vertical="top"/>
    </xf>
    <xf numFmtId="166" fontId="2" fillId="7" borderId="82" xfId="0" applyNumberFormat="1" applyFont="1" applyFill="1" applyBorder="1" applyAlignment="1">
      <alignment horizontal="center" vertical="top"/>
    </xf>
    <xf numFmtId="166" fontId="2" fillId="0" borderId="75" xfId="0" applyNumberFormat="1" applyFont="1" applyFill="1" applyBorder="1" applyAlignment="1">
      <alignment horizontal="center" vertical="top"/>
    </xf>
    <xf numFmtId="49" fontId="2" fillId="7" borderId="75" xfId="0" applyNumberFormat="1" applyFont="1" applyFill="1" applyBorder="1" applyAlignment="1">
      <alignment horizontal="center" vertical="top"/>
    </xf>
    <xf numFmtId="166" fontId="2" fillId="0" borderId="6" xfId="0" applyNumberFormat="1" applyFont="1" applyFill="1" applyBorder="1" applyAlignment="1">
      <alignment horizontal="center" vertical="top"/>
    </xf>
    <xf numFmtId="49" fontId="2" fillId="7" borderId="44" xfId="0" applyNumberFormat="1" applyFont="1" applyFill="1" applyBorder="1" applyAlignment="1">
      <alignment horizontal="center" vertical="top"/>
    </xf>
    <xf numFmtId="166" fontId="6" fillId="7" borderId="27" xfId="0" applyNumberFormat="1" applyFont="1" applyFill="1" applyBorder="1" applyAlignment="1">
      <alignment horizontal="center" vertical="top" wrapText="1"/>
    </xf>
    <xf numFmtId="166" fontId="2" fillId="7" borderId="25" xfId="0" applyNumberFormat="1" applyFont="1" applyFill="1" applyBorder="1" applyAlignment="1">
      <alignment vertical="top"/>
    </xf>
    <xf numFmtId="166" fontId="2" fillId="7" borderId="57" xfId="0" applyNumberFormat="1" applyFont="1" applyFill="1" applyBorder="1" applyAlignment="1">
      <alignment vertical="top"/>
    </xf>
    <xf numFmtId="3" fontId="2" fillId="7" borderId="90" xfId="0" applyNumberFormat="1" applyFont="1" applyFill="1" applyBorder="1" applyAlignment="1">
      <alignment horizontal="center" vertical="top"/>
    </xf>
    <xf numFmtId="166" fontId="3" fillId="8" borderId="65" xfId="0" applyNumberFormat="1" applyFont="1" applyFill="1" applyBorder="1" applyAlignment="1">
      <alignment horizontal="center" vertical="top"/>
    </xf>
    <xf numFmtId="3" fontId="6" fillId="7" borderId="15" xfId="0" applyNumberFormat="1" applyFont="1" applyFill="1" applyBorder="1" applyAlignment="1">
      <alignment horizontal="center" vertical="top" wrapText="1"/>
    </xf>
    <xf numFmtId="166" fontId="2" fillId="7" borderId="26" xfId="0" applyNumberFormat="1" applyFont="1" applyFill="1" applyBorder="1" applyAlignment="1">
      <alignment vertical="top" wrapText="1"/>
    </xf>
    <xf numFmtId="166" fontId="3" fillId="2" borderId="7" xfId="0" applyNumberFormat="1" applyFont="1" applyFill="1" applyBorder="1" applyAlignment="1">
      <alignment horizontal="center" vertical="top"/>
    </xf>
    <xf numFmtId="166" fontId="2" fillId="7" borderId="40" xfId="0" applyNumberFormat="1" applyFont="1" applyFill="1" applyBorder="1" applyAlignment="1">
      <alignment horizontal="center" vertical="top"/>
    </xf>
    <xf numFmtId="166" fontId="2" fillId="7" borderId="47" xfId="0" applyNumberFormat="1" applyFont="1" applyFill="1" applyBorder="1" applyAlignment="1">
      <alignment horizontal="center" vertical="top"/>
    </xf>
    <xf numFmtId="166" fontId="3" fillId="7" borderId="44" xfId="0" applyNumberFormat="1" applyFont="1" applyFill="1" applyBorder="1" applyAlignment="1">
      <alignment vertical="top"/>
    </xf>
    <xf numFmtId="166" fontId="2" fillId="7" borderId="37" xfId="0" applyNumberFormat="1" applyFont="1" applyFill="1" applyBorder="1" applyAlignment="1">
      <alignment horizontal="center" vertical="top"/>
    </xf>
    <xf numFmtId="166" fontId="2" fillId="7" borderId="23" xfId="0" applyNumberFormat="1" applyFont="1" applyFill="1" applyBorder="1" applyAlignment="1">
      <alignment horizontal="center" vertical="top"/>
    </xf>
    <xf numFmtId="166" fontId="2" fillId="7" borderId="9" xfId="0" applyNumberFormat="1" applyFont="1" applyFill="1" applyBorder="1" applyAlignment="1">
      <alignment horizontal="center" vertical="top"/>
    </xf>
    <xf numFmtId="166" fontId="2" fillId="7" borderId="75" xfId="0" applyNumberFormat="1" applyFont="1" applyFill="1" applyBorder="1" applyAlignment="1">
      <alignment vertical="top" wrapText="1"/>
    </xf>
    <xf numFmtId="166" fontId="2" fillId="7" borderId="3" xfId="0" applyNumberFormat="1" applyFont="1" applyFill="1" applyBorder="1" applyAlignment="1">
      <alignment vertical="top" wrapText="1"/>
    </xf>
    <xf numFmtId="49" fontId="3" fillId="9" borderId="13" xfId="0" applyNumberFormat="1" applyFont="1" applyFill="1" applyBorder="1" applyAlignment="1">
      <alignment horizontal="center" vertical="top"/>
    </xf>
    <xf numFmtId="0" fontId="2" fillId="0" borderId="29" xfId="0" applyFont="1" applyBorder="1" applyAlignment="1">
      <alignment horizontal="center" vertical="top"/>
    </xf>
    <xf numFmtId="166" fontId="13" fillId="7" borderId="26" xfId="0" applyNumberFormat="1" applyFont="1" applyFill="1" applyBorder="1" applyAlignment="1">
      <alignment vertical="top" wrapText="1"/>
    </xf>
    <xf numFmtId="166" fontId="13" fillId="7" borderId="4" xfId="0" applyNumberFormat="1" applyFont="1" applyFill="1" applyBorder="1" applyAlignment="1">
      <alignment horizontal="center" vertical="top"/>
    </xf>
    <xf numFmtId="3" fontId="2" fillId="0" borderId="9" xfId="0" applyNumberFormat="1" applyFont="1" applyFill="1" applyBorder="1" applyAlignment="1">
      <alignment horizontal="center" vertical="top"/>
    </xf>
    <xf numFmtId="166" fontId="2" fillId="7" borderId="6" xfId="0" applyNumberFormat="1" applyFont="1" applyFill="1" applyBorder="1" applyAlignment="1">
      <alignment horizontal="center" vertical="top" wrapText="1"/>
    </xf>
    <xf numFmtId="3" fontId="2" fillId="0" borderId="22" xfId="0" applyNumberFormat="1" applyFont="1" applyFill="1" applyBorder="1" applyAlignment="1">
      <alignment horizontal="center" vertical="top"/>
    </xf>
    <xf numFmtId="166" fontId="3" fillId="2" borderId="37" xfId="0" applyNumberFormat="1" applyFont="1" applyFill="1" applyBorder="1" applyAlignment="1">
      <alignment horizontal="center" vertical="top"/>
    </xf>
    <xf numFmtId="166" fontId="3" fillId="2" borderId="67" xfId="0" applyNumberFormat="1" applyFont="1" applyFill="1" applyBorder="1" applyAlignment="1">
      <alignment horizontal="center" vertical="top"/>
    </xf>
    <xf numFmtId="3" fontId="2" fillId="7" borderId="22" xfId="0" applyNumberFormat="1" applyFont="1" applyFill="1" applyBorder="1" applyAlignment="1">
      <alignment horizontal="center" vertical="top"/>
    </xf>
    <xf numFmtId="166" fontId="2" fillId="8" borderId="20" xfId="0" applyNumberFormat="1" applyFont="1" applyFill="1" applyBorder="1" applyAlignment="1">
      <alignment horizontal="center" vertical="top"/>
    </xf>
    <xf numFmtId="166" fontId="3" fillId="5" borderId="20" xfId="0" applyNumberFormat="1" applyFont="1" applyFill="1" applyBorder="1" applyAlignment="1">
      <alignment horizontal="center" vertical="top"/>
    </xf>
    <xf numFmtId="166" fontId="3" fillId="4" borderId="59"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0" fontId="2" fillId="7" borderId="77" xfId="0" applyFont="1" applyFill="1" applyBorder="1" applyAlignment="1">
      <alignment horizontal="left" vertical="top" wrapText="1"/>
    </xf>
    <xf numFmtId="166" fontId="2" fillId="7" borderId="83" xfId="0" applyNumberFormat="1" applyFont="1" applyFill="1" applyBorder="1" applyAlignment="1">
      <alignment horizontal="left" vertical="top" wrapText="1"/>
    </xf>
    <xf numFmtId="0" fontId="2" fillId="7" borderId="45" xfId="0" applyFont="1" applyFill="1" applyBorder="1" applyAlignment="1">
      <alignment horizontal="center" vertical="top"/>
    </xf>
    <xf numFmtId="166" fontId="2" fillId="7" borderId="18" xfId="0" applyNumberFormat="1" applyFont="1" applyFill="1" applyBorder="1" applyAlignment="1">
      <alignment vertical="top"/>
    </xf>
    <xf numFmtId="0" fontId="2" fillId="7" borderId="44" xfId="0" applyNumberFormat="1" applyFont="1" applyFill="1" applyBorder="1" applyAlignment="1">
      <alignment horizontal="center" vertical="top" wrapText="1"/>
    </xf>
    <xf numFmtId="3" fontId="2" fillId="7" borderId="82" xfId="0" applyNumberFormat="1" applyFont="1" applyFill="1" applyBorder="1" applyAlignment="1">
      <alignment horizontal="center" vertical="top"/>
    </xf>
    <xf numFmtId="3" fontId="2" fillId="7" borderId="89" xfId="0" applyNumberFormat="1" applyFont="1" applyFill="1" applyBorder="1" applyAlignment="1">
      <alignment horizontal="center" vertical="top"/>
    </xf>
    <xf numFmtId="166" fontId="7" fillId="7" borderId="41" xfId="0" applyNumberFormat="1" applyFont="1" applyFill="1" applyBorder="1" applyAlignment="1">
      <alignment horizontal="center" vertical="center" textRotation="90" wrapText="1"/>
    </xf>
    <xf numFmtId="49" fontId="3" fillId="9" borderId="31" xfId="0" applyNumberFormat="1" applyFont="1" applyFill="1" applyBorder="1" applyAlignment="1">
      <alignment horizontal="center" vertical="top"/>
    </xf>
    <xf numFmtId="3" fontId="2" fillId="7" borderId="15" xfId="0" applyNumberFormat="1" applyFont="1" applyFill="1" applyBorder="1" applyAlignment="1">
      <alignment horizontal="center" vertical="top" wrapText="1"/>
    </xf>
    <xf numFmtId="166" fontId="2" fillId="7" borderId="3" xfId="0" applyNumberFormat="1" applyFont="1" applyFill="1" applyBorder="1" applyAlignment="1">
      <alignment horizontal="left" vertical="top" wrapText="1"/>
    </xf>
    <xf numFmtId="166" fontId="2" fillId="7" borderId="0" xfId="0" applyNumberFormat="1" applyFont="1" applyFill="1" applyBorder="1" applyAlignment="1">
      <alignment horizontal="center" vertical="top" wrapText="1"/>
    </xf>
    <xf numFmtId="166" fontId="2" fillId="7" borderId="20" xfId="1" applyNumberFormat="1" applyFont="1" applyFill="1" applyBorder="1" applyAlignment="1">
      <alignment horizontal="center" vertical="top"/>
    </xf>
    <xf numFmtId="49" fontId="2" fillId="7" borderId="15" xfId="0" applyNumberFormat="1" applyFont="1" applyFill="1" applyBorder="1" applyAlignment="1">
      <alignment horizontal="center" vertical="top"/>
    </xf>
    <xf numFmtId="166" fontId="3" fillId="7" borderId="32" xfId="0" applyNumberFormat="1" applyFont="1" applyFill="1" applyBorder="1" applyAlignment="1">
      <alignment vertical="top" wrapText="1"/>
    </xf>
    <xf numFmtId="49" fontId="2" fillId="7" borderId="87" xfId="0" applyNumberFormat="1" applyFont="1" applyFill="1" applyBorder="1" applyAlignment="1">
      <alignment horizontal="center" vertical="top"/>
    </xf>
    <xf numFmtId="166" fontId="2" fillId="7" borderId="42" xfId="0" applyNumberFormat="1" applyFont="1" applyFill="1" applyBorder="1" applyAlignment="1">
      <alignment horizontal="center" vertical="top"/>
    </xf>
    <xf numFmtId="3" fontId="2" fillId="7" borderId="44" xfId="0" applyNumberFormat="1" applyFont="1" applyFill="1" applyBorder="1" applyAlignment="1">
      <alignment horizontal="center" vertical="top" wrapText="1"/>
    </xf>
    <xf numFmtId="166" fontId="3" fillId="7" borderId="42" xfId="0" applyNumberFormat="1" applyFont="1" applyFill="1" applyBorder="1" applyAlignment="1">
      <alignment horizontal="center" vertical="top"/>
    </xf>
    <xf numFmtId="166" fontId="13" fillId="7" borderId="26" xfId="0" applyNumberFormat="1" applyFont="1" applyFill="1" applyBorder="1" applyAlignment="1">
      <alignment horizontal="left" vertical="top" wrapText="1"/>
    </xf>
    <xf numFmtId="166" fontId="2" fillId="7" borderId="1" xfId="0" applyNumberFormat="1" applyFont="1" applyFill="1" applyBorder="1" applyAlignment="1">
      <alignment vertical="top" wrapText="1"/>
    </xf>
    <xf numFmtId="3" fontId="2" fillId="0" borderId="0" xfId="0" applyNumberFormat="1" applyFont="1" applyFill="1" applyBorder="1" applyAlignment="1">
      <alignment horizontal="center" vertical="top"/>
    </xf>
    <xf numFmtId="49" fontId="2" fillId="7" borderId="18" xfId="0" applyNumberFormat="1" applyFont="1" applyFill="1" applyBorder="1" applyAlignment="1">
      <alignment horizontal="center" vertical="top"/>
    </xf>
    <xf numFmtId="49" fontId="2" fillId="7" borderId="90"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166" fontId="15" fillId="7" borderId="44" xfId="0" applyNumberFormat="1" applyFont="1" applyFill="1" applyBorder="1" applyAlignment="1">
      <alignment horizontal="center" vertical="top"/>
    </xf>
    <xf numFmtId="3" fontId="6" fillId="7" borderId="9" xfId="0" applyNumberFormat="1" applyFont="1" applyFill="1" applyBorder="1" applyAlignment="1">
      <alignment horizontal="center" vertical="top" wrapText="1"/>
    </xf>
    <xf numFmtId="3" fontId="6" fillId="7" borderId="25" xfId="0" applyNumberFormat="1" applyFont="1" applyFill="1" applyBorder="1" applyAlignment="1">
      <alignment horizontal="center" vertical="top" wrapText="1"/>
    </xf>
    <xf numFmtId="166" fontId="2" fillId="7" borderId="75" xfId="0" applyNumberFormat="1" applyFont="1" applyFill="1" applyBorder="1" applyAlignment="1">
      <alignment horizontal="left" vertical="top" wrapText="1"/>
    </xf>
    <xf numFmtId="0" fontId="2" fillId="7" borderId="26" xfId="0" applyFont="1" applyFill="1" applyBorder="1" applyAlignment="1">
      <alignment horizontal="left" vertical="top" wrapText="1"/>
    </xf>
    <xf numFmtId="166" fontId="3" fillId="7" borderId="20" xfId="0" applyNumberFormat="1" applyFont="1" applyFill="1" applyBorder="1" applyAlignment="1">
      <alignment horizontal="center" vertical="top"/>
    </xf>
    <xf numFmtId="166" fontId="3" fillId="7" borderId="57" xfId="0" applyNumberFormat="1" applyFont="1" applyFill="1" applyBorder="1" applyAlignment="1">
      <alignment horizontal="center" vertical="top"/>
    </xf>
    <xf numFmtId="166" fontId="2" fillId="7" borderId="95" xfId="0" applyNumberFormat="1" applyFont="1" applyFill="1" applyBorder="1" applyAlignment="1">
      <alignment horizontal="center" vertical="top"/>
    </xf>
    <xf numFmtId="166" fontId="3" fillId="7" borderId="70" xfId="0" applyNumberFormat="1" applyFont="1" applyFill="1" applyBorder="1" applyAlignment="1">
      <alignment horizontal="center" vertical="top"/>
    </xf>
    <xf numFmtId="166" fontId="10" fillId="7" borderId="9" xfId="0" applyNumberFormat="1" applyFont="1" applyFill="1" applyBorder="1" applyAlignment="1">
      <alignment horizontal="center" vertical="center" wrapText="1"/>
    </xf>
    <xf numFmtId="49" fontId="2" fillId="7" borderId="0" xfId="0" applyNumberFormat="1" applyFont="1" applyFill="1" applyBorder="1" applyAlignment="1">
      <alignment horizontal="center" vertical="top"/>
    </xf>
    <xf numFmtId="49" fontId="2" fillId="7" borderId="68" xfId="0" applyNumberFormat="1" applyFont="1" applyFill="1" applyBorder="1" applyAlignment="1">
      <alignment horizontal="center" vertical="top"/>
    </xf>
    <xf numFmtId="166" fontId="3" fillId="7" borderId="35" xfId="0" applyNumberFormat="1" applyFont="1" applyFill="1" applyBorder="1" applyAlignment="1">
      <alignment horizontal="center" vertical="top"/>
    </xf>
    <xf numFmtId="3" fontId="2" fillId="7" borderId="87" xfId="0" applyNumberFormat="1" applyFont="1" applyFill="1" applyBorder="1" applyAlignment="1">
      <alignment horizontal="center" vertical="top"/>
    </xf>
    <xf numFmtId="3" fontId="2" fillId="7" borderId="92" xfId="0" applyNumberFormat="1" applyFont="1" applyFill="1" applyBorder="1" applyAlignment="1">
      <alignment horizontal="center" vertical="top"/>
    </xf>
    <xf numFmtId="166" fontId="2" fillId="7" borderId="0" xfId="0" applyNumberFormat="1" applyFont="1" applyFill="1" applyBorder="1" applyAlignment="1">
      <alignment vertical="top"/>
    </xf>
    <xf numFmtId="166" fontId="2" fillId="7" borderId="68" xfId="0" applyNumberFormat="1" applyFont="1" applyFill="1" applyBorder="1" applyAlignment="1">
      <alignment vertical="top"/>
    </xf>
    <xf numFmtId="0" fontId="2" fillId="7" borderId="20" xfId="0" applyFont="1" applyFill="1" applyBorder="1" applyAlignment="1">
      <alignment horizontal="center" vertical="top"/>
    </xf>
    <xf numFmtId="166" fontId="2" fillId="7" borderId="28" xfId="0" applyNumberFormat="1" applyFont="1" applyFill="1" applyBorder="1" applyAlignment="1">
      <alignment horizontal="center" vertical="top"/>
    </xf>
    <xf numFmtId="166" fontId="3" fillId="7" borderId="32" xfId="0" applyNumberFormat="1" applyFont="1" applyFill="1" applyBorder="1" applyAlignment="1">
      <alignment horizontal="center" vertical="top"/>
    </xf>
    <xf numFmtId="3" fontId="2" fillId="7" borderId="23" xfId="0" applyNumberFormat="1" applyFont="1" applyFill="1" applyBorder="1" applyAlignment="1">
      <alignment horizontal="center" vertical="top"/>
    </xf>
    <xf numFmtId="49" fontId="2" fillId="7" borderId="82" xfId="0" applyNumberFormat="1" applyFont="1" applyFill="1" applyBorder="1" applyAlignment="1">
      <alignment horizontal="center" vertical="top"/>
    </xf>
    <xf numFmtId="49" fontId="3" fillId="2" borderId="22" xfId="0" applyNumberFormat="1" applyFont="1" applyFill="1" applyBorder="1" applyAlignment="1">
      <alignment horizontal="center" vertical="top"/>
    </xf>
    <xf numFmtId="166" fontId="3" fillId="7" borderId="40" xfId="0" applyNumberFormat="1" applyFont="1" applyFill="1" applyBorder="1" applyAlignment="1">
      <alignment horizontal="center" vertical="top"/>
    </xf>
    <xf numFmtId="166" fontId="7" fillId="7" borderId="3" xfId="0" applyNumberFormat="1" applyFont="1" applyFill="1" applyBorder="1" applyAlignment="1">
      <alignment vertical="top" wrapText="1"/>
    </xf>
    <xf numFmtId="166" fontId="13" fillId="7" borderId="16" xfId="0" applyNumberFormat="1" applyFont="1" applyFill="1" applyBorder="1" applyAlignment="1">
      <alignment horizontal="center" vertical="center" textRotation="90" wrapText="1"/>
    </xf>
    <xf numFmtId="3" fontId="2" fillId="0" borderId="94" xfId="0" applyNumberFormat="1" applyFont="1" applyFill="1" applyBorder="1" applyAlignment="1">
      <alignment horizontal="center" vertical="top"/>
    </xf>
    <xf numFmtId="3" fontId="2" fillId="0" borderId="93" xfId="0" applyNumberFormat="1" applyFont="1" applyFill="1" applyBorder="1" applyAlignment="1">
      <alignment horizontal="center" vertical="top"/>
    </xf>
    <xf numFmtId="166" fontId="2" fillId="7" borderId="19" xfId="0" applyNumberFormat="1" applyFont="1" applyFill="1" applyBorder="1" applyAlignment="1">
      <alignment horizontal="center" vertical="top"/>
    </xf>
    <xf numFmtId="166" fontId="2" fillId="7" borderId="60" xfId="0" applyNumberFormat="1" applyFont="1" applyFill="1" applyBorder="1" applyAlignment="1">
      <alignment horizontal="center" vertical="top"/>
    </xf>
    <xf numFmtId="166" fontId="3" fillId="2" borderId="59" xfId="0" applyNumberFormat="1" applyFont="1" applyFill="1" applyBorder="1" applyAlignment="1">
      <alignment horizontal="center" vertical="top"/>
    </xf>
    <xf numFmtId="166" fontId="1" fillId="7" borderId="17" xfId="0" applyNumberFormat="1" applyFont="1" applyFill="1" applyBorder="1" applyAlignment="1">
      <alignment horizontal="center" vertical="top" textRotation="90" wrapText="1"/>
    </xf>
    <xf numFmtId="3" fontId="2" fillId="0" borderId="47" xfId="0" applyNumberFormat="1" applyFont="1" applyFill="1" applyBorder="1" applyAlignment="1">
      <alignment horizontal="center" vertical="top"/>
    </xf>
    <xf numFmtId="3" fontId="2" fillId="7" borderId="54" xfId="0" applyNumberFormat="1" applyFont="1" applyFill="1" applyBorder="1" applyAlignment="1">
      <alignment horizontal="center" vertical="top" wrapText="1"/>
    </xf>
    <xf numFmtId="3" fontId="2" fillId="7" borderId="68" xfId="0" applyNumberFormat="1" applyFont="1" applyFill="1" applyBorder="1" applyAlignment="1">
      <alignment horizontal="center" vertical="top" wrapText="1"/>
    </xf>
    <xf numFmtId="3" fontId="2" fillId="7" borderId="0" xfId="0" applyNumberFormat="1" applyFont="1" applyFill="1" applyBorder="1" applyAlignment="1">
      <alignment horizontal="center" vertical="top" wrapText="1"/>
    </xf>
    <xf numFmtId="166" fontId="2" fillId="7" borderId="29" xfId="0" applyNumberFormat="1" applyFont="1" applyFill="1" applyBorder="1" applyAlignment="1">
      <alignment horizontal="center" vertical="top"/>
    </xf>
    <xf numFmtId="166" fontId="6" fillId="7" borderId="29" xfId="0" applyNumberFormat="1" applyFont="1" applyFill="1" applyBorder="1" applyAlignment="1">
      <alignment horizontal="center" vertical="top" wrapText="1"/>
    </xf>
    <xf numFmtId="3" fontId="2" fillId="0" borderId="23" xfId="0" applyNumberFormat="1" applyFont="1" applyFill="1" applyBorder="1" applyAlignment="1">
      <alignment horizontal="center" vertical="top"/>
    </xf>
    <xf numFmtId="166" fontId="6" fillId="7" borderId="28" xfId="0" applyNumberFormat="1" applyFont="1" applyFill="1" applyBorder="1" applyAlignment="1">
      <alignment horizontal="center" vertical="top" wrapText="1"/>
    </xf>
    <xf numFmtId="0" fontId="2" fillId="0" borderId="0" xfId="0" applyFont="1" applyFill="1" applyAlignment="1">
      <alignment horizontal="center" vertical="top"/>
    </xf>
    <xf numFmtId="3" fontId="2" fillId="0" borderId="0" xfId="0" applyNumberFormat="1" applyFont="1" applyFill="1" applyAlignment="1">
      <alignment vertical="top"/>
    </xf>
    <xf numFmtId="3" fontId="2" fillId="7" borderId="72" xfId="0" applyNumberFormat="1" applyFont="1" applyFill="1" applyBorder="1" applyAlignment="1">
      <alignment horizontal="center" vertical="top"/>
    </xf>
    <xf numFmtId="0" fontId="2" fillId="0" borderId="0" xfId="0" applyFont="1" applyFill="1" applyBorder="1" applyAlignment="1">
      <alignment vertical="top"/>
    </xf>
    <xf numFmtId="166" fontId="12" fillId="7" borderId="9" xfId="0" applyNumberFormat="1" applyFont="1" applyFill="1" applyBorder="1" applyAlignment="1">
      <alignment horizontal="center" vertical="center" wrapText="1"/>
    </xf>
    <xf numFmtId="0" fontId="0" fillId="0" borderId="0" xfId="0" applyFill="1" applyAlignment="1">
      <alignment horizontal="left" vertical="top" wrapText="1"/>
    </xf>
    <xf numFmtId="0" fontId="7" fillId="0" borderId="0" xfId="0" applyFont="1" applyFill="1"/>
    <xf numFmtId="166" fontId="3" fillId="5" borderId="61" xfId="0" applyNumberFormat="1" applyFont="1" applyFill="1" applyBorder="1" applyAlignment="1">
      <alignment horizontal="center" vertical="top" wrapText="1"/>
    </xf>
    <xf numFmtId="166" fontId="3" fillId="8" borderId="60" xfId="0" applyNumberFormat="1" applyFont="1" applyFill="1" applyBorder="1" applyAlignment="1">
      <alignment horizontal="center" vertical="top" wrapText="1"/>
    </xf>
    <xf numFmtId="166" fontId="2" fillId="0" borderId="60" xfId="0" applyNumberFormat="1" applyFont="1" applyBorder="1" applyAlignment="1">
      <alignment horizontal="center" vertical="top" wrapText="1"/>
    </xf>
    <xf numFmtId="3" fontId="2" fillId="7" borderId="73" xfId="0" applyNumberFormat="1" applyFont="1" applyFill="1" applyBorder="1" applyAlignment="1">
      <alignment horizontal="center" vertical="top"/>
    </xf>
    <xf numFmtId="0" fontId="2" fillId="0" borderId="68" xfId="0" applyFont="1" applyBorder="1" applyAlignment="1">
      <alignment vertical="top"/>
    </xf>
    <xf numFmtId="3" fontId="2" fillId="7" borderId="47" xfId="0" applyNumberFormat="1" applyFont="1" applyFill="1" applyBorder="1" applyAlignment="1">
      <alignment horizontal="center" vertical="top"/>
    </xf>
    <xf numFmtId="166" fontId="2" fillId="0" borderId="57" xfId="0" applyNumberFormat="1" applyFont="1" applyFill="1" applyBorder="1" applyAlignment="1">
      <alignment horizontal="center" vertical="top"/>
    </xf>
    <xf numFmtId="0" fontId="2" fillId="0" borderId="14" xfId="0" applyFont="1" applyBorder="1" applyAlignment="1">
      <alignment vertical="top"/>
    </xf>
    <xf numFmtId="3" fontId="2" fillId="0" borderId="44" xfId="0" applyNumberFormat="1" applyFont="1" applyFill="1" applyBorder="1" applyAlignment="1">
      <alignment horizontal="center" vertical="top"/>
    </xf>
    <xf numFmtId="166" fontId="2" fillId="7" borderId="48" xfId="0" applyNumberFormat="1" applyFont="1" applyFill="1" applyBorder="1" applyAlignment="1">
      <alignment vertical="top" wrapText="1"/>
    </xf>
    <xf numFmtId="3" fontId="6" fillId="7" borderId="24" xfId="0" applyNumberFormat="1" applyFont="1" applyFill="1" applyBorder="1" applyAlignment="1">
      <alignment horizontal="center" vertical="top" wrapText="1"/>
    </xf>
    <xf numFmtId="166" fontId="13" fillId="7" borderId="41" xfId="0" applyNumberFormat="1" applyFont="1" applyFill="1" applyBorder="1" applyAlignment="1">
      <alignment horizontal="center" vertical="center" textRotation="90" wrapText="1"/>
    </xf>
    <xf numFmtId="166" fontId="2" fillId="7" borderId="96" xfId="0" applyNumberFormat="1" applyFont="1" applyFill="1" applyBorder="1" applyAlignment="1">
      <alignment horizontal="center" vertical="top"/>
    </xf>
    <xf numFmtId="166" fontId="2" fillId="7" borderId="20" xfId="0" applyNumberFormat="1" applyFont="1" applyFill="1" applyBorder="1" applyAlignment="1">
      <alignment horizontal="center" vertical="center"/>
    </xf>
    <xf numFmtId="3" fontId="2" fillId="0" borderId="0" xfId="0" applyNumberFormat="1" applyFont="1" applyFill="1" applyBorder="1" applyAlignment="1">
      <alignment horizontal="left" vertical="top" wrapText="1"/>
    </xf>
    <xf numFmtId="3" fontId="2" fillId="7" borderId="17" xfId="0" applyNumberFormat="1" applyFont="1" applyFill="1" applyBorder="1" applyAlignment="1">
      <alignment horizontal="center" vertical="top" wrapText="1"/>
    </xf>
    <xf numFmtId="3" fontId="2" fillId="7" borderId="9" xfId="0" applyNumberFormat="1" applyFont="1" applyFill="1" applyBorder="1" applyAlignment="1">
      <alignment horizontal="center" vertical="top" wrapText="1"/>
    </xf>
    <xf numFmtId="0" fontId="2" fillId="7" borderId="9" xfId="0" applyNumberFormat="1" applyFont="1" applyFill="1" applyBorder="1" applyAlignment="1">
      <alignment horizontal="center" vertical="top" wrapText="1"/>
    </xf>
    <xf numFmtId="0" fontId="16" fillId="0" borderId="0" xfId="2" applyFont="1" applyAlignment="1">
      <alignment horizontal="center"/>
    </xf>
    <xf numFmtId="49" fontId="16" fillId="0" borderId="0" xfId="2" applyNumberFormat="1" applyFont="1" applyAlignment="1">
      <alignment horizontal="left" vertical="top" wrapText="1"/>
    </xf>
    <xf numFmtId="0" fontId="17" fillId="0" borderId="0" xfId="2" applyFont="1" applyFill="1" applyAlignment="1">
      <alignment horizontal="left" vertical="top" wrapText="1"/>
    </xf>
    <xf numFmtId="0" fontId="0" fillId="0" borderId="0" xfId="0" applyFill="1"/>
    <xf numFmtId="0" fontId="2" fillId="0" borderId="0" xfId="2" applyFont="1" applyFill="1"/>
    <xf numFmtId="0" fontId="17" fillId="0" borderId="0" xfId="2" applyFont="1" applyFill="1" applyAlignment="1">
      <alignment horizontal="right" vertical="top"/>
    </xf>
    <xf numFmtId="0" fontId="17" fillId="0" borderId="0" xfId="0" applyFont="1" applyFill="1" applyAlignment="1">
      <alignment horizontal="left" vertical="top"/>
    </xf>
    <xf numFmtId="0" fontId="17" fillId="0" borderId="0" xfId="0" applyFont="1"/>
    <xf numFmtId="0" fontId="17" fillId="0" borderId="0" xfId="0" applyFont="1" applyAlignment="1">
      <alignment horizontal="right"/>
    </xf>
    <xf numFmtId="0" fontId="17" fillId="0" borderId="0" xfId="0" applyFont="1" applyAlignment="1">
      <alignment horizontal="right" vertical="top"/>
    </xf>
    <xf numFmtId="0" fontId="17" fillId="0" borderId="0" xfId="0" applyFont="1" applyAlignment="1">
      <alignment horizontal="left" vertical="top"/>
    </xf>
    <xf numFmtId="0" fontId="16" fillId="0" borderId="0" xfId="0" applyFont="1"/>
    <xf numFmtId="0" fontId="16" fillId="0" borderId="0" xfId="0" applyFont="1" applyAlignment="1">
      <alignment horizontal="center" vertical="top"/>
    </xf>
    <xf numFmtId="0" fontId="17" fillId="0" borderId="0" xfId="0" applyFont="1" applyAlignment="1">
      <alignment horizontal="center" vertical="top"/>
    </xf>
    <xf numFmtId="0" fontId="17" fillId="0" borderId="0" xfId="0" applyFont="1" applyBorder="1" applyAlignment="1">
      <alignment horizontal="left" vertical="top" wrapText="1"/>
    </xf>
    <xf numFmtId="0" fontId="17" fillId="0" borderId="0" xfId="0" applyFont="1" applyAlignment="1">
      <alignment horizontal="left" vertical="center" wrapText="1"/>
    </xf>
    <xf numFmtId="0" fontId="3" fillId="9" borderId="0" xfId="0" applyFont="1" applyFill="1" applyBorder="1" applyAlignment="1">
      <alignment vertical="top"/>
    </xf>
    <xf numFmtId="0" fontId="2" fillId="9" borderId="39" xfId="0" applyFont="1" applyFill="1" applyBorder="1" applyAlignment="1">
      <alignment horizontal="left" vertical="top"/>
    </xf>
    <xf numFmtId="0" fontId="3" fillId="9" borderId="44" xfId="0" applyFont="1" applyFill="1" applyBorder="1" applyAlignment="1">
      <alignment horizontal="left" vertical="top"/>
    </xf>
    <xf numFmtId="0" fontId="3" fillId="9" borderId="9" xfId="0" applyFont="1" applyFill="1" applyBorder="1" applyAlignment="1">
      <alignment horizontal="left" vertical="top"/>
    </xf>
    <xf numFmtId="0" fontId="2" fillId="9" borderId="39" xfId="0" applyFont="1" applyFill="1" applyBorder="1" applyAlignment="1">
      <alignment horizontal="left" vertical="top" wrapText="1"/>
    </xf>
    <xf numFmtId="49" fontId="3" fillId="9" borderId="26" xfId="0" applyNumberFormat="1" applyFont="1" applyFill="1" applyBorder="1" applyAlignment="1">
      <alignment horizontal="center" vertical="top"/>
    </xf>
    <xf numFmtId="0" fontId="3" fillId="9" borderId="32" xfId="0" applyFont="1" applyFill="1" applyBorder="1" applyAlignment="1">
      <alignment horizontal="left" vertical="top"/>
    </xf>
    <xf numFmtId="0" fontId="3" fillId="9" borderId="25" xfId="0" applyFont="1" applyFill="1" applyBorder="1" applyAlignment="1">
      <alignment horizontal="left" vertical="top"/>
    </xf>
    <xf numFmtId="0" fontId="2" fillId="9" borderId="49" xfId="0" applyFont="1" applyFill="1" applyBorder="1" applyAlignment="1">
      <alignment horizontal="left" vertical="top" wrapText="1"/>
    </xf>
    <xf numFmtId="166" fontId="3" fillId="7" borderId="9" xfId="0" applyNumberFormat="1" applyFont="1" applyFill="1" applyBorder="1" applyAlignment="1">
      <alignment horizontal="center" vertical="center" wrapText="1"/>
    </xf>
    <xf numFmtId="166" fontId="4" fillId="7" borderId="9" xfId="0" applyNumberFormat="1" applyFont="1" applyFill="1" applyBorder="1" applyAlignment="1">
      <alignment horizontal="center" vertical="top" wrapText="1"/>
    </xf>
    <xf numFmtId="166" fontId="4" fillId="7" borderId="25" xfId="0" applyNumberFormat="1" applyFont="1" applyFill="1" applyBorder="1" applyAlignment="1">
      <alignment horizontal="center" vertical="top" wrapText="1"/>
    </xf>
    <xf numFmtId="166" fontId="4" fillId="7" borderId="22" xfId="0" applyNumberFormat="1" applyFont="1" applyFill="1" applyBorder="1" applyAlignment="1">
      <alignment horizontal="center" vertical="top" wrapText="1"/>
    </xf>
    <xf numFmtId="166" fontId="4" fillId="7" borderId="27" xfId="0" applyNumberFormat="1" applyFont="1" applyFill="1" applyBorder="1" applyAlignment="1">
      <alignment horizontal="center" vertical="top" wrapText="1"/>
    </xf>
    <xf numFmtId="166" fontId="2" fillId="0" borderId="31" xfId="0" applyNumberFormat="1" applyFont="1" applyBorder="1" applyAlignment="1">
      <alignment horizontal="center" vertical="top"/>
    </xf>
    <xf numFmtId="49" fontId="2" fillId="7" borderId="54" xfId="0" applyNumberFormat="1" applyFont="1" applyFill="1" applyBorder="1" applyAlignment="1">
      <alignment horizontal="center" vertical="top"/>
    </xf>
    <xf numFmtId="0" fontId="2" fillId="9" borderId="97" xfId="0" applyFont="1" applyFill="1" applyBorder="1" applyAlignment="1">
      <alignment horizontal="justify" vertical="center" wrapText="1"/>
    </xf>
    <xf numFmtId="166" fontId="2" fillId="7" borderId="13" xfId="0" applyNumberFormat="1" applyFont="1" applyFill="1" applyBorder="1" applyAlignment="1">
      <alignment horizontal="left" vertical="top" wrapText="1"/>
    </xf>
    <xf numFmtId="0" fontId="17" fillId="0" borderId="0" xfId="0" applyFont="1" applyAlignment="1">
      <alignment horizontal="left" vertical="top"/>
    </xf>
    <xf numFmtId="0" fontId="17" fillId="0" borderId="0" xfId="2" applyFont="1" applyFill="1" applyAlignment="1">
      <alignment horizontal="center" vertical="top"/>
    </xf>
    <xf numFmtId="166" fontId="3" fillId="0" borderId="0" xfId="0" applyNumberFormat="1" applyFont="1" applyFill="1" applyBorder="1" applyAlignment="1">
      <alignment horizontal="center" vertical="top" wrapText="1"/>
    </xf>
    <xf numFmtId="49" fontId="2" fillId="7" borderId="17" xfId="0" applyNumberFormat="1" applyFont="1" applyFill="1" applyBorder="1" applyAlignment="1">
      <alignment horizontal="left" vertical="top" wrapText="1"/>
    </xf>
    <xf numFmtId="166" fontId="2" fillId="7" borderId="27" xfId="0" applyNumberFormat="1" applyFont="1" applyFill="1" applyBorder="1" applyAlignment="1">
      <alignment vertical="top" wrapText="1"/>
    </xf>
    <xf numFmtId="166" fontId="7" fillId="7" borderId="7" xfId="0" applyNumberFormat="1" applyFont="1" applyFill="1" applyBorder="1" applyAlignment="1">
      <alignment vertical="top" wrapText="1"/>
    </xf>
    <xf numFmtId="166" fontId="3" fillId="7" borderId="15" xfId="0" applyNumberFormat="1" applyFont="1" applyFill="1" applyBorder="1" applyAlignment="1">
      <alignment horizontal="center" vertical="top"/>
    </xf>
    <xf numFmtId="3" fontId="2" fillId="7" borderId="25" xfId="0" applyNumberFormat="1" applyFont="1" applyFill="1" applyBorder="1" applyAlignment="1">
      <alignment horizontal="center" vertical="top"/>
    </xf>
    <xf numFmtId="166" fontId="3" fillId="3" borderId="9" xfId="0" applyNumberFormat="1" applyFont="1" applyFill="1" applyBorder="1" applyAlignment="1">
      <alignment horizontal="center" vertical="top" wrapText="1"/>
    </xf>
    <xf numFmtId="3" fontId="2" fillId="7" borderId="18" xfId="0" applyNumberFormat="1" applyFont="1" applyFill="1" applyBorder="1" applyAlignment="1">
      <alignment horizontal="center" vertical="top" wrapText="1"/>
    </xf>
    <xf numFmtId="3" fontId="2" fillId="7" borderId="42"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xf>
    <xf numFmtId="166" fontId="3" fillId="3" borderId="25" xfId="0" applyNumberFormat="1" applyFont="1" applyFill="1" applyBorder="1" applyAlignment="1">
      <alignment horizontal="center" vertical="top" wrapText="1"/>
    </xf>
    <xf numFmtId="0" fontId="3" fillId="7" borderId="34" xfId="0" applyFont="1" applyFill="1" applyBorder="1" applyAlignment="1">
      <alignment vertical="top" wrapText="1"/>
    </xf>
    <xf numFmtId="0" fontId="13" fillId="7" borderId="26" xfId="0" applyFont="1" applyFill="1" applyBorder="1" applyAlignment="1">
      <alignment vertical="top" wrapText="1"/>
    </xf>
    <xf numFmtId="166" fontId="3" fillId="7" borderId="9" xfId="0" applyNumberFormat="1" applyFont="1" applyFill="1" applyBorder="1" applyAlignment="1">
      <alignment horizontal="center" vertical="top" textRotation="90" wrapText="1"/>
    </xf>
    <xf numFmtId="3" fontId="2" fillId="7" borderId="90" xfId="0" applyNumberFormat="1" applyFont="1" applyFill="1" applyBorder="1" applyAlignment="1">
      <alignment horizontal="center" vertical="top" wrapText="1"/>
    </xf>
    <xf numFmtId="3" fontId="2" fillId="7" borderId="73" xfId="0" applyNumberFormat="1" applyFont="1" applyFill="1" applyBorder="1" applyAlignment="1">
      <alignment horizontal="center" vertical="top" wrapText="1"/>
    </xf>
    <xf numFmtId="166" fontId="10" fillId="7" borderId="17" xfId="0" applyNumberFormat="1" applyFont="1" applyFill="1" applyBorder="1" applyAlignment="1">
      <alignment horizontal="center" vertical="center" wrapText="1"/>
    </xf>
    <xf numFmtId="49" fontId="2" fillId="7" borderId="72" xfId="0" applyNumberFormat="1" applyFont="1" applyFill="1" applyBorder="1" applyAlignment="1">
      <alignment horizontal="center" vertical="top"/>
    </xf>
    <xf numFmtId="49" fontId="2" fillId="7" borderId="73" xfId="0" applyNumberFormat="1" applyFont="1" applyFill="1" applyBorder="1" applyAlignment="1">
      <alignment horizontal="center" vertical="top"/>
    </xf>
    <xf numFmtId="166" fontId="2" fillId="7" borderId="31" xfId="0" applyNumberFormat="1" applyFont="1" applyFill="1" applyBorder="1" applyAlignment="1">
      <alignment horizontal="center" vertical="top" wrapText="1"/>
    </xf>
    <xf numFmtId="166" fontId="2" fillId="7" borderId="54" xfId="0" applyNumberFormat="1" applyFont="1" applyFill="1" applyBorder="1" applyAlignment="1">
      <alignment horizontal="center" vertical="top" wrapText="1"/>
    </xf>
    <xf numFmtId="166" fontId="2" fillId="7" borderId="20" xfId="0" applyNumberFormat="1" applyFont="1" applyFill="1" applyBorder="1" applyAlignment="1">
      <alignment horizontal="right" vertical="top" wrapText="1"/>
    </xf>
    <xf numFmtId="166" fontId="2" fillId="7" borderId="68" xfId="0" applyNumberFormat="1" applyFont="1" applyFill="1" applyBorder="1" applyAlignment="1">
      <alignment horizontal="right" vertical="top" wrapText="1"/>
    </xf>
    <xf numFmtId="166" fontId="4" fillId="7" borderId="17" xfId="0" applyNumberFormat="1" applyFont="1" applyFill="1" applyBorder="1" applyAlignment="1">
      <alignment horizontal="center" vertical="top" wrapText="1"/>
    </xf>
    <xf numFmtId="49" fontId="2" fillId="7" borderId="10" xfId="0" applyNumberFormat="1" applyFont="1" applyFill="1" applyBorder="1" applyAlignment="1">
      <alignment horizontal="center" vertical="top"/>
    </xf>
    <xf numFmtId="166" fontId="2" fillId="7" borderId="6" xfId="0" applyNumberFormat="1" applyFont="1" applyFill="1" applyBorder="1" applyAlignment="1">
      <alignment vertical="top"/>
    </xf>
    <xf numFmtId="0" fontId="2" fillId="7" borderId="25" xfId="0" applyFont="1" applyFill="1" applyBorder="1" applyAlignment="1">
      <alignment horizontal="center" vertical="top"/>
    </xf>
    <xf numFmtId="0" fontId="2" fillId="7" borderId="32" xfId="0" applyFont="1" applyFill="1" applyBorder="1" applyAlignment="1">
      <alignment horizontal="center" vertical="top"/>
    </xf>
    <xf numFmtId="166" fontId="3" fillId="7" borderId="10" xfId="0" applyNumberFormat="1" applyFont="1" applyFill="1" applyBorder="1" applyAlignment="1">
      <alignment vertical="top" wrapText="1"/>
    </xf>
    <xf numFmtId="166" fontId="4" fillId="7" borderId="10"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top"/>
    </xf>
    <xf numFmtId="166" fontId="2" fillId="3" borderId="8" xfId="0" applyNumberFormat="1" applyFont="1" applyFill="1" applyBorder="1" applyAlignment="1">
      <alignment horizontal="center" vertical="top"/>
    </xf>
    <xf numFmtId="166" fontId="2" fillId="7" borderId="99" xfId="0" applyNumberFormat="1" applyFont="1" applyFill="1" applyBorder="1" applyAlignment="1">
      <alignment horizontal="left" vertical="top" wrapText="1"/>
    </xf>
    <xf numFmtId="49" fontId="2" fillId="7" borderId="66" xfId="0" applyNumberFormat="1" applyFont="1" applyFill="1" applyBorder="1" applyAlignment="1">
      <alignment horizontal="center" vertical="top"/>
    </xf>
    <xf numFmtId="166" fontId="2" fillId="7" borderId="98" xfId="0" applyNumberFormat="1" applyFont="1" applyFill="1" applyBorder="1" applyAlignment="1">
      <alignment horizontal="center" vertical="top"/>
    </xf>
    <xf numFmtId="166" fontId="2" fillId="3" borderId="31" xfId="0" applyNumberFormat="1" applyFont="1" applyFill="1" applyBorder="1" applyAlignment="1">
      <alignment horizontal="center" vertical="top"/>
    </xf>
    <xf numFmtId="166" fontId="2" fillId="3" borderId="57" xfId="0" applyNumberFormat="1" applyFont="1" applyFill="1" applyBorder="1" applyAlignment="1">
      <alignment horizontal="center" vertical="top"/>
    </xf>
    <xf numFmtId="166" fontId="13" fillId="7" borderId="16" xfId="0" applyNumberFormat="1" applyFont="1" applyFill="1" applyBorder="1" applyAlignment="1">
      <alignment vertical="top" wrapText="1"/>
    </xf>
    <xf numFmtId="166" fontId="2" fillId="7" borderId="98" xfId="0" applyNumberFormat="1" applyFont="1" applyFill="1" applyBorder="1" applyAlignment="1">
      <alignment vertical="top" wrapText="1"/>
    </xf>
    <xf numFmtId="166" fontId="2" fillId="7" borderId="80" xfId="0" applyNumberFormat="1" applyFont="1" applyFill="1" applyBorder="1" applyAlignment="1">
      <alignment horizontal="center" vertical="top"/>
    </xf>
    <xf numFmtId="166" fontId="2" fillId="7" borderId="76" xfId="0" applyNumberFormat="1" applyFont="1" applyFill="1" applyBorder="1" applyAlignment="1">
      <alignment horizontal="center" vertical="top"/>
    </xf>
    <xf numFmtId="166" fontId="2" fillId="7" borderId="85" xfId="0" applyNumberFormat="1" applyFont="1" applyFill="1" applyBorder="1" applyAlignment="1">
      <alignment vertical="top" wrapText="1"/>
    </xf>
    <xf numFmtId="3" fontId="6" fillId="7" borderId="15" xfId="0" applyNumberFormat="1" applyFont="1" applyFill="1" applyBorder="1" applyAlignment="1">
      <alignment horizontal="center" vertical="top"/>
    </xf>
    <xf numFmtId="166" fontId="7" fillId="7" borderId="43" xfId="0" applyNumberFormat="1" applyFont="1" applyFill="1" applyBorder="1" applyAlignment="1">
      <alignment horizontal="center" vertical="center" textRotation="90" wrapText="1"/>
    </xf>
    <xf numFmtId="3" fontId="6" fillId="7" borderId="0" xfId="0" applyNumberFormat="1" applyFont="1" applyFill="1" applyBorder="1" applyAlignment="1">
      <alignment horizontal="center" vertical="top"/>
    </xf>
    <xf numFmtId="166" fontId="2" fillId="7" borderId="45" xfId="0" applyNumberFormat="1" applyFont="1" applyFill="1" applyBorder="1" applyAlignment="1">
      <alignment vertical="top" wrapText="1"/>
    </xf>
    <xf numFmtId="3" fontId="2" fillId="0" borderId="24" xfId="0" applyNumberFormat="1" applyFont="1" applyFill="1" applyBorder="1" applyAlignment="1">
      <alignment horizontal="center" vertical="top" wrapText="1"/>
    </xf>
    <xf numFmtId="0" fontId="2" fillId="7" borderId="86" xfId="0" applyFont="1" applyFill="1" applyBorder="1" applyAlignment="1">
      <alignment vertical="top" wrapText="1"/>
    </xf>
    <xf numFmtId="166" fontId="2" fillId="7" borderId="14"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17"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3" fontId="2" fillId="7" borderId="25" xfId="0" applyNumberFormat="1" applyFont="1" applyFill="1" applyBorder="1" applyAlignment="1">
      <alignment horizontal="center" vertical="center"/>
    </xf>
    <xf numFmtId="166" fontId="2" fillId="7" borderId="88" xfId="0" applyNumberFormat="1" applyFont="1" applyFill="1" applyBorder="1" applyAlignment="1">
      <alignment horizontal="center" vertical="top" wrapText="1"/>
    </xf>
    <xf numFmtId="0" fontId="2" fillId="7" borderId="75" xfId="0" applyFont="1" applyFill="1" applyBorder="1" applyAlignment="1">
      <alignment horizontal="left" vertical="top" wrapText="1"/>
    </xf>
    <xf numFmtId="0" fontId="2" fillId="7" borderId="4" xfId="0" applyFont="1" applyFill="1" applyBorder="1" applyAlignment="1">
      <alignment horizontal="center" vertical="top" wrapText="1"/>
    </xf>
    <xf numFmtId="0" fontId="2" fillId="7" borderId="20" xfId="0" applyFont="1" applyFill="1" applyBorder="1" applyAlignment="1">
      <alignment horizontal="center" vertical="top" wrapText="1"/>
    </xf>
    <xf numFmtId="166" fontId="3" fillId="7" borderId="54" xfId="0" applyNumberFormat="1" applyFont="1" applyFill="1" applyBorder="1" applyAlignment="1">
      <alignment horizontal="center" vertical="top" wrapText="1"/>
    </xf>
    <xf numFmtId="0" fontId="2" fillId="7" borderId="6" xfId="0" applyFont="1" applyFill="1" applyBorder="1" applyAlignment="1">
      <alignment horizontal="center" vertical="top"/>
    </xf>
    <xf numFmtId="166" fontId="2" fillId="7" borderId="68" xfId="0" applyNumberFormat="1" applyFont="1" applyFill="1" applyBorder="1" applyAlignment="1">
      <alignment horizontal="center" vertical="top" wrapText="1"/>
    </xf>
    <xf numFmtId="3" fontId="2" fillId="7" borderId="24" xfId="0" applyNumberFormat="1" applyFont="1" applyFill="1" applyBorder="1" applyAlignment="1">
      <alignment vertical="top"/>
    </xf>
    <xf numFmtId="166" fontId="3" fillId="0" borderId="0" xfId="0" applyNumberFormat="1" applyFont="1" applyFill="1" applyBorder="1" applyAlignment="1">
      <alignment horizontal="center" vertical="top"/>
    </xf>
    <xf numFmtId="166" fontId="3" fillId="0" borderId="0" xfId="0" applyNumberFormat="1" applyFont="1" applyFill="1" applyBorder="1" applyAlignment="1">
      <alignment horizontal="right" vertical="top"/>
    </xf>
    <xf numFmtId="166" fontId="3" fillId="5" borderId="8" xfId="0" applyNumberFormat="1" applyFont="1" applyFill="1" applyBorder="1" applyAlignment="1">
      <alignment horizontal="center" vertical="top" wrapText="1"/>
    </xf>
    <xf numFmtId="166" fontId="3" fillId="8" borderId="19" xfId="0" applyNumberFormat="1" applyFont="1" applyFill="1" applyBorder="1" applyAlignment="1">
      <alignment horizontal="center" vertical="top" wrapText="1"/>
    </xf>
    <xf numFmtId="166" fontId="2" fillId="0" borderId="0" xfId="0" applyNumberFormat="1" applyFont="1" applyBorder="1" applyAlignment="1">
      <alignment horizontal="center" vertical="top"/>
    </xf>
    <xf numFmtId="166" fontId="2" fillId="0" borderId="19" xfId="0" applyNumberFormat="1" applyFont="1" applyBorder="1" applyAlignment="1">
      <alignment horizontal="center" vertical="top" wrapText="1"/>
    </xf>
    <xf numFmtId="0" fontId="2" fillId="0" borderId="34" xfId="0" applyFont="1" applyBorder="1" applyAlignment="1">
      <alignment vertical="top"/>
    </xf>
    <xf numFmtId="166" fontId="2" fillId="7" borderId="16" xfId="0" applyNumberFormat="1" applyFont="1" applyFill="1" applyBorder="1" applyAlignment="1">
      <alignment vertical="top" wrapText="1"/>
    </xf>
    <xf numFmtId="3" fontId="2" fillId="7" borderId="32" xfId="0" applyNumberFormat="1" applyFont="1" applyFill="1" applyBorder="1" applyAlignment="1">
      <alignment horizontal="center" vertical="center"/>
    </xf>
    <xf numFmtId="166" fontId="2" fillId="7" borderId="57" xfId="0" applyNumberFormat="1" applyFont="1" applyFill="1" applyBorder="1" applyAlignment="1">
      <alignment horizontal="center" vertical="center"/>
    </xf>
    <xf numFmtId="3" fontId="6" fillId="7" borderId="82" xfId="0" applyNumberFormat="1" applyFont="1" applyFill="1" applyBorder="1" applyAlignment="1">
      <alignment horizontal="center" vertical="top"/>
    </xf>
    <xf numFmtId="3" fontId="2" fillId="0" borderId="68" xfId="0" applyNumberFormat="1" applyFont="1" applyFill="1" applyBorder="1" applyAlignment="1">
      <alignment horizontal="center" vertical="top" wrapText="1"/>
    </xf>
    <xf numFmtId="0" fontId="2" fillId="7" borderId="68" xfId="0" applyFont="1" applyFill="1" applyBorder="1" applyAlignment="1">
      <alignment horizontal="center" vertical="top"/>
    </xf>
    <xf numFmtId="0" fontId="2" fillId="7" borderId="16" xfId="0" applyFont="1" applyFill="1" applyBorder="1" applyAlignment="1">
      <alignment vertical="top" wrapText="1"/>
    </xf>
    <xf numFmtId="166" fontId="2" fillId="7" borderId="4" xfId="0" applyNumberFormat="1" applyFont="1" applyFill="1" applyBorder="1" applyAlignment="1">
      <alignment horizontal="center" vertical="center"/>
    </xf>
    <xf numFmtId="0" fontId="2" fillId="7" borderId="41" xfId="0" applyFont="1" applyFill="1" applyBorder="1" applyAlignment="1">
      <alignment vertical="top" wrapText="1"/>
    </xf>
    <xf numFmtId="0" fontId="7" fillId="9" borderId="0" xfId="0" applyFont="1" applyFill="1" applyBorder="1" applyAlignment="1">
      <alignment horizontal="left" vertical="top"/>
    </xf>
    <xf numFmtId="0" fontId="7" fillId="9" borderId="68" xfId="0" applyFont="1" applyFill="1" applyBorder="1" applyAlignment="1">
      <alignment horizontal="left" vertical="top"/>
    </xf>
    <xf numFmtId="3" fontId="19" fillId="7" borderId="9" xfId="0" applyNumberFormat="1" applyFont="1" applyFill="1" applyBorder="1" applyAlignment="1">
      <alignment horizontal="center" vertical="top"/>
    </xf>
    <xf numFmtId="3" fontId="19" fillId="7" borderId="0" xfId="0" applyNumberFormat="1" applyFont="1" applyFill="1" applyBorder="1" applyAlignment="1">
      <alignment horizontal="center" vertical="top"/>
    </xf>
    <xf numFmtId="3" fontId="2" fillId="7" borderId="32" xfId="1" applyNumberFormat="1" applyFont="1" applyFill="1" applyBorder="1" applyAlignment="1">
      <alignment horizontal="center" vertical="top" wrapText="1"/>
    </xf>
    <xf numFmtId="166" fontId="2" fillId="7" borderId="91" xfId="0" applyNumberFormat="1" applyFont="1" applyFill="1" applyBorder="1" applyAlignment="1">
      <alignment horizontal="center" vertical="top"/>
    </xf>
    <xf numFmtId="0" fontId="7" fillId="7" borderId="48" xfId="0" applyFont="1" applyFill="1" applyBorder="1" applyAlignment="1">
      <alignment vertical="top" wrapText="1"/>
    </xf>
    <xf numFmtId="0" fontId="2" fillId="0" borderId="0" xfId="0" applyNumberFormat="1" applyFont="1" applyFill="1" applyBorder="1" applyAlignment="1">
      <alignment horizontal="left" vertical="top" wrapText="1"/>
    </xf>
    <xf numFmtId="0" fontId="7" fillId="0" borderId="0" xfId="0" applyFont="1" applyFill="1" applyAlignment="1">
      <alignment horizontal="left" vertical="top" wrapText="1"/>
    </xf>
    <xf numFmtId="166" fontId="2" fillId="7" borderId="40" xfId="0" applyNumberFormat="1" applyFont="1" applyFill="1" applyBorder="1" applyAlignment="1">
      <alignment vertical="top"/>
    </xf>
    <xf numFmtId="166" fontId="2" fillId="7" borderId="5" xfId="0" applyNumberFormat="1" applyFont="1" applyFill="1" applyBorder="1" applyAlignment="1">
      <alignment vertical="top"/>
    </xf>
    <xf numFmtId="166" fontId="2" fillId="7" borderId="15" xfId="0" applyNumberFormat="1" applyFont="1" applyFill="1" applyBorder="1" applyAlignment="1">
      <alignment vertical="top"/>
    </xf>
    <xf numFmtId="166" fontId="2" fillId="7" borderId="22" xfId="0" applyNumberFormat="1" applyFont="1" applyFill="1" applyBorder="1" applyAlignment="1">
      <alignment vertical="top"/>
    </xf>
    <xf numFmtId="166" fontId="2" fillId="7" borderId="47" xfId="0" applyNumberFormat="1" applyFont="1" applyFill="1" applyBorder="1" applyAlignment="1">
      <alignment vertical="top"/>
    </xf>
    <xf numFmtId="166" fontId="2" fillId="7" borderId="23" xfId="0" applyNumberFormat="1" applyFont="1" applyFill="1" applyBorder="1" applyAlignment="1">
      <alignment vertical="top"/>
    </xf>
    <xf numFmtId="166" fontId="2" fillId="7" borderId="24" xfId="0" applyNumberFormat="1" applyFont="1" applyFill="1" applyBorder="1" applyAlignment="1">
      <alignment vertical="top"/>
    </xf>
    <xf numFmtId="166" fontId="2" fillId="7" borderId="3" xfId="0" applyNumberFormat="1" applyFont="1" applyFill="1" applyBorder="1" applyAlignment="1">
      <alignment horizontal="center" vertical="top"/>
    </xf>
    <xf numFmtId="166" fontId="2" fillId="7" borderId="35" xfId="0" applyNumberFormat="1" applyFont="1" applyFill="1" applyBorder="1" applyAlignment="1">
      <alignment horizontal="right" vertical="top"/>
    </xf>
    <xf numFmtId="166" fontId="2" fillId="7" borderId="4" xfId="0" applyNumberFormat="1" applyFont="1" applyFill="1" applyBorder="1" applyAlignment="1">
      <alignment horizontal="right" vertical="top"/>
    </xf>
    <xf numFmtId="166" fontId="2" fillId="7" borderId="22" xfId="0" applyNumberFormat="1" applyFont="1" applyFill="1" applyBorder="1" applyAlignment="1">
      <alignment horizontal="center" vertical="center" textRotation="90" wrapText="1"/>
    </xf>
    <xf numFmtId="166" fontId="2" fillId="7" borderId="36" xfId="0" applyNumberFormat="1" applyFont="1" applyFill="1" applyBorder="1" applyAlignment="1">
      <alignment horizontal="left" vertical="top" wrapText="1"/>
    </xf>
    <xf numFmtId="166" fontId="2" fillId="7" borderId="43" xfId="0" applyNumberFormat="1" applyFont="1" applyFill="1" applyBorder="1" applyAlignment="1">
      <alignment vertical="top" wrapText="1"/>
    </xf>
    <xf numFmtId="166" fontId="3" fillId="7" borderId="17" xfId="0" applyNumberFormat="1" applyFont="1" applyFill="1" applyBorder="1" applyAlignment="1">
      <alignment horizontal="center" vertical="top"/>
    </xf>
    <xf numFmtId="166" fontId="2" fillId="7" borderId="71" xfId="0" applyNumberFormat="1" applyFont="1" applyFill="1" applyBorder="1" applyAlignment="1">
      <alignment horizontal="left" vertical="top" wrapText="1"/>
    </xf>
    <xf numFmtId="49" fontId="2" fillId="7" borderId="84" xfId="0" applyNumberFormat="1" applyFont="1" applyFill="1" applyBorder="1" applyAlignment="1">
      <alignment horizontal="center" vertical="top" wrapText="1"/>
    </xf>
    <xf numFmtId="166" fontId="2" fillId="3" borderId="45" xfId="0" applyNumberFormat="1" applyFont="1" applyFill="1" applyBorder="1" applyAlignment="1">
      <alignment horizontal="center" vertical="top"/>
    </xf>
    <xf numFmtId="166" fontId="3" fillId="7" borderId="42" xfId="0" applyNumberFormat="1" applyFont="1" applyFill="1" applyBorder="1" applyAlignment="1">
      <alignment horizontal="center" vertical="top" wrapText="1"/>
    </xf>
    <xf numFmtId="49" fontId="2" fillId="7" borderId="32" xfId="0" applyNumberFormat="1" applyFont="1" applyFill="1" applyBorder="1" applyAlignment="1">
      <alignment horizontal="center" vertical="top"/>
    </xf>
    <xf numFmtId="3" fontId="2" fillId="0" borderId="15" xfId="0" applyNumberFormat="1" applyFont="1" applyFill="1" applyBorder="1" applyAlignment="1">
      <alignment horizontal="center" vertical="top"/>
    </xf>
    <xf numFmtId="3" fontId="2" fillId="7" borderId="25" xfId="0" applyNumberFormat="1" applyFont="1" applyFill="1" applyBorder="1" applyAlignment="1">
      <alignment horizontal="center" vertical="top" wrapText="1"/>
    </xf>
    <xf numFmtId="3" fontId="2" fillId="7" borderId="15" xfId="0" applyNumberFormat="1" applyFont="1" applyFill="1" applyBorder="1" applyAlignment="1">
      <alignment horizontal="center" vertical="top"/>
    </xf>
    <xf numFmtId="3" fontId="2" fillId="7" borderId="17" xfId="0" applyNumberFormat="1" applyFont="1" applyFill="1" applyBorder="1" applyAlignment="1">
      <alignment horizontal="center" vertical="top"/>
    </xf>
    <xf numFmtId="3" fontId="2" fillId="7" borderId="9" xfId="0" applyNumberFormat="1" applyFont="1" applyFill="1" applyBorder="1" applyAlignment="1">
      <alignment horizontal="center" vertical="top"/>
    </xf>
    <xf numFmtId="3" fontId="2" fillId="7" borderId="42" xfId="0" applyNumberFormat="1" applyFont="1" applyFill="1" applyBorder="1" applyAlignment="1">
      <alignment horizontal="center" vertical="top"/>
    </xf>
    <xf numFmtId="3" fontId="2" fillId="7" borderId="44" xfId="0" applyNumberFormat="1" applyFont="1" applyFill="1" applyBorder="1" applyAlignment="1">
      <alignment horizontal="center" vertical="top"/>
    </xf>
    <xf numFmtId="0" fontId="24" fillId="0" borderId="104" xfId="0" applyNumberFormat="1" applyFont="1" applyFill="1" applyBorder="1" applyAlignment="1" applyProtection="1">
      <alignment horizontal="center" wrapText="1" readingOrder="1"/>
    </xf>
    <xf numFmtId="0" fontId="24" fillId="0" borderId="107" xfId="0" applyNumberFormat="1" applyFont="1" applyFill="1" applyBorder="1" applyAlignment="1" applyProtection="1">
      <alignment horizontal="center" wrapText="1" readingOrder="1"/>
    </xf>
    <xf numFmtId="0" fontId="2" fillId="7" borderId="4" xfId="0" applyFont="1" applyFill="1" applyBorder="1" applyAlignment="1">
      <alignment vertical="top"/>
    </xf>
    <xf numFmtId="3" fontId="2" fillId="7" borderId="0" xfId="0" applyNumberFormat="1" applyFont="1" applyFill="1" applyBorder="1" applyAlignment="1">
      <alignment horizontal="left" vertical="top"/>
    </xf>
    <xf numFmtId="3" fontId="2" fillId="7" borderId="54" xfId="0" applyNumberFormat="1" applyFont="1" applyFill="1" applyBorder="1" applyAlignment="1">
      <alignment horizontal="left" vertical="top"/>
    </xf>
    <xf numFmtId="3" fontId="2" fillId="7" borderId="42" xfId="0" applyNumberFormat="1" applyFont="1" applyFill="1" applyBorder="1" applyAlignment="1">
      <alignment horizontal="center" vertical="center"/>
    </xf>
    <xf numFmtId="3" fontId="2" fillId="7" borderId="18" xfId="0" applyNumberFormat="1" applyFont="1" applyFill="1" applyBorder="1" applyAlignment="1">
      <alignment vertical="top"/>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49" fontId="2" fillId="7" borderId="25" xfId="0" applyNumberFormat="1" applyFont="1" applyFill="1" applyBorder="1" applyAlignment="1">
      <alignment horizontal="center" vertical="top"/>
    </xf>
    <xf numFmtId="166" fontId="2" fillId="7" borderId="43" xfId="0" applyNumberFormat="1" applyFont="1" applyFill="1" applyBorder="1" applyAlignment="1">
      <alignment horizontal="left" vertical="top" wrapText="1"/>
    </xf>
    <xf numFmtId="166" fontId="3" fillId="7" borderId="22" xfId="0" applyNumberFormat="1" applyFont="1" applyFill="1" applyBorder="1" applyAlignment="1">
      <alignment horizontal="left" vertical="top"/>
    </xf>
    <xf numFmtId="0" fontId="4" fillId="7" borderId="17" xfId="0" applyFont="1" applyFill="1" applyBorder="1" applyAlignment="1">
      <alignment horizontal="center" vertical="top" wrapText="1"/>
    </xf>
    <xf numFmtId="165" fontId="2" fillId="7" borderId="20" xfId="0" applyNumberFormat="1" applyFont="1" applyFill="1" applyBorder="1" applyAlignment="1">
      <alignment horizontal="center"/>
    </xf>
    <xf numFmtId="165" fontId="2" fillId="7" borderId="68" xfId="0" applyNumberFormat="1" applyFont="1" applyFill="1" applyBorder="1" applyAlignment="1">
      <alignment horizontal="center"/>
    </xf>
    <xf numFmtId="0" fontId="2" fillId="7" borderId="57" xfId="0" applyFont="1" applyFill="1" applyBorder="1" applyAlignment="1">
      <alignment vertical="top"/>
    </xf>
    <xf numFmtId="166" fontId="3" fillId="7" borderId="9" xfId="0" applyNumberFormat="1" applyFont="1" applyFill="1" applyBorder="1" applyAlignment="1">
      <alignment vertical="top"/>
    </xf>
    <xf numFmtId="166" fontId="2" fillId="7" borderId="57" xfId="1" applyNumberFormat="1" applyFont="1" applyFill="1" applyBorder="1" applyAlignment="1">
      <alignment horizontal="center" vertical="top" wrapText="1"/>
    </xf>
    <xf numFmtId="166" fontId="3" fillId="7" borderId="22" xfId="0" applyNumberFormat="1" applyFont="1" applyFill="1" applyBorder="1" applyAlignment="1">
      <alignment horizontal="center" vertical="top"/>
    </xf>
    <xf numFmtId="3" fontId="2" fillId="7" borderId="25" xfId="1" applyNumberFormat="1" applyFont="1" applyFill="1" applyBorder="1" applyAlignment="1">
      <alignment horizontal="center" vertical="top" wrapText="1"/>
    </xf>
    <xf numFmtId="3" fontId="2" fillId="7" borderId="68" xfId="1" applyNumberFormat="1" applyFont="1" applyFill="1" applyBorder="1" applyAlignment="1">
      <alignment horizontal="center" vertical="top" wrapText="1"/>
    </xf>
    <xf numFmtId="3" fontId="2" fillId="7" borderId="24" xfId="1" applyNumberFormat="1" applyFont="1" applyFill="1" applyBorder="1" applyAlignment="1">
      <alignment horizontal="center" vertical="top" wrapText="1"/>
    </xf>
    <xf numFmtId="166" fontId="3" fillId="7" borderId="27" xfId="0" applyNumberFormat="1" applyFont="1" applyFill="1" applyBorder="1" applyAlignment="1">
      <alignment vertical="top"/>
    </xf>
    <xf numFmtId="49" fontId="3" fillId="7" borderId="0" xfId="0" applyNumberFormat="1" applyFont="1" applyFill="1" applyBorder="1" applyAlignment="1">
      <alignment horizontal="center" vertical="top"/>
    </xf>
    <xf numFmtId="0" fontId="7" fillId="7" borderId="56" xfId="0" applyFont="1" applyFill="1" applyBorder="1" applyAlignment="1">
      <alignment vertical="top" wrapText="1"/>
    </xf>
    <xf numFmtId="0" fontId="7" fillId="0" borderId="109" xfId="0" applyFont="1" applyBorder="1" applyAlignment="1">
      <alignment horizontal="center" vertical="center" wrapText="1"/>
    </xf>
    <xf numFmtId="166" fontId="2" fillId="7" borderId="109" xfId="0" applyNumberFormat="1" applyFont="1" applyFill="1" applyBorder="1" applyAlignment="1">
      <alignment horizontal="left" vertical="top" wrapText="1"/>
    </xf>
    <xf numFmtId="166" fontId="2" fillId="7" borderId="109" xfId="0" applyNumberFormat="1" applyFont="1" applyFill="1" applyBorder="1" applyAlignment="1">
      <alignment horizontal="center" vertical="top" wrapText="1"/>
    </xf>
    <xf numFmtId="0" fontId="24" fillId="0" borderId="100" xfId="0" applyNumberFormat="1" applyFont="1" applyFill="1" applyBorder="1" applyAlignment="1" applyProtection="1">
      <alignment wrapText="1" readingOrder="1"/>
    </xf>
    <xf numFmtId="0" fontId="24" fillId="0" borderId="101" xfId="0" applyNumberFormat="1" applyFont="1" applyFill="1" applyBorder="1" applyAlignment="1" applyProtection="1">
      <alignment wrapText="1" readingOrder="1"/>
    </xf>
    <xf numFmtId="0" fontId="25" fillId="0" borderId="101" xfId="0" applyNumberFormat="1" applyFont="1" applyFill="1" applyBorder="1" applyAlignment="1" applyProtection="1">
      <alignment wrapText="1"/>
    </xf>
    <xf numFmtId="0" fontId="25" fillId="0" borderId="102" xfId="0" applyNumberFormat="1" applyFont="1" applyFill="1" applyBorder="1" applyAlignment="1" applyProtection="1">
      <alignment wrapText="1"/>
    </xf>
    <xf numFmtId="0" fontId="0" fillId="0" borderId="0" xfId="0" applyNumberFormat="1" applyFill="1" applyAlignment="1" applyProtection="1">
      <alignment wrapText="1"/>
    </xf>
    <xf numFmtId="0" fontId="24" fillId="0" borderId="103" xfId="0" applyNumberFormat="1" applyFont="1" applyFill="1" applyBorder="1" applyAlignment="1" applyProtection="1">
      <alignment wrapText="1" readingOrder="1"/>
    </xf>
    <xf numFmtId="0" fontId="24" fillId="0" borderId="104" xfId="0" applyNumberFormat="1" applyFont="1" applyFill="1" applyBorder="1" applyAlignment="1" applyProtection="1">
      <alignment wrapText="1" readingOrder="1"/>
    </xf>
    <xf numFmtId="0" fontId="25" fillId="0" borderId="104" xfId="0" applyNumberFormat="1" applyFont="1" applyFill="1" applyBorder="1" applyAlignment="1" applyProtection="1">
      <alignment wrapText="1"/>
    </xf>
    <xf numFmtId="0" fontId="24" fillId="0" borderId="105" xfId="0" applyNumberFormat="1" applyFont="1" applyFill="1" applyBorder="1" applyAlignment="1" applyProtection="1">
      <alignment wrapText="1" readingOrder="1"/>
    </xf>
    <xf numFmtId="0" fontId="24" fillId="0" borderId="106" xfId="0" applyNumberFormat="1" applyFont="1" applyFill="1" applyBorder="1" applyAlignment="1" applyProtection="1">
      <alignment wrapText="1" readingOrder="1"/>
    </xf>
    <xf numFmtId="0" fontId="24" fillId="0" borderId="107" xfId="0" applyNumberFormat="1" applyFont="1" applyFill="1" applyBorder="1" applyAlignment="1" applyProtection="1">
      <alignment wrapText="1" readingOrder="1"/>
    </xf>
    <xf numFmtId="0" fontId="24" fillId="0" borderId="108" xfId="0" applyNumberFormat="1" applyFont="1" applyFill="1" applyBorder="1" applyAlignment="1" applyProtection="1">
      <alignment wrapText="1" readingOrder="1"/>
    </xf>
    <xf numFmtId="0" fontId="27" fillId="10" borderId="100" xfId="0" applyNumberFormat="1" applyFont="1" applyFill="1" applyBorder="1" applyAlignment="1" applyProtection="1">
      <alignment vertical="top" wrapText="1" readingOrder="1"/>
      <protection locked="0"/>
    </xf>
    <xf numFmtId="0" fontId="27" fillId="10" borderId="101" xfId="0" applyNumberFormat="1" applyFont="1" applyFill="1" applyBorder="1" applyAlignment="1" applyProtection="1">
      <alignment vertical="top" wrapText="1" readingOrder="1"/>
      <protection locked="0"/>
    </xf>
    <xf numFmtId="0" fontId="27" fillId="10" borderId="101" xfId="0" applyNumberFormat="1" applyFont="1" applyFill="1" applyBorder="1" applyAlignment="1" applyProtection="1">
      <alignment horizontal="left" vertical="top" wrapText="1" readingOrder="1"/>
      <protection locked="0"/>
    </xf>
    <xf numFmtId="168" fontId="27" fillId="10" borderId="101" xfId="0" applyNumberFormat="1" applyFont="1" applyFill="1" applyBorder="1" applyAlignment="1" applyProtection="1">
      <alignment horizontal="right" vertical="top" wrapText="1" readingOrder="1"/>
    </xf>
    <xf numFmtId="0" fontId="27" fillId="10" borderId="101" xfId="0" applyNumberFormat="1" applyFont="1" applyFill="1" applyBorder="1" applyAlignment="1" applyProtection="1">
      <alignment horizontal="center" vertical="top" wrapText="1" readingOrder="1"/>
      <protection locked="0"/>
    </xf>
    <xf numFmtId="0" fontId="27" fillId="10" borderId="101" xfId="0" applyNumberFormat="1" applyFont="1" applyFill="1" applyBorder="1" applyAlignment="1" applyProtection="1">
      <alignment horizontal="right" vertical="top" wrapText="1" readingOrder="1"/>
      <protection locked="0"/>
    </xf>
    <xf numFmtId="0" fontId="27" fillId="11" borderId="100" xfId="0" applyNumberFormat="1" applyFont="1" applyFill="1" applyBorder="1" applyAlignment="1" applyProtection="1">
      <alignment vertical="top" wrapText="1" readingOrder="1"/>
      <protection locked="0"/>
    </xf>
    <xf numFmtId="0" fontId="27" fillId="11" borderId="101" xfId="0" applyNumberFormat="1" applyFont="1" applyFill="1" applyBorder="1" applyAlignment="1" applyProtection="1">
      <alignment vertical="top" wrapText="1" readingOrder="1"/>
      <protection locked="0"/>
    </xf>
    <xf numFmtId="0" fontId="27" fillId="11" borderId="101" xfId="0" applyNumberFormat="1" applyFont="1" applyFill="1" applyBorder="1" applyAlignment="1" applyProtection="1">
      <alignment horizontal="left" vertical="top" wrapText="1" readingOrder="1"/>
      <protection locked="0"/>
    </xf>
    <xf numFmtId="168" fontId="27" fillId="11" borderId="101" xfId="0" applyNumberFormat="1" applyFont="1" applyFill="1" applyBorder="1" applyAlignment="1" applyProtection="1">
      <alignment horizontal="right" vertical="top" wrapText="1" readingOrder="1"/>
    </xf>
    <xf numFmtId="0" fontId="27" fillId="11" borderId="101" xfId="0" applyNumberFormat="1" applyFont="1" applyFill="1" applyBorder="1" applyAlignment="1" applyProtection="1">
      <alignment horizontal="center" vertical="top" wrapText="1" readingOrder="1"/>
      <protection locked="0"/>
    </xf>
    <xf numFmtId="0" fontId="27" fillId="11" borderId="101" xfId="0" applyNumberFormat="1" applyFont="1" applyFill="1" applyBorder="1" applyAlignment="1" applyProtection="1">
      <alignment horizontal="right" vertical="top" wrapText="1" readingOrder="1"/>
      <protection locked="0"/>
    </xf>
    <xf numFmtId="0" fontId="27" fillId="12" borderId="100" xfId="0" applyNumberFormat="1" applyFont="1" applyFill="1" applyBorder="1" applyAlignment="1" applyProtection="1">
      <alignment vertical="top" wrapText="1" readingOrder="1"/>
      <protection locked="0"/>
    </xf>
    <xf numFmtId="0" fontId="27" fillId="12" borderId="101" xfId="0" applyNumberFormat="1" applyFont="1" applyFill="1" applyBorder="1" applyAlignment="1" applyProtection="1">
      <alignment vertical="top" wrapText="1" readingOrder="1"/>
      <protection locked="0"/>
    </xf>
    <xf numFmtId="0" fontId="27" fillId="12" borderId="101" xfId="0" applyNumberFormat="1" applyFont="1" applyFill="1" applyBorder="1" applyAlignment="1" applyProtection="1">
      <alignment horizontal="left" vertical="top" wrapText="1" readingOrder="1"/>
      <protection locked="0"/>
    </xf>
    <xf numFmtId="168" fontId="27" fillId="12" borderId="101" xfId="0" applyNumberFormat="1" applyFont="1" applyFill="1" applyBorder="1" applyAlignment="1" applyProtection="1">
      <alignment horizontal="right" vertical="top" wrapText="1" readingOrder="1"/>
    </xf>
    <xf numFmtId="0" fontId="27" fillId="12" borderId="101" xfId="0" applyNumberFormat="1" applyFont="1" applyFill="1" applyBorder="1" applyAlignment="1" applyProtection="1">
      <alignment horizontal="center" vertical="top" wrapText="1" readingOrder="1"/>
      <protection locked="0"/>
    </xf>
    <xf numFmtId="0" fontId="27" fillId="12" borderId="101" xfId="0" applyNumberFormat="1" applyFont="1" applyFill="1" applyBorder="1" applyAlignment="1" applyProtection="1">
      <alignment horizontal="right" vertical="top" wrapText="1" readingOrder="1"/>
      <protection locked="0"/>
    </xf>
    <xf numFmtId="0" fontId="26" fillId="0" borderId="100" xfId="0" applyNumberFormat="1" applyFont="1" applyFill="1" applyBorder="1" applyAlignment="1" applyProtection="1">
      <alignment vertical="top" wrapText="1" readingOrder="1"/>
      <protection locked="0"/>
    </xf>
    <xf numFmtId="0" fontId="26" fillId="0" borderId="101" xfId="0" applyNumberFormat="1" applyFont="1" applyFill="1" applyBorder="1" applyAlignment="1" applyProtection="1">
      <alignment vertical="top" wrapText="1" readingOrder="1"/>
      <protection locked="0"/>
    </xf>
    <xf numFmtId="0" fontId="26" fillId="0" borderId="101" xfId="0" applyNumberFormat="1" applyFont="1" applyFill="1" applyBorder="1" applyAlignment="1" applyProtection="1">
      <alignment horizontal="left" vertical="top" wrapText="1" readingOrder="1"/>
      <protection locked="0"/>
    </xf>
    <xf numFmtId="168" fontId="26" fillId="0" borderId="101" xfId="0" applyNumberFormat="1" applyFont="1" applyFill="1" applyBorder="1" applyAlignment="1" applyProtection="1">
      <alignment horizontal="right" vertical="top" wrapText="1" readingOrder="1"/>
    </xf>
    <xf numFmtId="0" fontId="26" fillId="0" borderId="101" xfId="0" applyNumberFormat="1" applyFont="1" applyFill="1" applyBorder="1" applyAlignment="1" applyProtection="1">
      <alignment horizontal="center" vertical="top" wrapText="1" readingOrder="1"/>
      <protection locked="0"/>
    </xf>
    <xf numFmtId="0" fontId="26" fillId="0" borderId="101" xfId="0" applyNumberFormat="1" applyFont="1" applyFill="1" applyBorder="1" applyAlignment="1" applyProtection="1">
      <alignment horizontal="right" vertical="top" wrapText="1" readingOrder="1"/>
      <protection locked="0"/>
    </xf>
    <xf numFmtId="0" fontId="26" fillId="0" borderId="103" xfId="0" applyNumberFormat="1" applyFont="1" applyFill="1" applyBorder="1" applyAlignment="1" applyProtection="1">
      <alignment vertical="top" wrapText="1" readingOrder="1"/>
      <protection locked="0"/>
    </xf>
    <xf numFmtId="0" fontId="26" fillId="0" borderId="104" xfId="0" applyNumberFormat="1" applyFont="1" applyFill="1" applyBorder="1" applyAlignment="1" applyProtection="1">
      <alignment vertical="top" wrapText="1" readingOrder="1"/>
      <protection locked="0"/>
    </xf>
    <xf numFmtId="0" fontId="26" fillId="0" borderId="104" xfId="0" applyNumberFormat="1" applyFont="1" applyFill="1" applyBorder="1" applyAlignment="1" applyProtection="1">
      <alignment horizontal="left" vertical="top" wrapText="1" readingOrder="1"/>
      <protection locked="0"/>
    </xf>
    <xf numFmtId="168" fontId="26" fillId="0" borderId="104" xfId="0" applyNumberFormat="1" applyFont="1" applyFill="1" applyBorder="1" applyAlignment="1" applyProtection="1">
      <alignment horizontal="right" vertical="top" wrapText="1" readingOrder="1"/>
      <protection locked="0"/>
    </xf>
    <xf numFmtId="0" fontId="26" fillId="0" borderId="104" xfId="0" applyNumberFormat="1" applyFont="1" applyFill="1" applyBorder="1" applyAlignment="1" applyProtection="1">
      <alignment horizontal="center" vertical="top" wrapText="1" readingOrder="1"/>
      <protection locked="0"/>
    </xf>
    <xf numFmtId="0" fontId="26" fillId="0" borderId="104" xfId="0" applyNumberFormat="1" applyFont="1" applyFill="1" applyBorder="1" applyAlignment="1" applyProtection="1">
      <alignment horizontal="right" vertical="top" wrapText="1" readingOrder="1"/>
      <protection locked="0"/>
    </xf>
    <xf numFmtId="168" fontId="26" fillId="0" borderId="101" xfId="0" applyNumberFormat="1" applyFont="1" applyFill="1" applyBorder="1" applyAlignment="1" applyProtection="1">
      <alignment horizontal="right" vertical="top" wrapText="1" readingOrder="1"/>
      <protection locked="0"/>
    </xf>
    <xf numFmtId="0" fontId="26" fillId="0" borderId="106" xfId="0" applyNumberFormat="1" applyFont="1" applyFill="1" applyBorder="1" applyAlignment="1" applyProtection="1">
      <alignment vertical="top" wrapText="1" readingOrder="1"/>
      <protection locked="0"/>
    </xf>
    <xf numFmtId="0" fontId="26" fillId="0" borderId="107" xfId="0" applyNumberFormat="1" applyFont="1" applyFill="1" applyBorder="1" applyAlignment="1" applyProtection="1">
      <alignment vertical="top" wrapText="1" readingOrder="1"/>
      <protection locked="0"/>
    </xf>
    <xf numFmtId="0" fontId="26" fillId="0" borderId="107" xfId="0" applyNumberFormat="1" applyFont="1" applyFill="1" applyBorder="1" applyAlignment="1" applyProtection="1">
      <alignment horizontal="left" vertical="top" wrapText="1" readingOrder="1"/>
      <protection locked="0"/>
    </xf>
    <xf numFmtId="168" fontId="26" fillId="0" borderId="107" xfId="0" applyNumberFormat="1" applyFont="1" applyFill="1" applyBorder="1" applyAlignment="1" applyProtection="1">
      <alignment horizontal="right" vertical="top" wrapText="1" readingOrder="1"/>
      <protection locked="0"/>
    </xf>
    <xf numFmtId="0" fontId="26" fillId="0" borderId="107" xfId="0" applyNumberFormat="1" applyFont="1" applyFill="1" applyBorder="1" applyAlignment="1" applyProtection="1">
      <alignment horizontal="center" vertical="top" wrapText="1" readingOrder="1"/>
      <protection locked="0"/>
    </xf>
    <xf numFmtId="0" fontId="26" fillId="0" borderId="107" xfId="0" applyNumberFormat="1" applyFont="1" applyFill="1" applyBorder="1" applyAlignment="1" applyProtection="1">
      <alignment horizontal="right" vertical="top" wrapText="1" readingOrder="1"/>
      <protection locked="0"/>
    </xf>
    <xf numFmtId="0" fontId="26" fillId="0" borderId="0" xfId="0" applyNumberFormat="1" applyFont="1" applyFill="1" applyAlignment="1" applyProtection="1">
      <alignment vertical="top" wrapText="1" readingOrder="1"/>
      <protection locked="0"/>
    </xf>
    <xf numFmtId="0" fontId="26" fillId="0" borderId="0" xfId="0" applyNumberFormat="1" applyFont="1" applyFill="1" applyAlignment="1" applyProtection="1">
      <alignment horizontal="left" vertical="top" wrapText="1" readingOrder="1"/>
      <protection locked="0"/>
    </xf>
    <xf numFmtId="168" fontId="26" fillId="0" borderId="0" xfId="0" applyNumberFormat="1" applyFont="1" applyFill="1" applyAlignment="1" applyProtection="1">
      <alignment horizontal="right" vertical="top" wrapText="1" readingOrder="1"/>
      <protection locked="0"/>
    </xf>
    <xf numFmtId="0" fontId="26" fillId="0" borderId="0" xfId="0" applyNumberFormat="1" applyFont="1" applyFill="1" applyAlignment="1" applyProtection="1">
      <alignment horizontal="center" vertical="top" wrapText="1" readingOrder="1"/>
      <protection locked="0"/>
    </xf>
    <xf numFmtId="0" fontId="26" fillId="0" borderId="0" xfId="0" applyNumberFormat="1" applyFont="1" applyFill="1" applyAlignment="1" applyProtection="1">
      <alignment horizontal="right" vertical="top" wrapText="1" readingOrder="1"/>
      <protection locked="0"/>
    </xf>
    <xf numFmtId="0" fontId="27" fillId="13" borderId="104" xfId="0" applyNumberFormat="1" applyFont="1" applyFill="1" applyBorder="1" applyAlignment="1" applyProtection="1">
      <alignment vertical="top" wrapText="1" readingOrder="1"/>
      <protection locked="0"/>
    </xf>
    <xf numFmtId="0" fontId="27" fillId="13" borderId="104" xfId="0" applyNumberFormat="1" applyFont="1" applyFill="1" applyBorder="1" applyAlignment="1" applyProtection="1">
      <alignment horizontal="right" vertical="top" wrapText="1" readingOrder="1"/>
      <protection locked="0"/>
    </xf>
    <xf numFmtId="168" fontId="27" fillId="13" borderId="104" xfId="0" applyNumberFormat="1" applyFont="1" applyFill="1" applyBorder="1" applyAlignment="1" applyProtection="1">
      <alignment horizontal="right" vertical="top" wrapText="1" readingOrder="1"/>
    </xf>
    <xf numFmtId="166" fontId="3" fillId="9" borderId="5" xfId="0" applyNumberFormat="1" applyFont="1" applyFill="1" applyBorder="1" applyAlignment="1">
      <alignment horizontal="center" vertical="top"/>
    </xf>
    <xf numFmtId="166" fontId="3" fillId="2" borderId="44" xfId="0" applyNumberFormat="1" applyFont="1" applyFill="1" applyBorder="1" applyAlignment="1">
      <alignment horizontal="center" vertical="top"/>
    </xf>
    <xf numFmtId="166" fontId="3" fillId="7" borderId="9" xfId="0" applyNumberFormat="1" applyFont="1" applyFill="1" applyBorder="1" applyAlignment="1">
      <alignment horizontal="center" vertical="top"/>
    </xf>
    <xf numFmtId="166" fontId="2" fillId="7" borderId="17" xfId="0" applyNumberFormat="1" applyFont="1" applyFill="1" applyBorder="1" applyAlignment="1">
      <alignment horizontal="left" vertical="top" wrapText="1"/>
    </xf>
    <xf numFmtId="166" fontId="3" fillId="7" borderId="9" xfId="0" applyNumberFormat="1" applyFont="1" applyFill="1" applyBorder="1" applyAlignment="1">
      <alignment horizontal="center" vertical="top" wrapText="1"/>
    </xf>
    <xf numFmtId="166" fontId="3" fillId="7" borderId="44" xfId="0" applyNumberFormat="1" applyFont="1" applyFill="1" applyBorder="1" applyAlignment="1">
      <alignment horizontal="center" vertical="top"/>
    </xf>
    <xf numFmtId="166" fontId="3" fillId="2" borderId="9" xfId="0" applyNumberFormat="1" applyFont="1" applyFill="1" applyBorder="1" applyAlignment="1">
      <alignment horizontal="center" vertical="top"/>
    </xf>
    <xf numFmtId="166" fontId="2" fillId="7" borderId="9" xfId="0" applyNumberFormat="1" applyFont="1" applyFill="1" applyBorder="1" applyAlignment="1">
      <alignment horizontal="left" vertical="top" wrapText="1"/>
    </xf>
    <xf numFmtId="166" fontId="2" fillId="7" borderId="33" xfId="0" applyNumberFormat="1" applyFont="1" applyFill="1" applyBorder="1" applyAlignment="1">
      <alignment horizontal="left" vertical="top" wrapText="1"/>
    </xf>
    <xf numFmtId="0" fontId="7" fillId="7" borderId="5" xfId="0" applyFont="1" applyFill="1" applyBorder="1" applyAlignment="1">
      <alignment horizontal="left" vertical="top" wrapText="1"/>
    </xf>
    <xf numFmtId="166" fontId="3" fillId="7" borderId="44" xfId="0" applyNumberFormat="1" applyFont="1" applyFill="1" applyBorder="1" applyAlignment="1">
      <alignment horizontal="center" vertical="top" wrapText="1"/>
    </xf>
    <xf numFmtId="0" fontId="2" fillId="7" borderId="33" xfId="0" applyFont="1" applyFill="1" applyBorder="1" applyAlignment="1">
      <alignment vertical="top" wrapText="1"/>
    </xf>
    <xf numFmtId="0" fontId="2" fillId="7" borderId="5" xfId="0" applyFont="1" applyFill="1" applyBorder="1" applyAlignment="1">
      <alignment vertical="top" wrapText="1"/>
    </xf>
    <xf numFmtId="166" fontId="2" fillId="7" borderId="5" xfId="0" applyNumberFormat="1" applyFont="1" applyFill="1" applyBorder="1" applyAlignment="1">
      <alignment horizontal="left" vertical="top" wrapText="1"/>
    </xf>
    <xf numFmtId="0" fontId="2" fillId="7" borderId="33" xfId="0" applyFont="1" applyFill="1" applyBorder="1" applyAlignment="1">
      <alignment horizontal="left" vertical="top" wrapText="1"/>
    </xf>
    <xf numFmtId="166" fontId="2" fillId="7" borderId="9" xfId="0" applyNumberFormat="1" applyFont="1" applyFill="1" applyBorder="1" applyAlignment="1">
      <alignment vertical="top" wrapText="1"/>
    </xf>
    <xf numFmtId="166" fontId="2" fillId="7" borderId="41" xfId="0" applyNumberFormat="1" applyFont="1" applyFill="1" applyBorder="1" applyAlignment="1">
      <alignment vertical="top" wrapText="1"/>
    </xf>
    <xf numFmtId="166" fontId="3" fillId="9" borderId="31" xfId="0" applyNumberFormat="1" applyFont="1" applyFill="1" applyBorder="1" applyAlignment="1">
      <alignment horizontal="center" vertical="top"/>
    </xf>
    <xf numFmtId="166" fontId="2" fillId="7" borderId="32" xfId="0" applyNumberFormat="1" applyFont="1" applyFill="1" applyBorder="1" applyAlignment="1">
      <alignment horizontal="left" vertical="top" wrapText="1"/>
    </xf>
    <xf numFmtId="0" fontId="7" fillId="7" borderId="26" xfId="0" applyFont="1" applyFill="1" applyBorder="1" applyAlignment="1">
      <alignment horizontal="left" vertical="top" wrapText="1"/>
    </xf>
    <xf numFmtId="166" fontId="2" fillId="7" borderId="17" xfId="0" applyNumberFormat="1" applyFont="1" applyFill="1" applyBorder="1" applyAlignment="1">
      <alignment horizontal="center" vertical="center" textRotation="90" wrapText="1"/>
    </xf>
    <xf numFmtId="166" fontId="2" fillId="7" borderId="9" xfId="0" applyNumberFormat="1" applyFont="1" applyFill="1" applyBorder="1" applyAlignment="1">
      <alignment horizontal="center" vertical="center" textRotation="90" wrapText="1"/>
    </xf>
    <xf numFmtId="166" fontId="3" fillId="7" borderId="25" xfId="0" applyNumberFormat="1" applyFont="1" applyFill="1" applyBorder="1" applyAlignment="1">
      <alignment horizontal="center" vertical="top" wrapText="1"/>
    </xf>
    <xf numFmtId="49" fontId="3" fillId="7" borderId="44" xfId="0" applyNumberFormat="1" applyFont="1" applyFill="1" applyBorder="1" applyAlignment="1">
      <alignment horizontal="center" vertical="top"/>
    </xf>
    <xf numFmtId="166" fontId="2" fillId="7" borderId="25" xfId="0" applyNumberFormat="1" applyFont="1" applyFill="1" applyBorder="1" applyAlignment="1">
      <alignment vertical="top" wrapText="1"/>
    </xf>
    <xf numFmtId="166" fontId="2" fillId="7" borderId="86" xfId="0" applyNumberFormat="1" applyFont="1" applyFill="1" applyBorder="1" applyAlignment="1">
      <alignment horizontal="left" vertical="top" wrapText="1"/>
    </xf>
    <xf numFmtId="3" fontId="2" fillId="7" borderId="18" xfId="0" applyNumberFormat="1" applyFont="1" applyFill="1" applyBorder="1" applyAlignment="1">
      <alignment horizontal="center" vertical="top"/>
    </xf>
    <xf numFmtId="3" fontId="2" fillId="7" borderId="24" xfId="0" applyNumberFormat="1" applyFont="1" applyFill="1" applyBorder="1" applyAlignment="1">
      <alignment horizontal="center" vertical="top"/>
    </xf>
    <xf numFmtId="166" fontId="2" fillId="7" borderId="42" xfId="0" applyNumberFormat="1" applyFont="1" applyFill="1" applyBorder="1" applyAlignment="1">
      <alignment vertical="top" wrapText="1"/>
    </xf>
    <xf numFmtId="166" fontId="2" fillId="7" borderId="44" xfId="0" applyNumberFormat="1" applyFont="1" applyFill="1" applyBorder="1" applyAlignment="1">
      <alignment vertical="top" wrapText="1"/>
    </xf>
    <xf numFmtId="49" fontId="3" fillId="9" borderId="3" xfId="0" applyNumberFormat="1" applyFont="1" applyFill="1" applyBorder="1" applyAlignment="1">
      <alignment horizontal="center" vertical="top"/>
    </xf>
    <xf numFmtId="49" fontId="3" fillId="9" borderId="5" xfId="0" applyNumberFormat="1" applyFont="1" applyFill="1" applyBorder="1" applyAlignment="1">
      <alignment horizontal="center" vertical="top"/>
    </xf>
    <xf numFmtId="49" fontId="3" fillId="2" borderId="37"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7" borderId="22" xfId="0" applyNumberFormat="1" applyFont="1" applyFill="1" applyBorder="1" applyAlignment="1">
      <alignment horizontal="center" vertical="top"/>
    </xf>
    <xf numFmtId="49" fontId="3" fillId="7" borderId="9" xfId="0" applyNumberFormat="1" applyFont="1" applyFill="1" applyBorder="1" applyAlignment="1">
      <alignment horizontal="center" vertical="top"/>
    </xf>
    <xf numFmtId="0" fontId="2" fillId="7" borderId="25" xfId="0" applyFont="1" applyFill="1" applyBorder="1" applyAlignment="1">
      <alignment horizontal="left" vertical="top" wrapText="1"/>
    </xf>
    <xf numFmtId="166" fontId="2" fillId="2" borderId="63" xfId="0" applyNumberFormat="1" applyFont="1" applyFill="1" applyBorder="1" applyAlignment="1">
      <alignment horizontal="center" vertical="top" wrapText="1"/>
    </xf>
    <xf numFmtId="166" fontId="7" fillId="7" borderId="9" xfId="0" applyNumberFormat="1" applyFont="1" applyFill="1" applyBorder="1" applyAlignment="1">
      <alignment horizontal="center" vertical="center" textRotation="90" wrapText="1"/>
    </xf>
    <xf numFmtId="166" fontId="2" fillId="7" borderId="86" xfId="0" applyNumberFormat="1" applyFont="1" applyFill="1" applyBorder="1" applyAlignment="1">
      <alignment vertical="top" wrapText="1"/>
    </xf>
    <xf numFmtId="0" fontId="7" fillId="0" borderId="26" xfId="0" applyFont="1" applyBorder="1" applyAlignment="1">
      <alignment vertical="top" wrapText="1"/>
    </xf>
    <xf numFmtId="166" fontId="2" fillId="7" borderId="26" xfId="0" applyNumberFormat="1" applyFont="1" applyFill="1" applyBorder="1" applyAlignment="1">
      <alignment horizontal="left" vertical="top" wrapText="1"/>
    </xf>
    <xf numFmtId="49" fontId="3" fillId="2" borderId="9" xfId="0" applyNumberFormat="1" applyFont="1" applyFill="1" applyBorder="1" applyAlignment="1">
      <alignment horizontal="center" vertical="top"/>
    </xf>
    <xf numFmtId="0" fontId="7" fillId="7" borderId="32" xfId="0" applyFont="1" applyFill="1" applyBorder="1" applyAlignment="1">
      <alignment vertical="top" wrapText="1"/>
    </xf>
    <xf numFmtId="0" fontId="7" fillId="0" borderId="25" xfId="0" applyFont="1" applyBorder="1" applyAlignment="1">
      <alignment horizontal="center" vertical="center" wrapText="1"/>
    </xf>
    <xf numFmtId="166" fontId="2" fillId="7" borderId="5" xfId="0" applyNumberFormat="1" applyFont="1" applyFill="1" applyBorder="1" applyAlignment="1">
      <alignment vertical="top" wrapText="1"/>
    </xf>
    <xf numFmtId="166" fontId="7" fillId="7" borderId="26" xfId="0" applyNumberFormat="1" applyFont="1" applyFill="1" applyBorder="1" applyAlignment="1">
      <alignment vertical="top" wrapText="1"/>
    </xf>
    <xf numFmtId="166" fontId="3" fillId="9" borderId="3"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2" borderId="22" xfId="0" applyNumberFormat="1" applyFont="1" applyFill="1" applyBorder="1" applyAlignment="1">
      <alignment horizontal="center" vertical="top"/>
    </xf>
    <xf numFmtId="166" fontId="3" fillId="2" borderId="27" xfId="0" applyNumberFormat="1" applyFont="1" applyFill="1" applyBorder="1" applyAlignment="1">
      <alignment horizontal="center" vertical="top"/>
    </xf>
    <xf numFmtId="166" fontId="3" fillId="7" borderId="37" xfId="0" applyNumberFormat="1" applyFont="1" applyFill="1" applyBorder="1" applyAlignment="1">
      <alignment horizontal="center" vertical="top"/>
    </xf>
    <xf numFmtId="49" fontId="3" fillId="7" borderId="42" xfId="0" applyNumberFormat="1" applyFont="1" applyFill="1" applyBorder="1" applyAlignment="1">
      <alignment horizontal="center" vertical="top"/>
    </xf>
    <xf numFmtId="49" fontId="3" fillId="7" borderId="32" xfId="0" applyNumberFormat="1" applyFont="1" applyFill="1" applyBorder="1" applyAlignment="1">
      <alignment horizontal="center" vertical="top"/>
    </xf>
    <xf numFmtId="166" fontId="2" fillId="7" borderId="25" xfId="0" applyNumberFormat="1" applyFont="1" applyFill="1" applyBorder="1" applyAlignment="1">
      <alignment horizontal="center" vertical="center" textRotation="90" wrapText="1"/>
    </xf>
    <xf numFmtId="166" fontId="2" fillId="2" borderId="30" xfId="0" applyNumberFormat="1" applyFont="1" applyFill="1" applyBorder="1" applyAlignment="1">
      <alignment horizontal="center" vertical="top" wrapText="1"/>
    </xf>
    <xf numFmtId="0" fontId="28" fillId="0" borderId="0" xfId="0" applyFont="1"/>
    <xf numFmtId="0" fontId="31" fillId="0" borderId="0" xfId="0" applyFont="1" applyAlignment="1">
      <alignment vertical="top"/>
    </xf>
    <xf numFmtId="0" fontId="31" fillId="0" borderId="0" xfId="0" applyFont="1" applyAlignment="1">
      <alignment vertical="center"/>
    </xf>
    <xf numFmtId="0" fontId="31" fillId="0" borderId="0" xfId="0" applyNumberFormat="1" applyFont="1" applyAlignment="1">
      <alignment vertical="top"/>
    </xf>
    <xf numFmtId="0" fontId="31" fillId="0" borderId="0" xfId="0" applyFont="1" applyAlignment="1">
      <alignment horizontal="center" vertical="top"/>
    </xf>
    <xf numFmtId="0" fontId="31" fillId="0" borderId="0" xfId="0" applyFont="1" applyBorder="1" applyAlignment="1">
      <alignment vertical="top"/>
    </xf>
    <xf numFmtId="0" fontId="17" fillId="0" borderId="0" xfId="0" applyFont="1" applyAlignment="1">
      <alignment horizontal="center" vertical="top" wrapText="1"/>
    </xf>
    <xf numFmtId="0" fontId="17" fillId="0" borderId="0" xfId="0" applyFont="1" applyAlignment="1">
      <alignment vertical="top"/>
    </xf>
    <xf numFmtId="3" fontId="2" fillId="0" borderId="0" xfId="0" applyNumberFormat="1" applyFont="1" applyBorder="1" applyAlignment="1">
      <alignment vertical="top"/>
    </xf>
    <xf numFmtId="49" fontId="3" fillId="9" borderId="13" xfId="0" applyNumberFormat="1" applyFont="1" applyFill="1" applyBorder="1" applyAlignment="1">
      <alignment horizontal="center" vertical="top" wrapText="1"/>
    </xf>
    <xf numFmtId="49" fontId="3" fillId="8" borderId="9" xfId="0" applyNumberFormat="1" applyFont="1" applyFill="1" applyBorder="1" applyAlignment="1">
      <alignment horizontal="center" vertical="top"/>
    </xf>
    <xf numFmtId="49" fontId="2" fillId="7" borderId="1" xfId="0" applyNumberFormat="1" applyFont="1" applyFill="1" applyBorder="1" applyAlignment="1">
      <alignment vertical="top"/>
    </xf>
    <xf numFmtId="0" fontId="4" fillId="0" borderId="17" xfId="0" applyFont="1" applyFill="1" applyBorder="1" applyAlignment="1">
      <alignment horizontal="center" vertical="top" wrapText="1"/>
    </xf>
    <xf numFmtId="49" fontId="3" fillId="0" borderId="32" xfId="0" applyNumberFormat="1" applyFont="1" applyBorder="1" applyAlignment="1">
      <alignment horizontal="center" vertical="top"/>
    </xf>
    <xf numFmtId="0" fontId="2" fillId="0" borderId="57" xfId="0" applyFont="1" applyBorder="1" applyAlignment="1">
      <alignment horizontal="center" vertical="top"/>
    </xf>
    <xf numFmtId="165" fontId="2" fillId="0" borderId="20" xfId="0" applyNumberFormat="1" applyFont="1" applyBorder="1" applyAlignment="1">
      <alignment horizontal="center"/>
    </xf>
    <xf numFmtId="165" fontId="2" fillId="0" borderId="68" xfId="0" applyNumberFormat="1" applyFont="1" applyBorder="1" applyAlignment="1">
      <alignment horizontal="center"/>
    </xf>
    <xf numFmtId="165" fontId="2" fillId="0" borderId="19" xfId="0" applyNumberFormat="1" applyFont="1" applyBorder="1" applyAlignment="1">
      <alignment horizontal="center"/>
    </xf>
    <xf numFmtId="0" fontId="2" fillId="0" borderId="57" xfId="0" applyFont="1" applyBorder="1" applyAlignment="1">
      <alignment vertical="top"/>
    </xf>
    <xf numFmtId="0" fontId="2" fillId="0" borderId="24" xfId="0" applyFont="1" applyBorder="1" applyAlignment="1">
      <alignment vertical="top"/>
    </xf>
    <xf numFmtId="166" fontId="33" fillId="7" borderId="6" xfId="0" applyNumberFormat="1" applyFont="1" applyFill="1" applyBorder="1" applyAlignment="1">
      <alignment horizontal="center" vertical="top" wrapText="1"/>
    </xf>
    <xf numFmtId="166" fontId="33" fillId="7" borderId="6" xfId="0" applyNumberFormat="1" applyFont="1" applyFill="1" applyBorder="1" applyAlignment="1">
      <alignment horizontal="center" vertical="top"/>
    </xf>
    <xf numFmtId="166" fontId="33" fillId="7" borderId="4" xfId="0" applyNumberFormat="1" applyFont="1" applyFill="1" applyBorder="1" applyAlignment="1">
      <alignment horizontal="center" vertical="top" wrapText="1"/>
    </xf>
    <xf numFmtId="166" fontId="33" fillId="7" borderId="4" xfId="0" applyNumberFormat="1" applyFont="1" applyFill="1" applyBorder="1" applyAlignment="1">
      <alignment horizontal="center" vertical="top"/>
    </xf>
    <xf numFmtId="0" fontId="0" fillId="7" borderId="9" xfId="0" applyFont="1" applyFill="1" applyBorder="1" applyAlignment="1">
      <alignment horizontal="left" vertical="top" wrapText="1"/>
    </xf>
    <xf numFmtId="166" fontId="7" fillId="7" borderId="24" xfId="0" applyNumberFormat="1" applyFont="1" applyFill="1" applyBorder="1" applyAlignment="1">
      <alignment horizontal="center" vertical="center" wrapText="1"/>
    </xf>
    <xf numFmtId="166" fontId="3" fillId="8" borderId="9" xfId="0" applyNumberFormat="1" applyFont="1" applyFill="1" applyBorder="1" applyAlignment="1">
      <alignment horizontal="center" vertical="top"/>
    </xf>
    <xf numFmtId="0" fontId="2" fillId="7" borderId="0" xfId="0" applyFont="1" applyFill="1" applyBorder="1" applyAlignment="1">
      <alignment horizontal="center" vertical="center"/>
    </xf>
    <xf numFmtId="0" fontId="2" fillId="7" borderId="31" xfId="0" applyFont="1" applyFill="1" applyBorder="1" applyAlignment="1">
      <alignment horizontal="center" vertical="center"/>
    </xf>
    <xf numFmtId="166" fontId="2" fillId="14" borderId="4" xfId="0" applyNumberFormat="1" applyFont="1" applyFill="1" applyBorder="1" applyAlignment="1">
      <alignment horizontal="center" vertical="center"/>
    </xf>
    <xf numFmtId="0" fontId="2" fillId="14" borderId="57" xfId="0" applyFont="1" applyFill="1" applyBorder="1" applyAlignment="1">
      <alignment horizontal="center" vertical="center" wrapText="1"/>
    </xf>
    <xf numFmtId="0" fontId="2" fillId="14" borderId="20" xfId="0" applyFont="1" applyFill="1" applyBorder="1" applyAlignment="1">
      <alignment horizontal="center" vertical="center"/>
    </xf>
    <xf numFmtId="0" fontId="7" fillId="7" borderId="15" xfId="0" applyFont="1" applyFill="1" applyBorder="1" applyAlignment="1">
      <alignment horizontal="center" wrapText="1"/>
    </xf>
    <xf numFmtId="3" fontId="6" fillId="7" borderId="39" xfId="0" applyNumberFormat="1" applyFont="1" applyFill="1" applyBorder="1" applyAlignment="1">
      <alignment horizontal="center" vertical="top" wrapText="1"/>
    </xf>
    <xf numFmtId="3" fontId="6" fillId="7" borderId="49" xfId="0" applyNumberFormat="1" applyFont="1" applyFill="1" applyBorder="1" applyAlignment="1">
      <alignment horizontal="center" vertical="center" wrapText="1"/>
    </xf>
    <xf numFmtId="0" fontId="2" fillId="7" borderId="74" xfId="0" applyFont="1" applyFill="1" applyBorder="1" applyAlignment="1">
      <alignment horizontal="left" vertical="top" wrapText="1"/>
    </xf>
    <xf numFmtId="49" fontId="2" fillId="7" borderId="76" xfId="0" applyNumberFormat="1" applyFont="1" applyFill="1" applyBorder="1" applyAlignment="1">
      <alignment horizontal="center" vertical="top" wrapText="1"/>
    </xf>
    <xf numFmtId="0" fontId="2" fillId="7" borderId="86" xfId="0" applyFont="1" applyFill="1" applyBorder="1" applyAlignment="1">
      <alignment horizontal="left" vertical="top" wrapText="1"/>
    </xf>
    <xf numFmtId="49" fontId="2" fillId="7" borderId="9" xfId="0" applyNumberFormat="1" applyFont="1" applyFill="1" applyBorder="1" applyAlignment="1">
      <alignment horizontal="center" vertical="top" wrapText="1"/>
    </xf>
    <xf numFmtId="166" fontId="2" fillId="7" borderId="44" xfId="0" applyNumberFormat="1" applyFont="1" applyFill="1" applyBorder="1" applyAlignment="1">
      <alignment horizontal="center" vertical="top" wrapText="1"/>
    </xf>
    <xf numFmtId="3" fontId="2" fillId="7" borderId="39" xfId="0" applyNumberFormat="1" applyFont="1" applyFill="1" applyBorder="1" applyAlignment="1">
      <alignment horizontal="center" vertical="top"/>
    </xf>
    <xf numFmtId="0" fontId="0" fillId="7" borderId="26" xfId="0" applyFont="1" applyFill="1" applyBorder="1" applyAlignment="1">
      <alignment vertical="top" wrapText="1"/>
    </xf>
    <xf numFmtId="0" fontId="2" fillId="7" borderId="110" xfId="0" applyFont="1" applyFill="1" applyBorder="1" applyAlignment="1">
      <alignment horizontal="center" vertical="top"/>
    </xf>
    <xf numFmtId="166" fontId="2" fillId="7" borderId="111" xfId="0" applyNumberFormat="1" applyFont="1" applyFill="1" applyBorder="1" applyAlignment="1">
      <alignment horizontal="center" vertical="top" wrapText="1"/>
    </xf>
    <xf numFmtId="166" fontId="2" fillId="7" borderId="111" xfId="0" applyNumberFormat="1" applyFont="1" applyFill="1" applyBorder="1" applyAlignment="1">
      <alignment horizontal="center" vertical="top"/>
    </xf>
    <xf numFmtId="166" fontId="3" fillId="7" borderId="9" xfId="0" applyNumberFormat="1" applyFont="1" applyFill="1" applyBorder="1" applyAlignment="1">
      <alignment horizontal="center" vertical="center" textRotation="90" wrapText="1"/>
    </xf>
    <xf numFmtId="0" fontId="0" fillId="7" borderId="25" xfId="0" applyFont="1" applyFill="1" applyBorder="1" applyAlignment="1">
      <alignment horizontal="center" vertical="center" textRotation="90" wrapText="1"/>
    </xf>
    <xf numFmtId="166" fontId="2" fillId="7" borderId="77" xfId="0" applyNumberFormat="1" applyFont="1" applyFill="1" applyBorder="1" applyAlignment="1">
      <alignment horizontal="left" vertical="top" wrapText="1"/>
    </xf>
    <xf numFmtId="3" fontId="6" fillId="7" borderId="84" xfId="0" applyNumberFormat="1" applyFont="1" applyFill="1" applyBorder="1" applyAlignment="1">
      <alignment horizontal="center" vertical="center" wrapText="1"/>
    </xf>
    <xf numFmtId="166" fontId="33" fillId="7" borderId="20" xfId="0" applyNumberFormat="1" applyFont="1" applyFill="1" applyBorder="1" applyAlignment="1">
      <alignment horizontal="center" vertical="top"/>
    </xf>
    <xf numFmtId="166" fontId="3" fillId="8" borderId="44" xfId="0" applyNumberFormat="1" applyFont="1" applyFill="1" applyBorder="1" applyAlignment="1">
      <alignment horizontal="center" vertical="top"/>
    </xf>
    <xf numFmtId="166" fontId="3" fillId="3" borderId="42" xfId="0" applyNumberFormat="1" applyFont="1" applyFill="1" applyBorder="1" applyAlignment="1">
      <alignment horizontal="center" vertical="top" wrapText="1"/>
    </xf>
    <xf numFmtId="166" fontId="3" fillId="3" borderId="44" xfId="0" applyNumberFormat="1" applyFont="1" applyFill="1" applyBorder="1" applyAlignment="1">
      <alignment horizontal="center" vertical="top" wrapText="1"/>
    </xf>
    <xf numFmtId="0" fontId="7" fillId="7" borderId="15" xfId="0" applyFont="1" applyFill="1" applyBorder="1" applyAlignment="1">
      <alignment horizontal="center" vertical="top" wrapText="1"/>
    </xf>
    <xf numFmtId="0" fontId="7" fillId="0" borderId="15" xfId="0" applyFont="1" applyBorder="1" applyAlignment="1">
      <alignment horizontal="center" vertical="top" wrapText="1"/>
    </xf>
    <xf numFmtId="166" fontId="3" fillId="8" borderId="0" xfId="0" applyNumberFormat="1" applyFont="1" applyFill="1" applyBorder="1" applyAlignment="1">
      <alignment horizontal="center" vertical="top"/>
    </xf>
    <xf numFmtId="166" fontId="3" fillId="8" borderId="44" xfId="0" applyNumberFormat="1" applyFont="1" applyFill="1" applyBorder="1" applyAlignment="1">
      <alignment vertical="top"/>
    </xf>
    <xf numFmtId="166" fontId="2" fillId="7" borderId="4" xfId="0" applyNumberFormat="1" applyFont="1" applyFill="1" applyBorder="1" applyAlignment="1">
      <alignment vertical="top"/>
    </xf>
    <xf numFmtId="166" fontId="3" fillId="8" borderId="9" xfId="0" applyNumberFormat="1" applyFont="1" applyFill="1" applyBorder="1" applyAlignment="1">
      <alignment vertical="top"/>
    </xf>
    <xf numFmtId="166" fontId="3" fillId="3" borderId="44" xfId="0" applyNumberFormat="1" applyFont="1" applyFill="1" applyBorder="1" applyAlignment="1">
      <alignment horizontal="center" vertical="top"/>
    </xf>
    <xf numFmtId="166" fontId="7" fillId="7" borderId="15" xfId="0" applyNumberFormat="1" applyFont="1" applyFill="1" applyBorder="1" applyAlignment="1">
      <alignment horizontal="center" vertical="center" wrapText="1"/>
    </xf>
    <xf numFmtId="3" fontId="19" fillId="7" borderId="15" xfId="0" applyNumberFormat="1" applyFont="1" applyFill="1" applyBorder="1" applyAlignment="1">
      <alignment horizontal="center" vertical="top"/>
    </xf>
    <xf numFmtId="166" fontId="2" fillId="0" borderId="57" xfId="0" applyNumberFormat="1" applyFont="1" applyFill="1" applyBorder="1" applyAlignment="1">
      <alignment horizontal="center" vertical="top" wrapText="1"/>
    </xf>
    <xf numFmtId="166" fontId="7" fillId="7" borderId="15" xfId="0" applyNumberFormat="1" applyFont="1" applyFill="1" applyBorder="1" applyAlignment="1">
      <alignment horizontal="center" vertical="top" wrapText="1"/>
    </xf>
    <xf numFmtId="166" fontId="2" fillId="3" borderId="9" xfId="0" applyNumberFormat="1" applyFont="1" applyFill="1" applyBorder="1" applyAlignment="1">
      <alignment horizontal="center" vertical="center" textRotation="90" wrapText="1"/>
    </xf>
    <xf numFmtId="166" fontId="3" fillId="0" borderId="44" xfId="0" applyNumberFormat="1" applyFont="1" applyBorder="1" applyAlignment="1">
      <alignment horizontal="center" vertical="top"/>
    </xf>
    <xf numFmtId="166" fontId="6" fillId="0" borderId="15" xfId="0" applyNumberFormat="1" applyFont="1" applyFill="1" applyBorder="1" applyAlignment="1">
      <alignment horizontal="center" vertical="top" wrapText="1"/>
    </xf>
    <xf numFmtId="166" fontId="2" fillId="0" borderId="57" xfId="1" applyNumberFormat="1" applyFont="1" applyFill="1" applyBorder="1" applyAlignment="1">
      <alignment horizontal="center" vertical="top" wrapText="1"/>
    </xf>
    <xf numFmtId="3" fontId="2" fillId="7" borderId="15" xfId="1" applyNumberFormat="1" applyFont="1" applyFill="1" applyBorder="1" applyAlignment="1">
      <alignment horizontal="center" vertical="top" wrapText="1"/>
    </xf>
    <xf numFmtId="166" fontId="3" fillId="2" borderId="52" xfId="0" applyNumberFormat="1" applyFont="1" applyFill="1" applyBorder="1" applyAlignment="1">
      <alignment horizontal="center" vertical="top"/>
    </xf>
    <xf numFmtId="166" fontId="3" fillId="8" borderId="52" xfId="0" applyNumberFormat="1" applyFont="1" applyFill="1" applyBorder="1" applyAlignment="1">
      <alignment horizontal="center" vertical="top"/>
    </xf>
    <xf numFmtId="49" fontId="2" fillId="8" borderId="112" xfId="0" applyNumberFormat="1" applyFont="1" applyFill="1" applyBorder="1" applyAlignment="1">
      <alignment horizontal="center" vertical="top"/>
    </xf>
    <xf numFmtId="166" fontId="7" fillId="8" borderId="112" xfId="0" applyNumberFormat="1" applyFont="1" applyFill="1" applyBorder="1" applyAlignment="1">
      <alignment vertical="top" wrapText="1"/>
    </xf>
    <xf numFmtId="166" fontId="10" fillId="8" borderId="112" xfId="0" applyNumberFormat="1" applyFont="1" applyFill="1" applyBorder="1" applyAlignment="1">
      <alignment horizontal="center" vertical="center" textRotation="90" wrapText="1"/>
    </xf>
    <xf numFmtId="166" fontId="3" fillId="8" borderId="112" xfId="0" applyNumberFormat="1" applyFont="1" applyFill="1" applyBorder="1" applyAlignment="1">
      <alignment horizontal="center" vertical="top"/>
    </xf>
    <xf numFmtId="166" fontId="3" fillId="8" borderId="113" xfId="0" applyNumberFormat="1" applyFont="1" applyFill="1" applyBorder="1" applyAlignment="1">
      <alignment horizontal="center" vertical="top"/>
    </xf>
    <xf numFmtId="166" fontId="13" fillId="8" borderId="58" xfId="0" applyNumberFormat="1" applyFont="1" applyFill="1" applyBorder="1" applyAlignment="1">
      <alignment horizontal="left" vertical="top" wrapText="1"/>
    </xf>
    <xf numFmtId="3" fontId="6" fillId="8" borderId="113" xfId="0" applyNumberFormat="1" applyFont="1" applyFill="1" applyBorder="1" applyAlignment="1">
      <alignment horizontal="center" vertical="top" wrapText="1"/>
    </xf>
    <xf numFmtId="49" fontId="34" fillId="9" borderId="5" xfId="0" applyNumberFormat="1" applyFont="1" applyFill="1" applyBorder="1" applyAlignment="1">
      <alignment horizontal="center" vertical="top"/>
    </xf>
    <xf numFmtId="49" fontId="34" fillId="2" borderId="9" xfId="0" applyNumberFormat="1" applyFont="1" applyFill="1" applyBorder="1" applyAlignment="1">
      <alignment horizontal="center" vertical="top"/>
    </xf>
    <xf numFmtId="49" fontId="34" fillId="8" borderId="9" xfId="0" applyNumberFormat="1" applyFont="1" applyFill="1" applyBorder="1" applyAlignment="1">
      <alignment horizontal="center" vertical="top"/>
    </xf>
    <xf numFmtId="49" fontId="34" fillId="7" borderId="9" xfId="0" applyNumberFormat="1" applyFont="1" applyFill="1" applyBorder="1" applyAlignment="1">
      <alignment vertical="top"/>
    </xf>
    <xf numFmtId="0" fontId="35" fillId="7" borderId="44" xfId="0" applyFont="1" applyFill="1" applyBorder="1" applyAlignment="1">
      <alignment vertical="top" wrapText="1"/>
    </xf>
    <xf numFmtId="0" fontId="36" fillId="0" borderId="9" xfId="0" applyFont="1" applyFill="1" applyBorder="1" applyAlignment="1">
      <alignment horizontal="center" vertical="center" textRotation="90" wrapText="1"/>
    </xf>
    <xf numFmtId="49" fontId="34" fillId="7" borderId="44" xfId="0" applyNumberFormat="1" applyFont="1" applyFill="1" applyBorder="1" applyAlignment="1">
      <alignment horizontal="center" vertical="top"/>
    </xf>
    <xf numFmtId="49" fontId="34" fillId="0" borderId="32" xfId="0" applyNumberFormat="1" applyFont="1" applyBorder="1" applyAlignment="1">
      <alignment horizontal="center" vertical="top"/>
    </xf>
    <xf numFmtId="0" fontId="37" fillId="0" borderId="57" xfId="0" applyFont="1" applyBorder="1" applyAlignment="1">
      <alignment horizontal="center" vertical="top"/>
    </xf>
    <xf numFmtId="165" fontId="37" fillId="0" borderId="20" xfId="0" applyNumberFormat="1" applyFont="1" applyBorder="1" applyAlignment="1">
      <alignment horizontal="center"/>
    </xf>
    <xf numFmtId="0" fontId="37" fillId="0" borderId="57" xfId="0" applyFont="1" applyBorder="1" applyAlignment="1">
      <alignment vertical="top"/>
    </xf>
    <xf numFmtId="0" fontId="37" fillId="0" borderId="24" xfId="0" applyFont="1" applyBorder="1" applyAlignment="1">
      <alignment vertical="top"/>
    </xf>
    <xf numFmtId="49" fontId="34" fillId="7" borderId="17" xfId="0" applyNumberFormat="1" applyFont="1" applyFill="1" applyBorder="1" applyAlignment="1">
      <alignment horizontal="center" vertical="top"/>
    </xf>
    <xf numFmtId="166" fontId="38" fillId="7" borderId="17" xfId="0" applyNumberFormat="1" applyFont="1" applyFill="1" applyBorder="1" applyAlignment="1">
      <alignment horizontal="center" vertical="center" wrapText="1"/>
    </xf>
    <xf numFmtId="49" fontId="34" fillId="7" borderId="9" xfId="0" applyNumberFormat="1" applyFont="1" applyFill="1" applyBorder="1" applyAlignment="1">
      <alignment horizontal="center" vertical="top"/>
    </xf>
    <xf numFmtId="166" fontId="37" fillId="7" borderId="6" xfId="0" applyNumberFormat="1" applyFont="1" applyFill="1" applyBorder="1" applyAlignment="1">
      <alignment horizontal="center" vertical="top"/>
    </xf>
    <xf numFmtId="49" fontId="37" fillId="7" borderId="18" xfId="0" applyNumberFormat="1" applyFont="1" applyFill="1" applyBorder="1" applyAlignment="1">
      <alignment horizontal="center" vertical="top"/>
    </xf>
    <xf numFmtId="166" fontId="39" fillId="7" borderId="17" xfId="0" applyNumberFormat="1" applyFont="1" applyFill="1" applyBorder="1" applyAlignment="1">
      <alignment horizontal="center" vertical="center" textRotation="90" wrapText="1"/>
    </xf>
    <xf numFmtId="166" fontId="37" fillId="7" borderId="4" xfId="0" applyNumberFormat="1" applyFont="1" applyFill="1" applyBorder="1" applyAlignment="1">
      <alignment horizontal="center" vertical="top"/>
    </xf>
    <xf numFmtId="49" fontId="37" fillId="7" borderId="73" xfId="0" applyNumberFormat="1" applyFont="1" applyFill="1" applyBorder="1" applyAlignment="1">
      <alignment horizontal="center" vertical="top"/>
    </xf>
    <xf numFmtId="166" fontId="34" fillId="7" borderId="1" xfId="0" applyNumberFormat="1" applyFont="1" applyFill="1" applyBorder="1" applyAlignment="1">
      <alignment horizontal="center" vertical="top" wrapText="1"/>
    </xf>
    <xf numFmtId="0" fontId="37" fillId="7" borderId="45" xfId="0" applyFont="1" applyFill="1" applyBorder="1" applyAlignment="1">
      <alignment horizontal="center" vertical="top"/>
    </xf>
    <xf numFmtId="166" fontId="37" fillId="7" borderId="6" xfId="0" applyNumberFormat="1" applyFont="1" applyFill="1" applyBorder="1" applyAlignment="1">
      <alignment horizontal="center" vertical="top" wrapText="1"/>
    </xf>
    <xf numFmtId="0" fontId="37" fillId="7" borderId="114" xfId="0" applyFont="1" applyFill="1" applyBorder="1" applyAlignment="1">
      <alignment horizontal="left" vertical="top" wrapText="1"/>
    </xf>
    <xf numFmtId="3" fontId="37" fillId="7" borderId="93" xfId="0" applyNumberFormat="1" applyFont="1" applyFill="1" applyBorder="1" applyAlignment="1">
      <alignment horizontal="center" vertical="top"/>
    </xf>
    <xf numFmtId="166" fontId="34" fillId="7" borderId="17" xfId="0" applyNumberFormat="1" applyFont="1" applyFill="1" applyBorder="1" applyAlignment="1">
      <alignment horizontal="center" vertical="center" textRotation="90" wrapText="1"/>
    </xf>
    <xf numFmtId="0" fontId="37" fillId="7" borderId="57" xfId="0" applyFont="1" applyFill="1" applyBorder="1" applyAlignment="1">
      <alignment horizontal="center" vertical="top"/>
    </xf>
    <xf numFmtId="166" fontId="37" fillId="7" borderId="20" xfId="0" applyNumberFormat="1" applyFont="1" applyFill="1" applyBorder="1" applyAlignment="1">
      <alignment horizontal="center" vertical="top" wrapText="1"/>
    </xf>
    <xf numFmtId="0" fontId="37" fillId="7" borderId="26" xfId="0" applyFont="1" applyFill="1" applyBorder="1" applyAlignment="1">
      <alignment horizontal="left" vertical="top" wrapText="1"/>
    </xf>
    <xf numFmtId="3" fontId="37" fillId="7" borderId="24" xfId="0" applyNumberFormat="1" applyFont="1" applyFill="1" applyBorder="1" applyAlignment="1">
      <alignment horizontal="center" vertical="top"/>
    </xf>
    <xf numFmtId="166" fontId="34" fillId="7" borderId="17" xfId="0" applyNumberFormat="1" applyFont="1" applyFill="1" applyBorder="1" applyAlignment="1">
      <alignment horizontal="center" vertical="top" wrapText="1"/>
    </xf>
    <xf numFmtId="0" fontId="37" fillId="7" borderId="15" xfId="0" applyFont="1" applyFill="1" applyBorder="1" applyAlignment="1">
      <alignment horizontal="center" wrapText="1"/>
    </xf>
    <xf numFmtId="166" fontId="37" fillId="7" borderId="31" xfId="0" applyNumberFormat="1" applyFont="1" applyFill="1" applyBorder="1" applyAlignment="1">
      <alignment horizontal="center" vertical="top"/>
    </xf>
    <xf numFmtId="166" fontId="37" fillId="7" borderId="5" xfId="0" applyNumberFormat="1" applyFont="1" applyFill="1" applyBorder="1" applyAlignment="1">
      <alignment horizontal="left" vertical="top" wrapText="1"/>
    </xf>
    <xf numFmtId="3" fontId="39" fillId="7" borderId="39" xfId="0" applyNumberFormat="1" applyFont="1" applyFill="1" applyBorder="1" applyAlignment="1">
      <alignment horizontal="center" vertical="top" wrapText="1"/>
    </xf>
    <xf numFmtId="166" fontId="34" fillId="7" borderId="0" xfId="0" applyNumberFormat="1" applyFont="1" applyFill="1" applyBorder="1" applyAlignment="1">
      <alignment horizontal="center" vertical="top" wrapText="1"/>
    </xf>
    <xf numFmtId="166" fontId="34" fillId="7" borderId="68" xfId="0" applyNumberFormat="1" applyFont="1" applyFill="1" applyBorder="1" applyAlignment="1">
      <alignment horizontal="center" vertical="top" textRotation="90" wrapText="1"/>
    </xf>
    <xf numFmtId="166" fontId="37" fillId="7" borderId="57" xfId="0" applyNumberFormat="1" applyFont="1" applyFill="1" applyBorder="1" applyAlignment="1">
      <alignment horizontal="center" vertical="top" wrapText="1"/>
    </xf>
    <xf numFmtId="166" fontId="37" fillId="7" borderId="20" xfId="0" applyNumberFormat="1" applyFont="1" applyFill="1" applyBorder="1" applyAlignment="1">
      <alignment horizontal="center" vertical="top"/>
    </xf>
    <xf numFmtId="166" fontId="40" fillId="7" borderId="26" xfId="0" applyNumberFormat="1" applyFont="1" applyFill="1" applyBorder="1" applyAlignment="1">
      <alignment horizontal="left" vertical="top" wrapText="1"/>
    </xf>
    <xf numFmtId="3" fontId="39" fillId="7" borderId="49" xfId="0" applyNumberFormat="1" applyFont="1" applyFill="1" applyBorder="1" applyAlignment="1">
      <alignment horizontal="center" vertical="center" wrapText="1"/>
    </xf>
    <xf numFmtId="166" fontId="34" fillId="9" borderId="5" xfId="0" applyNumberFormat="1" applyFont="1" applyFill="1" applyBorder="1" applyAlignment="1">
      <alignment horizontal="center" vertical="top"/>
    </xf>
    <xf numFmtId="166" fontId="34" fillId="2" borderId="9" xfId="0" applyNumberFormat="1" applyFont="1" applyFill="1" applyBorder="1" applyAlignment="1">
      <alignment horizontal="center" vertical="top"/>
    </xf>
    <xf numFmtId="166" fontId="34" fillId="8" borderId="44" xfId="0" applyNumberFormat="1" applyFont="1" applyFill="1" applyBorder="1" applyAlignment="1">
      <alignment vertical="top"/>
    </xf>
    <xf numFmtId="166" fontId="34" fillId="7" borderId="0" xfId="0" applyNumberFormat="1" applyFont="1" applyFill="1" applyBorder="1" applyAlignment="1">
      <alignment horizontal="center" vertical="top"/>
    </xf>
    <xf numFmtId="3" fontId="37" fillId="7" borderId="18" xfId="0" applyNumberFormat="1" applyFont="1" applyFill="1" applyBorder="1" applyAlignment="1">
      <alignment horizontal="center" vertical="top"/>
    </xf>
    <xf numFmtId="0" fontId="37" fillId="0" borderId="0" xfId="0" applyFont="1" applyAlignment="1">
      <alignment horizontal="center" vertical="top"/>
    </xf>
    <xf numFmtId="0" fontId="37" fillId="0" borderId="4" xfId="0" applyFont="1" applyBorder="1" applyAlignment="1">
      <alignment vertical="top"/>
    </xf>
    <xf numFmtId="3" fontId="37" fillId="7" borderId="15" xfId="0" applyNumberFormat="1" applyFont="1" applyFill="1" applyBorder="1" applyAlignment="1">
      <alignment horizontal="center" vertical="top"/>
    </xf>
    <xf numFmtId="49" fontId="34" fillId="7" borderId="25" xfId="0" applyNumberFormat="1" applyFont="1" applyFill="1" applyBorder="1" applyAlignment="1">
      <alignment horizontal="center" vertical="top"/>
    </xf>
    <xf numFmtId="166" fontId="37" fillId="7" borderId="57" xfId="0" applyNumberFormat="1" applyFont="1" applyFill="1" applyBorder="1" applyAlignment="1">
      <alignment horizontal="center" vertical="top"/>
    </xf>
    <xf numFmtId="166" fontId="37" fillId="7" borderId="26" xfId="0" applyNumberFormat="1" applyFont="1" applyFill="1" applyBorder="1" applyAlignment="1">
      <alignment horizontal="left" vertical="top" wrapText="1"/>
    </xf>
    <xf numFmtId="3" fontId="39" fillId="7" borderId="24" xfId="0" applyNumberFormat="1" applyFont="1" applyFill="1" applyBorder="1" applyAlignment="1">
      <alignment horizontal="center" vertical="center" wrapText="1"/>
    </xf>
    <xf numFmtId="166" fontId="36" fillId="7" borderId="9" xfId="0" applyNumberFormat="1" applyFont="1" applyFill="1" applyBorder="1" applyAlignment="1">
      <alignment horizontal="center" vertical="top" wrapText="1"/>
    </xf>
    <xf numFmtId="166" fontId="34" fillId="7" borderId="44" xfId="0" applyNumberFormat="1" applyFont="1" applyFill="1" applyBorder="1" applyAlignment="1">
      <alignment horizontal="center" vertical="top"/>
    </xf>
    <xf numFmtId="166" fontId="34" fillId="8" borderId="9" xfId="0" applyNumberFormat="1" applyFont="1" applyFill="1" applyBorder="1" applyAlignment="1">
      <alignment vertical="top"/>
    </xf>
    <xf numFmtId="166" fontId="36" fillId="7" borderId="25" xfId="0" applyNumberFormat="1" applyFont="1" applyFill="1" applyBorder="1" applyAlignment="1">
      <alignment horizontal="center" vertical="top" wrapText="1"/>
    </xf>
    <xf numFmtId="166" fontId="34" fillId="7" borderId="32" xfId="0" applyNumberFormat="1" applyFont="1" applyFill="1" applyBorder="1" applyAlignment="1">
      <alignment horizontal="center" vertical="top"/>
    </xf>
    <xf numFmtId="0" fontId="37" fillId="7" borderId="24" xfId="0" applyFont="1" applyFill="1" applyBorder="1" applyAlignment="1">
      <alignment horizontal="center" wrapText="1"/>
    </xf>
    <xf numFmtId="166" fontId="37" fillId="7" borderId="20" xfId="0" applyNumberFormat="1" applyFont="1" applyFill="1" applyBorder="1" applyAlignment="1">
      <alignment vertical="top"/>
    </xf>
    <xf numFmtId="166" fontId="37" fillId="7" borderId="26" xfId="0" applyNumberFormat="1" applyFont="1" applyFill="1" applyBorder="1" applyAlignment="1">
      <alignment vertical="top" wrapText="1"/>
    </xf>
    <xf numFmtId="166" fontId="34" fillId="9" borderId="65" xfId="0" applyNumberFormat="1" applyFont="1" applyFill="1" applyBorder="1" applyAlignment="1">
      <alignment horizontal="center" vertical="top"/>
    </xf>
    <xf numFmtId="166" fontId="34" fillId="2" borderId="27" xfId="0" applyNumberFormat="1" applyFont="1" applyFill="1" applyBorder="1" applyAlignment="1">
      <alignment horizontal="center" vertical="top"/>
    </xf>
    <xf numFmtId="166" fontId="34" fillId="8" borderId="29" xfId="0" applyNumberFormat="1" applyFont="1" applyFill="1" applyBorder="1" applyAlignment="1">
      <alignment horizontal="center" vertical="top"/>
    </xf>
    <xf numFmtId="166" fontId="34" fillId="8" borderId="112" xfId="0" applyNumberFormat="1" applyFont="1" applyFill="1" applyBorder="1" applyAlignment="1">
      <alignment horizontal="center" vertical="top"/>
    </xf>
    <xf numFmtId="166" fontId="37" fillId="8" borderId="29" xfId="0" applyNumberFormat="1" applyFont="1" applyFill="1" applyBorder="1" applyAlignment="1">
      <alignment vertical="top" wrapText="1"/>
    </xf>
    <xf numFmtId="166" fontId="38" fillId="8" borderId="29" xfId="0" applyNumberFormat="1" applyFont="1" applyFill="1" applyBorder="1" applyAlignment="1">
      <alignment horizontal="center" vertical="center" textRotation="90" wrapText="1"/>
    </xf>
    <xf numFmtId="166" fontId="34" fillId="8" borderId="30" xfId="0" applyNumberFormat="1" applyFont="1" applyFill="1" applyBorder="1" applyAlignment="1">
      <alignment horizontal="center" vertical="top"/>
    </xf>
    <xf numFmtId="166" fontId="34" fillId="8" borderId="65" xfId="0" applyNumberFormat="1" applyFont="1" applyFill="1" applyBorder="1" applyAlignment="1">
      <alignment horizontal="center" vertical="top"/>
    </xf>
    <xf numFmtId="166" fontId="34" fillId="8" borderId="59" xfId="0" applyNumberFormat="1" applyFont="1" applyFill="1" applyBorder="1" applyAlignment="1">
      <alignment horizontal="center" vertical="top"/>
    </xf>
    <xf numFmtId="166" fontId="40" fillId="8" borderId="65" xfId="0" applyNumberFormat="1" applyFont="1" applyFill="1" applyBorder="1" applyAlignment="1">
      <alignment horizontal="left" vertical="top" wrapText="1"/>
    </xf>
    <xf numFmtId="3" fontId="39" fillId="8" borderId="113" xfId="0" applyNumberFormat="1" applyFont="1" applyFill="1" applyBorder="1" applyAlignment="1">
      <alignment horizontal="center" vertical="top" wrapText="1"/>
    </xf>
    <xf numFmtId="166" fontId="34" fillId="9" borderId="3" xfId="0" applyNumberFormat="1" applyFont="1" applyFill="1" applyBorder="1" applyAlignment="1">
      <alignment horizontal="center" vertical="top"/>
    </xf>
    <xf numFmtId="166" fontId="34" fillId="2" borderId="22" xfId="0" applyNumberFormat="1" applyFont="1" applyFill="1" applyBorder="1" applyAlignment="1">
      <alignment horizontal="center" vertical="top"/>
    </xf>
    <xf numFmtId="166" fontId="34" fillId="8" borderId="22" xfId="0" applyNumberFormat="1" applyFont="1" applyFill="1" applyBorder="1" applyAlignment="1">
      <alignment horizontal="center" vertical="top"/>
    </xf>
    <xf numFmtId="166" fontId="37" fillId="7" borderId="10" xfId="0" applyNumberFormat="1" applyFont="1" applyFill="1" applyBorder="1" applyAlignment="1">
      <alignment horizontal="center" vertical="top"/>
    </xf>
    <xf numFmtId="166" fontId="35" fillId="3" borderId="11" xfId="0" applyNumberFormat="1" applyFont="1" applyFill="1" applyBorder="1" applyAlignment="1">
      <alignment horizontal="left" vertical="top" wrapText="1"/>
    </xf>
    <xf numFmtId="166" fontId="36" fillId="0" borderId="10" xfId="0" applyNumberFormat="1" applyFont="1" applyFill="1" applyBorder="1" applyAlignment="1">
      <alignment horizontal="center" vertical="center" textRotation="90" shrinkToFit="1"/>
    </xf>
    <xf numFmtId="166" fontId="34" fillId="0" borderId="37" xfId="0" applyNumberFormat="1" applyFont="1" applyBorder="1" applyAlignment="1">
      <alignment horizontal="center" vertical="top"/>
    </xf>
    <xf numFmtId="166" fontId="37" fillId="0" borderId="23" xfId="0" applyNumberFormat="1" applyFont="1" applyBorder="1" applyAlignment="1">
      <alignment horizontal="center" vertical="center" wrapText="1"/>
    </xf>
    <xf numFmtId="166" fontId="37" fillId="3" borderId="61" xfId="0" applyNumberFormat="1" applyFont="1" applyFill="1" applyBorder="1" applyAlignment="1">
      <alignment horizontal="center" vertical="top"/>
    </xf>
    <xf numFmtId="166" fontId="34" fillId="7" borderId="8" xfId="0" applyNumberFormat="1" applyFont="1" applyFill="1" applyBorder="1" applyAlignment="1">
      <alignment horizontal="center"/>
    </xf>
    <xf numFmtId="166" fontId="37" fillId="0" borderId="115" xfId="0" applyNumberFormat="1" applyFont="1" applyFill="1" applyBorder="1" applyAlignment="1">
      <alignment horizontal="left" vertical="top" wrapText="1"/>
    </xf>
    <xf numFmtId="3" fontId="37" fillId="0" borderId="12" xfId="0" applyNumberFormat="1" applyFont="1" applyFill="1" applyBorder="1" applyAlignment="1">
      <alignment horizontal="center" vertical="top"/>
    </xf>
    <xf numFmtId="166" fontId="34" fillId="7" borderId="9" xfId="0" applyNumberFormat="1" applyFont="1" applyFill="1" applyBorder="1" applyAlignment="1">
      <alignment horizontal="center" vertical="top" wrapText="1"/>
    </xf>
    <xf numFmtId="166" fontId="37" fillId="7" borderId="45" xfId="0" applyNumberFormat="1" applyFont="1" applyFill="1" applyBorder="1" applyAlignment="1">
      <alignment horizontal="center" vertical="top"/>
    </xf>
    <xf numFmtId="3" fontId="37" fillId="7" borderId="90" xfId="0" applyNumberFormat="1" applyFont="1" applyFill="1" applyBorder="1" applyAlignment="1">
      <alignment horizontal="center" vertical="top" wrapText="1"/>
    </xf>
    <xf numFmtId="3" fontId="37" fillId="7" borderId="73" xfId="0" applyNumberFormat="1" applyFont="1" applyFill="1" applyBorder="1" applyAlignment="1">
      <alignment horizontal="center" vertical="top" wrapText="1"/>
    </xf>
    <xf numFmtId="166" fontId="34" fillId="7" borderId="9" xfId="0" applyNumberFormat="1" applyFont="1" applyFill="1" applyBorder="1" applyAlignment="1">
      <alignment horizontal="center" vertical="top"/>
    </xf>
    <xf numFmtId="0" fontId="37" fillId="7" borderId="74" xfId="0" applyFont="1" applyFill="1" applyBorder="1" applyAlignment="1">
      <alignment horizontal="left" vertical="top" wrapText="1"/>
    </xf>
    <xf numFmtId="3" fontId="37" fillId="7" borderId="76" xfId="0" applyNumberFormat="1" applyFont="1" applyFill="1" applyBorder="1" applyAlignment="1">
      <alignment horizontal="center" vertical="top" wrapText="1"/>
    </xf>
    <xf numFmtId="0" fontId="37" fillId="0" borderId="0" xfId="0" applyFont="1" applyBorder="1" applyAlignment="1">
      <alignment vertical="top"/>
    </xf>
    <xf numFmtId="166" fontId="34" fillId="7" borderId="17" xfId="0" applyNumberFormat="1" applyFont="1" applyFill="1" applyBorder="1" applyAlignment="1">
      <alignment horizontal="center" vertical="top"/>
    </xf>
    <xf numFmtId="166" fontId="37" fillId="7" borderId="44" xfId="0" applyNumberFormat="1" applyFont="1" applyFill="1" applyBorder="1" applyAlignment="1">
      <alignment horizontal="center" vertical="top" wrapText="1"/>
    </xf>
    <xf numFmtId="166" fontId="37" fillId="7" borderId="33" xfId="0" applyNumberFormat="1" applyFont="1" applyFill="1" applyBorder="1" applyAlignment="1">
      <alignment horizontal="left" vertical="top" wrapText="1"/>
    </xf>
    <xf numFmtId="3" fontId="37" fillId="7" borderId="18" xfId="0" applyNumberFormat="1" applyFont="1" applyFill="1" applyBorder="1" applyAlignment="1">
      <alignment horizontal="center" vertical="top" wrapText="1"/>
    </xf>
    <xf numFmtId="166" fontId="34" fillId="7" borderId="25" xfId="0" applyNumberFormat="1" applyFont="1" applyFill="1" applyBorder="1" applyAlignment="1">
      <alignment horizontal="center" vertical="top"/>
    </xf>
    <xf numFmtId="166" fontId="40" fillId="7" borderId="26" xfId="0" applyNumberFormat="1" applyFont="1" applyFill="1" applyBorder="1" applyAlignment="1">
      <alignment vertical="top" wrapText="1"/>
    </xf>
    <xf numFmtId="3" fontId="37" fillId="7" borderId="24" xfId="0" applyNumberFormat="1" applyFont="1" applyFill="1" applyBorder="1" applyAlignment="1">
      <alignment horizontal="center" vertical="top" wrapText="1"/>
    </xf>
    <xf numFmtId="166" fontId="34" fillId="8" borderId="0" xfId="0" applyNumberFormat="1" applyFont="1" applyFill="1" applyBorder="1" applyAlignment="1">
      <alignment horizontal="center" vertical="top"/>
    </xf>
    <xf numFmtId="0" fontId="37" fillId="7" borderId="33" xfId="0" applyFont="1" applyFill="1" applyBorder="1" applyAlignment="1">
      <alignment vertical="top" wrapText="1"/>
    </xf>
    <xf numFmtId="166" fontId="37" fillId="7" borderId="20" xfId="0" applyNumberFormat="1" applyFont="1" applyFill="1" applyBorder="1" applyAlignment="1">
      <alignment horizontal="right" vertical="top" wrapText="1"/>
    </xf>
    <xf numFmtId="0" fontId="37" fillId="7" borderId="26" xfId="0" applyFont="1" applyFill="1" applyBorder="1" applyAlignment="1">
      <alignment vertical="top" wrapText="1"/>
    </xf>
    <xf numFmtId="166" fontId="37" fillId="8" borderId="112" xfId="0" applyNumberFormat="1" applyFont="1" applyFill="1" applyBorder="1" applyAlignment="1">
      <alignment vertical="top" wrapText="1"/>
    </xf>
    <xf numFmtId="166" fontId="38" fillId="8" borderId="112" xfId="0" applyNumberFormat="1" applyFont="1" applyFill="1" applyBorder="1" applyAlignment="1">
      <alignment horizontal="center" vertical="center" textRotation="90" wrapText="1"/>
    </xf>
    <xf numFmtId="166" fontId="34" fillId="8" borderId="113" xfId="0" applyNumberFormat="1" applyFont="1" applyFill="1" applyBorder="1" applyAlignment="1">
      <alignment horizontal="center" vertical="top"/>
    </xf>
    <xf numFmtId="166" fontId="34" fillId="8" borderId="58" xfId="0" applyNumberFormat="1" applyFont="1" applyFill="1" applyBorder="1" applyAlignment="1">
      <alignment horizontal="center" vertical="top"/>
    </xf>
    <xf numFmtId="166" fontId="34" fillId="8" borderId="53" xfId="0" applyNumberFormat="1" applyFont="1" applyFill="1" applyBorder="1" applyAlignment="1">
      <alignment horizontal="center" vertical="top"/>
    </xf>
    <xf numFmtId="166" fontId="40" fillId="8" borderId="58" xfId="0" applyNumberFormat="1" applyFont="1" applyFill="1" applyBorder="1" applyAlignment="1">
      <alignment horizontal="left" vertical="top" wrapText="1"/>
    </xf>
    <xf numFmtId="166" fontId="34" fillId="2" borderId="44" xfId="0" applyNumberFormat="1" applyFont="1" applyFill="1" applyBorder="1" applyAlignment="1">
      <alignment horizontal="center" vertical="top"/>
    </xf>
    <xf numFmtId="166" fontId="34" fillId="8" borderId="9" xfId="0" applyNumberFormat="1" applyFont="1" applyFill="1" applyBorder="1" applyAlignment="1">
      <alignment horizontal="center" vertical="top"/>
    </xf>
    <xf numFmtId="166" fontId="37" fillId="7" borderId="9" xfId="0" applyNumberFormat="1" applyFont="1" applyFill="1" applyBorder="1" applyAlignment="1">
      <alignment horizontal="center" vertical="top"/>
    </xf>
    <xf numFmtId="166" fontId="35" fillId="0" borderId="44" xfId="0" applyNumberFormat="1" applyFont="1" applyFill="1" applyBorder="1" applyAlignment="1">
      <alignment horizontal="left" vertical="top" wrapText="1"/>
    </xf>
    <xf numFmtId="166" fontId="36" fillId="3" borderId="9" xfId="0" applyNumberFormat="1" applyFont="1" applyFill="1" applyBorder="1" applyAlignment="1">
      <alignment horizontal="center" vertical="center" textRotation="90" wrapText="1"/>
    </xf>
    <xf numFmtId="166" fontId="34" fillId="0" borderId="32" xfId="0" applyNumberFormat="1" applyFont="1" applyBorder="1" applyAlignment="1">
      <alignment horizontal="center" vertical="top"/>
    </xf>
    <xf numFmtId="166" fontId="37" fillId="7" borderId="24" xfId="0" applyNumberFormat="1" applyFont="1" applyFill="1" applyBorder="1" applyAlignment="1">
      <alignment horizontal="center" vertical="center" wrapText="1"/>
    </xf>
    <xf numFmtId="166" fontId="34" fillId="7" borderId="57" xfId="0" applyNumberFormat="1" applyFont="1" applyFill="1" applyBorder="1" applyAlignment="1">
      <alignment horizontal="center" vertical="top"/>
    </xf>
    <xf numFmtId="166" fontId="34" fillId="7" borderId="8" xfId="0" applyNumberFormat="1" applyFont="1" applyFill="1" applyBorder="1" applyAlignment="1">
      <alignment horizontal="center" vertical="top"/>
    </xf>
    <xf numFmtId="166" fontId="37" fillId="0" borderId="26" xfId="0" applyNumberFormat="1" applyFont="1" applyFill="1" applyBorder="1" applyAlignment="1">
      <alignment horizontal="left" vertical="top" wrapText="1"/>
    </xf>
    <xf numFmtId="3" fontId="37" fillId="0" borderId="24" xfId="0" applyNumberFormat="1" applyFont="1" applyFill="1" applyBorder="1" applyAlignment="1">
      <alignment horizontal="center" vertical="top" wrapText="1"/>
    </xf>
    <xf numFmtId="166" fontId="37" fillId="7" borderId="4" xfId="0" applyNumberFormat="1" applyFont="1" applyFill="1" applyBorder="1" applyAlignment="1">
      <alignment horizontal="center" vertical="top" wrapText="1"/>
    </xf>
    <xf numFmtId="0" fontId="37" fillId="7" borderId="5" xfId="0" applyFont="1" applyFill="1" applyBorder="1" applyAlignment="1">
      <alignment horizontal="left" vertical="top" wrapText="1"/>
    </xf>
    <xf numFmtId="0" fontId="37" fillId="7" borderId="9" xfId="0" applyFont="1" applyFill="1" applyBorder="1" applyAlignment="1">
      <alignment horizontal="left" vertical="top" wrapText="1"/>
    </xf>
    <xf numFmtId="166" fontId="37" fillId="7" borderId="75" xfId="0" applyNumberFormat="1" applyFont="1" applyFill="1" applyBorder="1" applyAlignment="1">
      <alignment horizontal="left" vertical="top" wrapText="1"/>
    </xf>
    <xf numFmtId="166" fontId="37" fillId="7" borderId="74" xfId="0" applyNumberFormat="1" applyFont="1" applyFill="1" applyBorder="1" applyAlignment="1">
      <alignment horizontal="left" vertical="top" wrapText="1"/>
    </xf>
    <xf numFmtId="3" fontId="37" fillId="7" borderId="76" xfId="0" applyNumberFormat="1" applyFont="1" applyFill="1" applyBorder="1" applyAlignment="1">
      <alignment horizontal="center" vertical="top"/>
    </xf>
    <xf numFmtId="166" fontId="37" fillId="7" borderId="32" xfId="0" applyNumberFormat="1" applyFont="1" applyFill="1" applyBorder="1" applyAlignment="1">
      <alignment horizontal="left" vertical="top" wrapText="1"/>
    </xf>
    <xf numFmtId="166" fontId="34" fillId="8" borderId="44" xfId="0" applyNumberFormat="1" applyFont="1" applyFill="1" applyBorder="1" applyAlignment="1">
      <alignment horizontal="center" vertical="top"/>
    </xf>
    <xf numFmtId="166" fontId="34" fillId="3" borderId="42" xfId="0" applyNumberFormat="1" applyFont="1" applyFill="1" applyBorder="1" applyAlignment="1">
      <alignment horizontal="center" vertical="top" wrapText="1"/>
    </xf>
    <xf numFmtId="166" fontId="34" fillId="3" borderId="44" xfId="0" applyNumberFormat="1" applyFont="1" applyFill="1" applyBorder="1" applyAlignment="1">
      <alignment horizontal="center" vertical="top" wrapText="1"/>
    </xf>
    <xf numFmtId="166" fontId="34" fillId="3" borderId="25" xfId="0" applyNumberFormat="1" applyFont="1" applyFill="1" applyBorder="1" applyAlignment="1">
      <alignment horizontal="center" vertical="top" wrapText="1"/>
    </xf>
    <xf numFmtId="0" fontId="37" fillId="7" borderId="15" xfId="0" applyFont="1" applyFill="1" applyBorder="1" applyAlignment="1">
      <alignment horizontal="center" vertical="top" wrapText="1"/>
    </xf>
    <xf numFmtId="166" fontId="37" fillId="7" borderId="31" xfId="0" applyNumberFormat="1" applyFont="1" applyFill="1" applyBorder="1" applyAlignment="1">
      <alignment horizontal="center" vertical="top" wrapText="1"/>
    </xf>
    <xf numFmtId="0" fontId="37" fillId="0" borderId="15" xfId="0" applyFont="1" applyBorder="1" applyAlignment="1">
      <alignment horizontal="center" vertical="top" wrapText="1"/>
    </xf>
    <xf numFmtId="166" fontId="34" fillId="2" borderId="37" xfId="0" applyNumberFormat="1" applyFont="1" applyFill="1" applyBorder="1" applyAlignment="1">
      <alignment horizontal="center" vertical="top"/>
    </xf>
    <xf numFmtId="166" fontId="34" fillId="7" borderId="10" xfId="0" applyNumberFormat="1" applyFont="1" applyFill="1" applyBorder="1" applyAlignment="1">
      <alignment horizontal="center" vertical="top"/>
    </xf>
    <xf numFmtId="166" fontId="36" fillId="3" borderId="10" xfId="0" applyNumberFormat="1" applyFont="1" applyFill="1" applyBorder="1" applyAlignment="1">
      <alignment horizontal="center" vertical="center" textRotation="90" wrapText="1"/>
    </xf>
    <xf numFmtId="166" fontId="34" fillId="3" borderId="37" xfId="0" applyNumberFormat="1" applyFont="1" applyFill="1" applyBorder="1" applyAlignment="1">
      <alignment horizontal="center" vertical="top"/>
    </xf>
    <xf numFmtId="166" fontId="37" fillId="3" borderId="12" xfId="0" applyNumberFormat="1" applyFont="1" applyFill="1" applyBorder="1" applyAlignment="1">
      <alignment horizontal="center" vertical="center" wrapText="1"/>
    </xf>
    <xf numFmtId="166" fontId="34" fillId="3" borderId="8" xfId="0" applyNumberFormat="1" applyFont="1" applyFill="1" applyBorder="1" applyAlignment="1">
      <alignment horizontal="center" vertical="top"/>
    </xf>
    <xf numFmtId="166" fontId="37" fillId="3" borderId="115" xfId="0" applyNumberFormat="1" applyFont="1" applyFill="1" applyBorder="1" applyAlignment="1">
      <alignment vertical="top" wrapText="1"/>
    </xf>
    <xf numFmtId="0" fontId="37" fillId="7" borderId="5" xfId="0" applyFont="1" applyFill="1" applyBorder="1" applyAlignment="1">
      <alignment vertical="top" wrapText="1"/>
    </xf>
    <xf numFmtId="0" fontId="40" fillId="7" borderId="26" xfId="0" applyFont="1" applyFill="1" applyBorder="1" applyAlignment="1">
      <alignment vertical="top" wrapText="1"/>
    </xf>
    <xf numFmtId="0" fontId="37" fillId="7" borderId="31" xfId="0" applyFont="1" applyFill="1" applyBorder="1" applyAlignment="1">
      <alignment horizontal="center" vertical="top"/>
    </xf>
    <xf numFmtId="166" fontId="35" fillId="3" borderId="37" xfId="0" applyNumberFormat="1" applyFont="1" applyFill="1" applyBorder="1" applyAlignment="1">
      <alignment horizontal="left" vertical="top" wrapText="1"/>
    </xf>
    <xf numFmtId="166" fontId="34" fillId="0" borderId="12" xfId="0" applyNumberFormat="1" applyFont="1" applyFill="1" applyBorder="1" applyAlignment="1">
      <alignment horizontal="center" vertical="top" wrapText="1"/>
    </xf>
    <xf numFmtId="166" fontId="34" fillId="3" borderId="61" xfId="0" applyNumberFormat="1" applyFont="1" applyFill="1" applyBorder="1" applyAlignment="1">
      <alignment horizontal="center" vertical="top"/>
    </xf>
    <xf numFmtId="166" fontId="37" fillId="0" borderId="115" xfId="0" applyNumberFormat="1" applyFont="1" applyFill="1" applyBorder="1" applyAlignment="1">
      <alignment vertical="top" wrapText="1"/>
    </xf>
    <xf numFmtId="3" fontId="37" fillId="0" borderId="12" xfId="0" applyNumberFormat="1" applyFont="1" applyFill="1" applyBorder="1" applyAlignment="1">
      <alignment horizontal="center" vertical="top" wrapText="1"/>
    </xf>
    <xf numFmtId="166" fontId="34" fillId="7" borderId="17" xfId="0" applyNumberFormat="1" applyFont="1" applyFill="1" applyBorder="1" applyAlignment="1">
      <alignment horizontal="center" vertical="center" wrapText="1"/>
    </xf>
    <xf numFmtId="3" fontId="37" fillId="7" borderId="15" xfId="0" applyNumberFormat="1" applyFont="1" applyFill="1" applyBorder="1" applyAlignment="1">
      <alignment horizontal="center" vertical="top" wrapText="1"/>
    </xf>
    <xf numFmtId="0" fontId="37" fillId="7" borderId="0" xfId="0" applyFont="1" applyFill="1" applyBorder="1" applyAlignment="1">
      <alignment horizontal="center" vertical="center"/>
    </xf>
    <xf numFmtId="166" fontId="37" fillId="7" borderId="4" xfId="0" applyNumberFormat="1" applyFont="1" applyFill="1" applyBorder="1" applyAlignment="1">
      <alignment horizontal="center" vertical="center"/>
    </xf>
    <xf numFmtId="0" fontId="37" fillId="7" borderId="31" xfId="0" applyFont="1" applyFill="1" applyBorder="1" applyAlignment="1">
      <alignment horizontal="center" vertical="center"/>
    </xf>
    <xf numFmtId="166" fontId="37" fillId="14" borderId="4" xfId="0" applyNumberFormat="1" applyFont="1" applyFill="1" applyBorder="1" applyAlignment="1">
      <alignment horizontal="center" vertical="center"/>
    </xf>
    <xf numFmtId="0" fontId="37" fillId="14" borderId="57" xfId="0" applyFont="1" applyFill="1" applyBorder="1" applyAlignment="1">
      <alignment horizontal="center" vertical="center" wrapText="1"/>
    </xf>
    <xf numFmtId="0" fontId="37" fillId="14" borderId="20" xfId="0" applyFont="1" applyFill="1" applyBorder="1" applyAlignment="1">
      <alignment horizontal="center" vertical="center"/>
    </xf>
    <xf numFmtId="3" fontId="37" fillId="3" borderId="15" xfId="0" applyNumberFormat="1" applyFont="1" applyFill="1" applyBorder="1" applyAlignment="1">
      <alignment horizontal="center" vertical="top" wrapText="1"/>
    </xf>
    <xf numFmtId="166" fontId="41" fillId="7" borderId="25" xfId="0" applyNumberFormat="1" applyFont="1" applyFill="1" applyBorder="1" applyAlignment="1">
      <alignment horizontal="center" vertical="center" wrapText="1"/>
    </xf>
    <xf numFmtId="166" fontId="37" fillId="7" borderId="41" xfId="0" applyNumberFormat="1" applyFont="1" applyFill="1" applyBorder="1" applyAlignment="1">
      <alignment vertical="top" wrapText="1"/>
    </xf>
    <xf numFmtId="166" fontId="35" fillId="3" borderId="32" xfId="0" applyNumberFormat="1" applyFont="1" applyFill="1" applyBorder="1" applyAlignment="1">
      <alignment horizontal="left" vertical="top" wrapText="1"/>
    </xf>
    <xf numFmtId="166" fontId="36" fillId="3" borderId="32" xfId="0" applyNumberFormat="1" applyFont="1" applyFill="1" applyBorder="1" applyAlignment="1">
      <alignment horizontal="center" vertical="center" textRotation="90" wrapText="1"/>
    </xf>
    <xf numFmtId="166" fontId="34" fillId="0" borderId="44" xfId="0" applyNumberFormat="1" applyFont="1" applyBorder="1" applyAlignment="1">
      <alignment horizontal="center" vertical="top"/>
    </xf>
    <xf numFmtId="166" fontId="34" fillId="0" borderId="32" xfId="0" applyNumberFormat="1" applyFont="1" applyFill="1" applyBorder="1" applyAlignment="1">
      <alignment horizontal="center" vertical="top" wrapText="1"/>
    </xf>
    <xf numFmtId="166" fontId="34" fillId="3" borderId="20" xfId="0" applyNumberFormat="1" applyFont="1" applyFill="1" applyBorder="1" applyAlignment="1">
      <alignment horizontal="center" vertical="top"/>
    </xf>
    <xf numFmtId="166" fontId="37" fillId="0" borderId="26" xfId="0" applyNumberFormat="1" applyFont="1" applyFill="1" applyBorder="1" applyAlignment="1">
      <alignment vertical="top" wrapText="1"/>
    </xf>
    <xf numFmtId="49" fontId="34" fillId="7" borderId="9" xfId="0" applyNumberFormat="1" applyFont="1" applyFill="1" applyBorder="1" applyAlignment="1">
      <alignment horizontal="center" vertical="top" wrapText="1"/>
    </xf>
    <xf numFmtId="3" fontId="37" fillId="7" borderId="39" xfId="0" applyNumberFormat="1" applyFont="1" applyFill="1" applyBorder="1" applyAlignment="1">
      <alignment horizontal="center" vertical="top"/>
    </xf>
    <xf numFmtId="166" fontId="37" fillId="7" borderId="5" xfId="0" applyNumberFormat="1" applyFont="1" applyFill="1" applyBorder="1" applyAlignment="1">
      <alignment vertical="top" wrapText="1"/>
    </xf>
    <xf numFmtId="49" fontId="34" fillId="7" borderId="25" xfId="0" applyNumberFormat="1" applyFont="1" applyFill="1" applyBorder="1" applyAlignment="1">
      <alignment horizontal="center" vertical="top" wrapText="1"/>
    </xf>
    <xf numFmtId="166" fontId="34" fillId="3" borderId="32" xfId="0" applyNumberFormat="1" applyFont="1" applyFill="1" applyBorder="1" applyAlignment="1">
      <alignment horizontal="center" vertical="top" wrapText="1"/>
    </xf>
    <xf numFmtId="166" fontId="34" fillId="9" borderId="7" xfId="0" applyNumberFormat="1" applyFont="1" applyFill="1" applyBorder="1" applyAlignment="1">
      <alignment horizontal="center" vertical="top"/>
    </xf>
    <xf numFmtId="166" fontId="34" fillId="2" borderId="52" xfId="0" applyNumberFormat="1" applyFont="1" applyFill="1" applyBorder="1" applyAlignment="1">
      <alignment horizontal="center" vertical="top"/>
    </xf>
    <xf numFmtId="166" fontId="34" fillId="8" borderId="52" xfId="0" applyNumberFormat="1" applyFont="1" applyFill="1" applyBorder="1" applyAlignment="1">
      <alignment horizontal="center" vertical="top"/>
    </xf>
    <xf numFmtId="166" fontId="34" fillId="3" borderId="11" xfId="0" applyNumberFormat="1" applyFont="1" applyFill="1" applyBorder="1" applyAlignment="1">
      <alignment vertical="top" wrapText="1"/>
    </xf>
    <xf numFmtId="166" fontId="37" fillId="7" borderId="10" xfId="0" applyNumberFormat="1" applyFont="1" applyFill="1" applyBorder="1" applyAlignment="1">
      <alignment horizontal="center" vertical="center" textRotation="90" wrapText="1"/>
    </xf>
    <xf numFmtId="166" fontId="34" fillId="7" borderId="22" xfId="0" applyNumberFormat="1" applyFont="1" applyFill="1" applyBorder="1" applyAlignment="1">
      <alignment horizontal="center" vertical="top"/>
    </xf>
    <xf numFmtId="166" fontId="37" fillId="0" borderId="57" xfId="0" applyNumberFormat="1" applyFont="1" applyFill="1" applyBorder="1" applyAlignment="1">
      <alignment horizontal="center" vertical="top"/>
    </xf>
    <xf numFmtId="166" fontId="37" fillId="0" borderId="8" xfId="0" applyNumberFormat="1" applyFont="1" applyBorder="1" applyAlignment="1">
      <alignment horizontal="center" vertical="top"/>
    </xf>
    <xf numFmtId="166" fontId="37" fillId="0" borderId="13" xfId="0" applyNumberFormat="1" applyFont="1" applyFill="1" applyBorder="1" applyAlignment="1">
      <alignment horizontal="left" vertical="top" wrapText="1"/>
    </xf>
    <xf numFmtId="166" fontId="37" fillId="3" borderId="44" xfId="0" applyNumberFormat="1" applyFont="1" applyFill="1" applyBorder="1" applyAlignment="1">
      <alignment vertical="top" wrapText="1"/>
    </xf>
    <xf numFmtId="166" fontId="37" fillId="7" borderId="9" xfId="0" applyNumberFormat="1" applyFont="1" applyFill="1" applyBorder="1" applyAlignment="1">
      <alignment horizontal="center" vertical="center" textRotation="90" wrapText="1"/>
    </xf>
    <xf numFmtId="166" fontId="37" fillId="3" borderId="32" xfId="0" applyNumberFormat="1" applyFont="1" applyFill="1" applyBorder="1" applyAlignment="1">
      <alignment vertical="top" wrapText="1"/>
    </xf>
    <xf numFmtId="166" fontId="37" fillId="7" borderId="25" xfId="0" applyNumberFormat="1" applyFont="1" applyFill="1" applyBorder="1" applyAlignment="1">
      <alignment horizontal="center" vertical="center" textRotation="90" wrapText="1"/>
    </xf>
    <xf numFmtId="166" fontId="37" fillId="7" borderId="15" xfId="0" applyNumberFormat="1" applyFont="1" applyFill="1" applyBorder="1" applyAlignment="1">
      <alignment horizontal="center" vertical="top" wrapText="1"/>
    </xf>
    <xf numFmtId="166" fontId="37" fillId="3" borderId="9" xfId="0" applyNumberFormat="1" applyFont="1" applyFill="1" applyBorder="1" applyAlignment="1">
      <alignment horizontal="left" vertical="top" wrapText="1"/>
    </xf>
    <xf numFmtId="166" fontId="37" fillId="3" borderId="9" xfId="0" applyNumberFormat="1" applyFont="1" applyFill="1" applyBorder="1" applyAlignment="1">
      <alignment horizontal="center" vertical="center" textRotation="90" wrapText="1"/>
    </xf>
    <xf numFmtId="166" fontId="39" fillId="0" borderId="15" xfId="0" applyNumberFormat="1" applyFont="1" applyFill="1" applyBorder="1" applyAlignment="1">
      <alignment horizontal="center" vertical="top" wrapText="1"/>
    </xf>
    <xf numFmtId="166" fontId="37" fillId="0" borderId="57" xfId="1" applyNumberFormat="1" applyFont="1" applyFill="1" applyBorder="1" applyAlignment="1">
      <alignment horizontal="center" vertical="top" wrapText="1"/>
    </xf>
    <xf numFmtId="166" fontId="37" fillId="7" borderId="20" xfId="1" applyNumberFormat="1" applyFont="1" applyFill="1" applyBorder="1" applyAlignment="1">
      <alignment horizontal="center" vertical="top"/>
    </xf>
    <xf numFmtId="3" fontId="37" fillId="7" borderId="15" xfId="1" applyNumberFormat="1" applyFont="1" applyFill="1" applyBorder="1" applyAlignment="1">
      <alignment horizontal="center" vertical="top" wrapText="1"/>
    </xf>
    <xf numFmtId="166" fontId="34" fillId="9" borderId="50" xfId="0" applyNumberFormat="1" applyFont="1" applyFill="1" applyBorder="1" applyAlignment="1">
      <alignment horizontal="center" vertical="top"/>
    </xf>
    <xf numFmtId="166" fontId="34" fillId="2" borderId="67" xfId="0" applyNumberFormat="1" applyFont="1" applyFill="1" applyBorder="1" applyAlignment="1">
      <alignment horizontal="center" vertical="top"/>
    </xf>
    <xf numFmtId="166" fontId="34" fillId="2" borderId="21" xfId="0" applyNumberFormat="1" applyFont="1" applyFill="1" applyBorder="1" applyAlignment="1">
      <alignment horizontal="center" vertical="top"/>
    </xf>
    <xf numFmtId="166" fontId="37" fillId="2" borderId="63" xfId="0" applyNumberFormat="1" applyFont="1" applyFill="1" applyBorder="1" applyAlignment="1">
      <alignment horizontal="center" vertical="top" wrapText="1"/>
    </xf>
    <xf numFmtId="166" fontId="37" fillId="2" borderId="64" xfId="0" applyNumberFormat="1" applyFont="1" applyFill="1" applyBorder="1" applyAlignment="1">
      <alignment horizontal="center" vertical="top" wrapText="1"/>
    </xf>
    <xf numFmtId="166" fontId="3" fillId="8" borderId="22" xfId="0" applyNumberFormat="1" applyFont="1" applyFill="1" applyBorder="1" applyAlignment="1">
      <alignment horizontal="center" vertical="top"/>
    </xf>
    <xf numFmtId="166" fontId="2" fillId="7" borderId="10" xfId="0" applyNumberFormat="1" applyFont="1" applyFill="1" applyBorder="1" applyAlignment="1">
      <alignment horizontal="center" vertical="top"/>
    </xf>
    <xf numFmtId="166" fontId="3" fillId="7" borderId="11" xfId="0" applyNumberFormat="1" applyFont="1" applyFill="1" applyBorder="1" applyAlignment="1">
      <alignment vertical="top" wrapText="1"/>
    </xf>
    <xf numFmtId="166" fontId="6" fillId="7" borderId="11" xfId="0" applyNumberFormat="1" applyFont="1" applyFill="1" applyBorder="1" applyAlignment="1">
      <alignment horizontal="center" vertical="center" textRotation="90" wrapText="1"/>
    </xf>
    <xf numFmtId="166" fontId="3" fillId="0" borderId="11" xfId="0" applyNumberFormat="1" applyFont="1" applyBorder="1" applyAlignment="1">
      <alignment horizontal="center" vertical="top"/>
    </xf>
    <xf numFmtId="166" fontId="2" fillId="7" borderId="12" xfId="0" applyNumberFormat="1" applyFont="1" applyFill="1" applyBorder="1" applyAlignment="1">
      <alignment horizontal="center" vertical="top" wrapText="1"/>
    </xf>
    <xf numFmtId="166" fontId="2" fillId="7" borderId="61" xfId="0" applyNumberFormat="1" applyFont="1" applyFill="1" applyBorder="1" applyAlignment="1">
      <alignment horizontal="center" vertical="top"/>
    </xf>
    <xf numFmtId="166" fontId="2" fillId="7" borderId="8" xfId="0" applyNumberFormat="1" applyFont="1" applyFill="1" applyBorder="1" applyAlignment="1">
      <alignment vertical="top"/>
    </xf>
    <xf numFmtId="166" fontId="2" fillId="0" borderId="61" xfId="0" applyNumberFormat="1" applyFont="1" applyBorder="1" applyAlignment="1">
      <alignment vertical="top"/>
    </xf>
    <xf numFmtId="166" fontId="2" fillId="0" borderId="12" xfId="0" applyNumberFormat="1" applyFont="1" applyBorder="1" applyAlignment="1">
      <alignment vertical="top"/>
    </xf>
    <xf numFmtId="166" fontId="2" fillId="7" borderId="33" xfId="0" applyNumberFormat="1" applyFont="1" applyFill="1" applyBorder="1" applyAlignment="1">
      <alignment vertical="top"/>
    </xf>
    <xf numFmtId="166" fontId="2" fillId="7" borderId="110" xfId="0" applyNumberFormat="1" applyFont="1" applyFill="1" applyBorder="1" applyAlignment="1">
      <alignment horizontal="center" vertical="top"/>
    </xf>
    <xf numFmtId="166" fontId="2" fillId="7" borderId="71" xfId="0" applyNumberFormat="1" applyFont="1" applyFill="1" applyBorder="1" applyAlignment="1">
      <alignment vertical="top"/>
    </xf>
    <xf numFmtId="166" fontId="2" fillId="7" borderId="73" xfId="0" applyNumberFormat="1" applyFont="1" applyFill="1" applyBorder="1" applyAlignment="1">
      <alignment vertical="top"/>
    </xf>
    <xf numFmtId="166" fontId="2" fillId="7" borderId="87" xfId="0" applyNumberFormat="1" applyFont="1" applyFill="1" applyBorder="1" applyAlignment="1">
      <alignment vertical="top" wrapText="1"/>
    </xf>
    <xf numFmtId="0" fontId="0" fillId="7" borderId="15" xfId="0" applyFont="1" applyFill="1" applyBorder="1" applyAlignment="1">
      <alignment horizontal="center" vertical="top" wrapText="1"/>
    </xf>
    <xf numFmtId="166" fontId="2" fillId="0" borderId="76" xfId="0" applyNumberFormat="1" applyFont="1" applyFill="1" applyBorder="1" applyAlignment="1">
      <alignment horizontal="center" vertical="top"/>
    </xf>
    <xf numFmtId="166" fontId="2" fillId="7" borderId="83" xfId="0" applyNumberFormat="1" applyFont="1" applyFill="1" applyBorder="1" applyAlignment="1">
      <alignment vertical="top" wrapText="1"/>
    </xf>
    <xf numFmtId="166" fontId="2" fillId="0" borderId="15" xfId="0" applyNumberFormat="1" applyFont="1" applyFill="1" applyBorder="1" applyAlignment="1">
      <alignment horizontal="center" vertical="top"/>
    </xf>
    <xf numFmtId="166" fontId="2" fillId="0" borderId="31" xfId="0" applyNumberFormat="1" applyFont="1" applyFill="1" applyBorder="1" applyAlignment="1">
      <alignment horizontal="center" vertical="top"/>
    </xf>
    <xf numFmtId="49" fontId="2" fillId="0" borderId="76" xfId="0" applyNumberFormat="1" applyFont="1" applyFill="1" applyBorder="1" applyAlignment="1">
      <alignment horizontal="center" vertical="top" wrapText="1"/>
    </xf>
    <xf numFmtId="49" fontId="3" fillId="7" borderId="25" xfId="0" applyNumberFormat="1" applyFont="1" applyFill="1" applyBorder="1" applyAlignment="1">
      <alignment horizontal="center" vertical="top"/>
    </xf>
    <xf numFmtId="166" fontId="2" fillId="0" borderId="45" xfId="0" applyNumberFormat="1" applyFont="1" applyFill="1" applyBorder="1" applyAlignment="1">
      <alignment horizontal="center" vertical="top"/>
    </xf>
    <xf numFmtId="0" fontId="2" fillId="7" borderId="75" xfId="0" applyNumberFormat="1" applyFont="1" applyFill="1" applyBorder="1" applyAlignment="1">
      <alignment horizontal="left" vertical="top" wrapText="1"/>
    </xf>
    <xf numFmtId="0" fontId="2" fillId="7" borderId="24" xfId="0" applyNumberFormat="1" applyFont="1" applyFill="1" applyBorder="1" applyAlignment="1">
      <alignment horizontal="center" vertical="top" wrapText="1"/>
    </xf>
    <xf numFmtId="0" fontId="2" fillId="7" borderId="15" xfId="0" applyNumberFormat="1" applyFont="1" applyFill="1" applyBorder="1" applyAlignment="1">
      <alignment horizontal="center" vertical="top" wrapText="1"/>
    </xf>
    <xf numFmtId="166" fontId="2" fillId="7" borderId="15" xfId="0" applyNumberFormat="1" applyFont="1" applyFill="1" applyBorder="1" applyAlignment="1">
      <alignment horizontal="center" vertical="top" wrapText="1"/>
    </xf>
    <xf numFmtId="166" fontId="2" fillId="7" borderId="114" xfId="0" applyNumberFormat="1" applyFont="1" applyFill="1" applyBorder="1" applyAlignment="1">
      <alignment horizontal="left" vertical="top" wrapText="1"/>
    </xf>
    <xf numFmtId="3" fontId="2" fillId="7" borderId="116" xfId="0" applyNumberFormat="1" applyFont="1" applyFill="1" applyBorder="1" applyAlignment="1">
      <alignment horizontal="center" vertical="top"/>
    </xf>
    <xf numFmtId="3" fontId="2" fillId="0" borderId="117" xfId="0" applyNumberFormat="1" applyFont="1" applyFill="1" applyBorder="1" applyAlignment="1">
      <alignment horizontal="center" vertical="top"/>
    </xf>
    <xf numFmtId="3" fontId="2" fillId="0" borderId="118" xfId="0" applyNumberFormat="1" applyFont="1" applyFill="1" applyBorder="1" applyAlignment="1">
      <alignment horizontal="center" vertical="top"/>
    </xf>
    <xf numFmtId="3" fontId="2" fillId="0" borderId="39" xfId="0" applyNumberFormat="1" applyFont="1" applyFill="1" applyBorder="1" applyAlignment="1">
      <alignment horizontal="center" vertical="top"/>
    </xf>
    <xf numFmtId="3" fontId="2" fillId="7" borderId="119" xfId="0" applyNumberFormat="1" applyFont="1" applyFill="1" applyBorder="1" applyAlignment="1">
      <alignment horizontal="center" vertical="top"/>
    </xf>
    <xf numFmtId="0" fontId="2" fillId="7" borderId="18" xfId="0" applyFont="1" applyFill="1" applyBorder="1" applyAlignment="1">
      <alignment horizontal="center" vertical="top"/>
    </xf>
    <xf numFmtId="0" fontId="2" fillId="7" borderId="24" xfId="0" applyFont="1" applyFill="1" applyBorder="1" applyAlignment="1">
      <alignment horizontal="center" vertical="top"/>
    </xf>
    <xf numFmtId="166" fontId="3" fillId="8" borderId="54" xfId="0" applyNumberFormat="1" applyFont="1" applyFill="1" applyBorder="1" applyAlignment="1">
      <alignment horizontal="center" vertical="top"/>
    </xf>
    <xf numFmtId="166" fontId="7" fillId="8" borderId="54" xfId="0" applyNumberFormat="1" applyFont="1" applyFill="1" applyBorder="1" applyAlignment="1">
      <alignment vertical="top" wrapText="1"/>
    </xf>
    <xf numFmtId="166" fontId="10" fillId="8" borderId="0" xfId="0" applyNumberFormat="1" applyFont="1" applyFill="1" applyBorder="1" applyAlignment="1">
      <alignment horizontal="center" vertical="center" textRotation="90" wrapText="1"/>
    </xf>
    <xf numFmtId="166" fontId="3" fillId="8" borderId="39" xfId="0" applyNumberFormat="1" applyFont="1" applyFill="1" applyBorder="1" applyAlignment="1">
      <alignment horizontal="center" vertical="top"/>
    </xf>
    <xf numFmtId="166" fontId="3" fillId="8" borderId="31" xfId="0" applyNumberFormat="1" applyFont="1" applyFill="1" applyBorder="1" applyAlignment="1">
      <alignment horizontal="center" vertical="top"/>
    </xf>
    <xf numFmtId="166" fontId="13" fillId="8" borderId="65" xfId="0" applyNumberFormat="1" applyFont="1" applyFill="1" applyBorder="1" applyAlignment="1">
      <alignment horizontal="left" vertical="top" wrapText="1"/>
    </xf>
    <xf numFmtId="49" fontId="3" fillId="8" borderId="22" xfId="0" applyNumberFormat="1" applyFont="1" applyFill="1" applyBorder="1" applyAlignment="1">
      <alignment horizontal="center" vertical="top"/>
    </xf>
    <xf numFmtId="166" fontId="2" fillId="7" borderId="115" xfId="0" applyNumberFormat="1" applyFont="1" applyFill="1" applyBorder="1" applyAlignment="1">
      <alignment horizontal="left" vertical="top" wrapText="1"/>
    </xf>
    <xf numFmtId="49" fontId="2" fillId="7" borderId="62" xfId="0" applyNumberFormat="1" applyFont="1" applyFill="1" applyBorder="1" applyAlignment="1">
      <alignment horizontal="center" vertical="top"/>
    </xf>
    <xf numFmtId="166" fontId="33" fillId="7" borderId="31" xfId="0" applyNumberFormat="1" applyFont="1" applyFill="1" applyBorder="1" applyAlignment="1">
      <alignment horizontal="center" vertical="top"/>
    </xf>
    <xf numFmtId="0" fontId="2" fillId="7" borderId="15" xfId="0" applyNumberFormat="1" applyFont="1" applyFill="1" applyBorder="1" applyAlignment="1">
      <alignment horizontal="center" vertical="top"/>
    </xf>
    <xf numFmtId="166" fontId="2" fillId="7" borderId="84" xfId="0" applyNumberFormat="1" applyFont="1" applyFill="1" applyBorder="1" applyAlignment="1">
      <alignment horizontal="center" vertical="top" wrapText="1"/>
    </xf>
    <xf numFmtId="166" fontId="33" fillId="7" borderId="57" xfId="0" applyNumberFormat="1" applyFont="1" applyFill="1" applyBorder="1" applyAlignment="1">
      <alignment horizontal="center" vertical="top"/>
    </xf>
    <xf numFmtId="49" fontId="3" fillId="8" borderId="44" xfId="0" applyNumberFormat="1" applyFont="1" applyFill="1" applyBorder="1" applyAlignment="1">
      <alignment horizontal="center" vertical="top"/>
    </xf>
    <xf numFmtId="166" fontId="33" fillId="7" borderId="45" xfId="0" applyNumberFormat="1" applyFont="1" applyFill="1" applyBorder="1" applyAlignment="1">
      <alignment horizontal="center" vertical="top"/>
    </xf>
    <xf numFmtId="49" fontId="2" fillId="7" borderId="116" xfId="0" applyNumberFormat="1" applyFont="1" applyFill="1" applyBorder="1" applyAlignment="1">
      <alignment horizontal="center" vertical="top"/>
    </xf>
    <xf numFmtId="166" fontId="2" fillId="7" borderId="71" xfId="0" applyNumberFormat="1" applyFont="1" applyFill="1" applyBorder="1" applyAlignment="1">
      <alignment vertical="top" wrapText="1"/>
    </xf>
    <xf numFmtId="49" fontId="2" fillId="7" borderId="120" xfId="0" applyNumberFormat="1" applyFont="1" applyFill="1" applyBorder="1" applyAlignment="1">
      <alignment horizontal="center" vertical="top"/>
    </xf>
    <xf numFmtId="49" fontId="2" fillId="7" borderId="49" xfId="0" applyNumberFormat="1" applyFont="1" applyFill="1" applyBorder="1" applyAlignment="1">
      <alignment horizontal="center" vertical="top"/>
    </xf>
    <xf numFmtId="166" fontId="3" fillId="8" borderId="29" xfId="0" applyNumberFormat="1" applyFont="1" applyFill="1" applyBorder="1" applyAlignment="1">
      <alignment horizontal="center" vertical="top"/>
    </xf>
    <xf numFmtId="166" fontId="7" fillId="8" borderId="29" xfId="0" applyNumberFormat="1" applyFont="1" applyFill="1" applyBorder="1" applyAlignment="1">
      <alignment vertical="top" wrapText="1"/>
    </xf>
    <xf numFmtId="166" fontId="10" fillId="8" borderId="29" xfId="0" applyNumberFormat="1" applyFont="1" applyFill="1" applyBorder="1" applyAlignment="1">
      <alignment horizontal="center" vertical="center" textRotation="90" wrapText="1"/>
    </xf>
    <xf numFmtId="166" fontId="3" fillId="8" borderId="30" xfId="0" applyNumberFormat="1" applyFont="1" applyFill="1" applyBorder="1" applyAlignment="1">
      <alignment horizontal="center" vertical="top"/>
    </xf>
    <xf numFmtId="166" fontId="42" fillId="8" borderId="65" xfId="0" applyNumberFormat="1" applyFont="1" applyFill="1" applyBorder="1" applyAlignment="1">
      <alignment horizontal="center" vertical="top"/>
    </xf>
    <xf numFmtId="3" fontId="6" fillId="8" borderId="30" xfId="0" applyNumberFormat="1" applyFont="1" applyFill="1" applyBorder="1" applyAlignment="1">
      <alignment horizontal="center" vertical="top" wrapText="1"/>
    </xf>
    <xf numFmtId="166" fontId="3" fillId="2" borderId="51" xfId="0" applyNumberFormat="1" applyFont="1" applyFill="1" applyBorder="1" applyAlignment="1">
      <alignment horizontal="center" vertical="top"/>
    </xf>
    <xf numFmtId="166" fontId="3" fillId="7" borderId="37" xfId="0" applyNumberFormat="1" applyFont="1" applyFill="1" applyBorder="1" applyAlignment="1">
      <alignment vertical="top" wrapText="1"/>
    </xf>
    <xf numFmtId="166" fontId="2" fillId="0" borderId="12" xfId="0" applyNumberFormat="1" applyFont="1" applyBorder="1" applyAlignment="1">
      <alignment horizontal="center" vertical="top" wrapText="1"/>
    </xf>
    <xf numFmtId="166" fontId="2" fillId="7" borderId="99" xfId="0" applyNumberFormat="1" applyFont="1" applyFill="1" applyBorder="1" applyAlignment="1">
      <alignment horizontal="center" vertical="top"/>
    </xf>
    <xf numFmtId="166" fontId="2" fillId="7" borderId="12" xfId="0" applyNumberFormat="1" applyFont="1" applyFill="1" applyBorder="1" applyAlignment="1">
      <alignment horizontal="center" vertical="top"/>
    </xf>
    <xf numFmtId="166" fontId="33" fillId="7" borderId="41" xfId="0" applyNumberFormat="1" applyFont="1" applyFill="1" applyBorder="1" applyAlignment="1">
      <alignment horizontal="center" vertical="top"/>
    </xf>
    <xf numFmtId="166" fontId="2" fillId="7" borderId="33" xfId="0" applyNumberFormat="1" applyFont="1" applyFill="1" applyBorder="1" applyAlignment="1">
      <alignment vertical="top" wrapText="1"/>
    </xf>
    <xf numFmtId="0" fontId="0" fillId="0" borderId="9" xfId="0" applyFont="1" applyBorder="1" applyAlignment="1">
      <alignment horizontal="center" vertical="center" textRotation="90" wrapText="1"/>
    </xf>
    <xf numFmtId="166" fontId="2" fillId="7" borderId="110" xfId="0" applyNumberFormat="1" applyFont="1" applyFill="1" applyBorder="1" applyAlignment="1">
      <alignment vertical="top" wrapText="1"/>
    </xf>
    <xf numFmtId="166" fontId="33" fillId="7" borderId="43" xfId="0" applyNumberFormat="1" applyFont="1" applyFill="1" applyBorder="1" applyAlignment="1">
      <alignment horizontal="center" vertical="top"/>
    </xf>
    <xf numFmtId="166" fontId="33" fillId="7" borderId="39" xfId="0" applyNumberFormat="1" applyFont="1" applyFill="1" applyBorder="1" applyAlignment="1">
      <alignment horizontal="center" vertical="top"/>
    </xf>
    <xf numFmtId="49" fontId="2" fillId="7" borderId="15" xfId="0" applyNumberFormat="1" applyFont="1" applyFill="1" applyBorder="1" applyAlignment="1">
      <alignment horizontal="center" vertical="top" wrapText="1"/>
    </xf>
    <xf numFmtId="166" fontId="3" fillId="7" borderId="25" xfId="0" applyNumberFormat="1" applyFont="1" applyFill="1" applyBorder="1" applyAlignment="1">
      <alignment horizontal="center" vertical="top"/>
    </xf>
    <xf numFmtId="166" fontId="33" fillId="7" borderId="81" xfId="0" applyNumberFormat="1" applyFont="1" applyFill="1" applyBorder="1" applyAlignment="1">
      <alignment horizontal="center" vertical="top"/>
    </xf>
    <xf numFmtId="49" fontId="3" fillId="7" borderId="17" xfId="0" applyNumberFormat="1" applyFont="1" applyFill="1" applyBorder="1" applyAlignment="1">
      <alignment horizontal="center" vertical="top"/>
    </xf>
    <xf numFmtId="166" fontId="13" fillId="7" borderId="15" xfId="0" applyNumberFormat="1" applyFont="1" applyFill="1" applyBorder="1" applyAlignment="1">
      <alignment horizontal="center" vertical="center" wrapText="1"/>
    </xf>
    <xf numFmtId="166" fontId="33" fillId="7" borderId="68" xfId="0" applyNumberFormat="1" applyFont="1" applyFill="1" applyBorder="1" applyAlignment="1">
      <alignment horizontal="center" vertical="top"/>
    </xf>
    <xf numFmtId="166" fontId="33" fillId="7" borderId="0" xfId="0" applyNumberFormat="1" applyFont="1" applyFill="1" applyBorder="1" applyAlignment="1">
      <alignment horizontal="center" vertical="top"/>
    </xf>
    <xf numFmtId="0" fontId="6" fillId="7" borderId="15" xfId="0" applyNumberFormat="1" applyFont="1" applyFill="1" applyBorder="1" applyAlignment="1">
      <alignment horizontal="center" vertical="top" wrapText="1"/>
    </xf>
    <xf numFmtId="166" fontId="2" fillId="7" borderId="16" xfId="0" applyNumberFormat="1" applyFont="1" applyFill="1" applyBorder="1" applyAlignment="1">
      <alignment horizontal="center" vertical="top"/>
    </xf>
    <xf numFmtId="3" fontId="43" fillId="7" borderId="24" xfId="0" applyNumberFormat="1" applyFont="1" applyFill="1" applyBorder="1" applyAlignment="1">
      <alignment horizontal="center" vertical="top" wrapText="1"/>
    </xf>
    <xf numFmtId="166" fontId="2" fillId="7" borderId="34" xfId="0" applyNumberFormat="1" applyFont="1" applyFill="1" applyBorder="1" applyAlignment="1">
      <alignment vertical="top" wrapText="1"/>
    </xf>
    <xf numFmtId="166" fontId="3" fillId="3" borderId="1" xfId="0" applyNumberFormat="1" applyFont="1" applyFill="1" applyBorder="1" applyAlignment="1">
      <alignment horizontal="center" vertical="top" wrapText="1"/>
    </xf>
    <xf numFmtId="166" fontId="3" fillId="7" borderId="34" xfId="0" applyNumberFormat="1" applyFont="1" applyFill="1" applyBorder="1" applyAlignment="1">
      <alignment horizontal="center" vertical="top" wrapText="1"/>
    </xf>
    <xf numFmtId="166" fontId="2" fillId="7" borderId="14" xfId="0" applyNumberFormat="1" applyFont="1" applyFill="1" applyBorder="1" applyAlignment="1">
      <alignment horizontal="center" vertical="top" wrapText="1"/>
    </xf>
    <xf numFmtId="166" fontId="2" fillId="0" borderId="20" xfId="0" applyNumberFormat="1" applyFont="1" applyFill="1" applyBorder="1" applyAlignment="1">
      <alignment horizontal="center" vertical="top"/>
    </xf>
    <xf numFmtId="166" fontId="2" fillId="0" borderId="68" xfId="0" applyNumberFormat="1" applyFont="1" applyFill="1" applyBorder="1" applyAlignment="1">
      <alignment horizontal="center" vertical="top"/>
    </xf>
    <xf numFmtId="166" fontId="42" fillId="8" borderId="30" xfId="0" applyNumberFormat="1" applyFont="1" applyFill="1" applyBorder="1" applyAlignment="1">
      <alignment horizontal="center" vertical="top"/>
    </xf>
    <xf numFmtId="0" fontId="0" fillId="7" borderId="23" xfId="0" applyFont="1" applyFill="1" applyBorder="1" applyAlignment="1">
      <alignment horizontal="center" vertical="top"/>
    </xf>
    <xf numFmtId="0" fontId="0" fillId="7" borderId="24" xfId="0" applyFont="1" applyFill="1" applyBorder="1" applyAlignment="1">
      <alignment horizontal="center" vertical="top"/>
    </xf>
    <xf numFmtId="0" fontId="7" fillId="7" borderId="5" xfId="0" applyFont="1" applyFill="1" applyBorder="1" applyAlignment="1">
      <alignment vertical="top"/>
    </xf>
    <xf numFmtId="49" fontId="3" fillId="8" borderId="0" xfId="0" applyNumberFormat="1" applyFont="1" applyFill="1" applyBorder="1" applyAlignment="1">
      <alignment horizontal="center" vertical="top"/>
    </xf>
    <xf numFmtId="166" fontId="2" fillId="7" borderId="18" xfId="0" applyNumberFormat="1" applyFont="1" applyFill="1" applyBorder="1" applyAlignment="1">
      <alignment horizontal="center" vertical="top" wrapText="1"/>
    </xf>
    <xf numFmtId="0" fontId="44" fillId="7" borderId="26" xfId="0" applyFont="1" applyFill="1" applyBorder="1" applyAlignment="1">
      <alignment vertical="top" wrapText="1"/>
    </xf>
    <xf numFmtId="3" fontId="44" fillId="7" borderId="24" xfId="0" applyNumberFormat="1" applyFont="1" applyFill="1" applyBorder="1" applyAlignment="1">
      <alignment horizontal="center" vertical="top" wrapText="1"/>
    </xf>
    <xf numFmtId="49" fontId="3" fillId="8" borderId="29" xfId="0" applyNumberFormat="1" applyFont="1" applyFill="1" applyBorder="1" applyAlignment="1">
      <alignment horizontal="center" vertical="top"/>
    </xf>
    <xf numFmtId="0" fontId="0" fillId="8" borderId="29" xfId="0" applyFont="1" applyFill="1" applyBorder="1" applyAlignment="1">
      <alignment vertical="top" wrapText="1"/>
    </xf>
    <xf numFmtId="0" fontId="0" fillId="8" borderId="29" xfId="0" applyFont="1" applyFill="1" applyBorder="1" applyAlignment="1">
      <alignment horizontal="center" textRotation="90" wrapText="1"/>
    </xf>
    <xf numFmtId="0" fontId="0" fillId="8" borderId="29" xfId="0" applyFont="1" applyFill="1" applyBorder="1" applyAlignment="1">
      <alignment horizontal="center" vertical="top"/>
    </xf>
    <xf numFmtId="166" fontId="7" fillId="8" borderId="65" xfId="0" applyNumberFormat="1" applyFont="1" applyFill="1" applyBorder="1" applyAlignment="1">
      <alignment vertical="top" wrapText="1"/>
    </xf>
    <xf numFmtId="166" fontId="2" fillId="8" borderId="30" xfId="0" applyNumberFormat="1" applyFont="1" applyFill="1" applyBorder="1" applyAlignment="1">
      <alignment horizontal="center" vertical="top"/>
    </xf>
    <xf numFmtId="166" fontId="3" fillId="8" borderId="22" xfId="0" applyNumberFormat="1" applyFont="1" applyFill="1" applyBorder="1" applyAlignment="1">
      <alignment vertical="top"/>
    </xf>
    <xf numFmtId="166" fontId="3" fillId="7" borderId="10" xfId="0" applyNumberFormat="1" applyFont="1" applyFill="1" applyBorder="1" applyAlignment="1">
      <alignment horizontal="center" vertical="top"/>
    </xf>
    <xf numFmtId="166" fontId="2" fillId="7" borderId="10" xfId="0" applyNumberFormat="1" applyFont="1" applyFill="1" applyBorder="1" applyAlignment="1">
      <alignment horizontal="center" vertical="center" textRotation="90" wrapText="1"/>
    </xf>
    <xf numFmtId="166" fontId="2" fillId="7" borderId="61" xfId="0" applyNumberFormat="1" applyFont="1" applyFill="1" applyBorder="1" applyAlignment="1">
      <alignment horizontal="right" vertical="top"/>
    </xf>
    <xf numFmtId="166" fontId="2" fillId="7" borderId="8" xfId="0" applyNumberFormat="1" applyFont="1" applyFill="1" applyBorder="1" applyAlignment="1">
      <alignment horizontal="right" vertical="top"/>
    </xf>
    <xf numFmtId="166" fontId="2" fillId="7" borderId="62" xfId="0" applyNumberFormat="1" applyFont="1" applyFill="1" applyBorder="1" applyAlignment="1">
      <alignment horizontal="right" vertical="top"/>
    </xf>
    <xf numFmtId="166" fontId="2" fillId="0" borderId="36" xfId="0" applyNumberFormat="1" applyFont="1" applyFill="1" applyBorder="1" applyAlignment="1">
      <alignment horizontal="left" vertical="top" wrapText="1"/>
    </xf>
    <xf numFmtId="166" fontId="2" fillId="0" borderId="23" xfId="0" applyNumberFormat="1" applyFont="1" applyFill="1" applyBorder="1" applyAlignment="1">
      <alignment horizontal="center" vertical="top"/>
    </xf>
    <xf numFmtId="166" fontId="3" fillId="7" borderId="1" xfId="0" applyNumberFormat="1" applyFont="1" applyFill="1" applyBorder="1" applyAlignment="1">
      <alignment horizontal="center" vertical="top"/>
    </xf>
    <xf numFmtId="166" fontId="2" fillId="7" borderId="38" xfId="0" applyNumberFormat="1" applyFont="1" applyFill="1" applyBorder="1" applyAlignment="1">
      <alignment horizontal="center" vertical="top"/>
    </xf>
    <xf numFmtId="0" fontId="2" fillId="0" borderId="75" xfId="0" applyFont="1" applyBorder="1" applyAlignment="1">
      <alignment vertical="top" wrapText="1"/>
    </xf>
    <xf numFmtId="166" fontId="3" fillId="7" borderId="25" xfId="0" applyNumberFormat="1" applyFont="1" applyFill="1" applyBorder="1" applyAlignment="1">
      <alignment horizontal="center" vertical="center" textRotation="90"/>
    </xf>
    <xf numFmtId="166" fontId="3" fillId="7" borderId="17" xfId="0" applyNumberFormat="1" applyFont="1" applyFill="1" applyBorder="1" applyAlignment="1">
      <alignment vertical="top"/>
    </xf>
    <xf numFmtId="166" fontId="2" fillId="7" borderId="15" xfId="0" applyNumberFormat="1" applyFont="1" applyFill="1" applyBorder="1" applyAlignment="1">
      <alignment horizontal="center" vertical="center" wrapText="1"/>
    </xf>
    <xf numFmtId="166" fontId="2" fillId="0" borderId="5" xfId="0" applyNumberFormat="1" applyFont="1" applyFill="1" applyBorder="1" applyAlignment="1">
      <alignment horizontal="left" vertical="top" wrapText="1"/>
    </xf>
    <xf numFmtId="49" fontId="2" fillId="7" borderId="76" xfId="0" applyNumberFormat="1" applyFont="1" applyFill="1" applyBorder="1" applyAlignment="1">
      <alignment horizontal="center" vertical="top"/>
    </xf>
    <xf numFmtId="49" fontId="33" fillId="7" borderId="76" xfId="0" applyNumberFormat="1" applyFont="1" applyFill="1" applyBorder="1" applyAlignment="1">
      <alignment horizontal="center" vertical="top" wrapText="1"/>
    </xf>
    <xf numFmtId="0" fontId="2" fillId="0" borderId="0" xfId="0" applyFont="1" applyBorder="1" applyAlignment="1">
      <alignment vertical="top" wrapText="1"/>
    </xf>
    <xf numFmtId="166" fontId="3" fillId="7" borderId="25" xfId="0" applyNumberFormat="1" applyFont="1" applyFill="1" applyBorder="1" applyAlignment="1">
      <alignment vertical="top"/>
    </xf>
    <xf numFmtId="166" fontId="33" fillId="3" borderId="20" xfId="0" applyNumberFormat="1" applyFont="1" applyFill="1" applyBorder="1" applyAlignment="1">
      <alignment horizontal="center" vertical="top"/>
    </xf>
    <xf numFmtId="166" fontId="33" fillId="7" borderId="49" xfId="0" applyNumberFormat="1" applyFont="1" applyFill="1" applyBorder="1" applyAlignment="1">
      <alignment horizontal="center" vertical="top"/>
    </xf>
    <xf numFmtId="49" fontId="2" fillId="7" borderId="84" xfId="0" applyNumberFormat="1" applyFont="1" applyFill="1" applyBorder="1" applyAlignment="1">
      <alignment horizontal="center" vertical="top"/>
    </xf>
    <xf numFmtId="49" fontId="3" fillId="7" borderId="9" xfId="0" applyNumberFormat="1" applyFont="1" applyFill="1" applyBorder="1" applyAlignment="1">
      <alignment vertical="top"/>
    </xf>
    <xf numFmtId="166" fontId="2" fillId="7" borderId="49" xfId="0" applyNumberFormat="1" applyFont="1" applyFill="1" applyBorder="1" applyAlignment="1">
      <alignment horizontal="center" vertical="center"/>
    </xf>
    <xf numFmtId="166" fontId="7" fillId="7" borderId="15" xfId="0" applyNumberFormat="1" applyFont="1" applyFill="1" applyBorder="1" applyAlignment="1">
      <alignment horizontal="center" wrapText="1"/>
    </xf>
    <xf numFmtId="0" fontId="0" fillId="7" borderId="44" xfId="0" applyFont="1" applyFill="1" applyBorder="1" applyAlignment="1">
      <alignment vertical="top" wrapText="1"/>
    </xf>
    <xf numFmtId="49" fontId="2" fillId="7" borderId="73" xfId="0" applyNumberFormat="1" applyFont="1" applyFill="1" applyBorder="1" applyAlignment="1">
      <alignment horizontal="center" vertical="top" wrapText="1"/>
    </xf>
    <xf numFmtId="0" fontId="0" fillId="0" borderId="44" xfId="0" applyFont="1" applyBorder="1" applyAlignment="1">
      <alignment vertical="top" wrapText="1"/>
    </xf>
    <xf numFmtId="49" fontId="2" fillId="7" borderId="90" xfId="0" applyNumberFormat="1" applyFont="1" applyFill="1" applyBorder="1" applyAlignment="1">
      <alignment horizontal="center" vertical="top" wrapText="1"/>
    </xf>
    <xf numFmtId="0" fontId="0" fillId="7" borderId="32" xfId="0" applyFont="1" applyFill="1" applyBorder="1" applyAlignment="1">
      <alignment vertical="top" wrapText="1"/>
    </xf>
    <xf numFmtId="3" fontId="33" fillId="7" borderId="24" xfId="0" applyNumberFormat="1" applyFont="1" applyFill="1" applyBorder="1" applyAlignment="1">
      <alignment horizontal="center" vertical="top"/>
    </xf>
    <xf numFmtId="49" fontId="3" fillId="7" borderId="17" xfId="0" applyNumberFormat="1" applyFont="1" applyFill="1" applyBorder="1" applyAlignment="1">
      <alignment vertical="top"/>
    </xf>
    <xf numFmtId="166" fontId="2" fillId="0" borderId="15" xfId="0" applyNumberFormat="1" applyFont="1" applyBorder="1" applyAlignment="1">
      <alignment horizontal="center" vertical="top" wrapText="1"/>
    </xf>
    <xf numFmtId="166" fontId="2" fillId="0" borderId="4" xfId="0" applyNumberFormat="1" applyFont="1" applyFill="1" applyBorder="1" applyAlignment="1">
      <alignment horizontal="center" vertical="top"/>
    </xf>
    <xf numFmtId="0" fontId="19" fillId="7" borderId="33" xfId="0" applyFont="1" applyFill="1" applyBorder="1" applyAlignment="1">
      <alignment vertical="top" wrapText="1"/>
    </xf>
    <xf numFmtId="3" fontId="2" fillId="7" borderId="24" xfId="0" applyNumberFormat="1" applyFont="1" applyFill="1" applyBorder="1" applyAlignment="1">
      <alignment horizontal="center" vertical="center"/>
    </xf>
    <xf numFmtId="166" fontId="33" fillId="7" borderId="118" xfId="0" applyNumberFormat="1" applyFont="1" applyFill="1" applyBorder="1" applyAlignment="1">
      <alignment horizontal="center" vertical="top"/>
    </xf>
    <xf numFmtId="49" fontId="3" fillId="7" borderId="9" xfId="0" applyNumberFormat="1" applyFont="1" applyFill="1" applyBorder="1" applyAlignment="1">
      <alignment horizontal="center" vertical="top" wrapText="1"/>
    </xf>
    <xf numFmtId="49" fontId="2" fillId="7" borderId="15" xfId="0" applyNumberFormat="1" applyFont="1" applyFill="1" applyBorder="1" applyAlignment="1">
      <alignment horizontal="center" vertical="center" wrapText="1"/>
    </xf>
    <xf numFmtId="166" fontId="2" fillId="7" borderId="39" xfId="0" applyNumberFormat="1" applyFont="1" applyFill="1" applyBorder="1" applyAlignment="1">
      <alignment horizontal="center" vertical="top" wrapText="1"/>
    </xf>
    <xf numFmtId="166" fontId="2" fillId="7" borderId="49" xfId="0" applyNumberFormat="1" applyFont="1" applyFill="1" applyBorder="1" applyAlignment="1">
      <alignment horizontal="center" vertical="top" wrapText="1"/>
    </xf>
    <xf numFmtId="166" fontId="7" fillId="7" borderId="15" xfId="0" applyNumberFormat="1" applyFont="1" applyFill="1" applyBorder="1" applyAlignment="1">
      <alignment vertical="top" wrapText="1"/>
    </xf>
    <xf numFmtId="166" fontId="33" fillId="7" borderId="121" xfId="0" applyNumberFormat="1" applyFont="1" applyFill="1" applyBorder="1" applyAlignment="1">
      <alignment horizontal="center" vertical="top"/>
    </xf>
    <xf numFmtId="3" fontId="2" fillId="7" borderId="18" xfId="0" applyNumberFormat="1" applyFont="1" applyFill="1" applyBorder="1" applyAlignment="1">
      <alignment horizontal="center" vertical="center"/>
    </xf>
    <xf numFmtId="166" fontId="7" fillId="7" borderId="24" xfId="0" applyNumberFormat="1" applyFont="1" applyFill="1" applyBorder="1" applyAlignment="1">
      <alignment vertical="top" wrapText="1"/>
    </xf>
    <xf numFmtId="166" fontId="2" fillId="7" borderId="122" xfId="0" applyNumberFormat="1" applyFont="1" applyFill="1" applyBorder="1" applyAlignment="1">
      <alignment horizontal="left" vertical="top" wrapText="1"/>
    </xf>
    <xf numFmtId="3" fontId="2" fillId="7" borderId="123" xfId="0" applyNumberFormat="1" applyFont="1" applyFill="1" applyBorder="1" applyAlignment="1">
      <alignment horizontal="center" vertical="top"/>
    </xf>
    <xf numFmtId="0" fontId="0" fillId="7" borderId="48" xfId="0" applyFont="1" applyFill="1" applyBorder="1" applyAlignment="1">
      <alignment vertical="top" wrapText="1"/>
    </xf>
    <xf numFmtId="0" fontId="0" fillId="0" borderId="0" xfId="0" applyFont="1" applyFill="1" applyAlignment="1">
      <alignment horizontal="left" vertical="top" wrapText="1"/>
    </xf>
    <xf numFmtId="3" fontId="3" fillId="0" borderId="8" xfId="0" applyNumberFormat="1" applyFont="1" applyBorder="1" applyAlignment="1">
      <alignment horizontal="center" vertical="center" wrapText="1"/>
    </xf>
    <xf numFmtId="3" fontId="2" fillId="7" borderId="54" xfId="0" applyNumberFormat="1" applyFont="1" applyFill="1" applyBorder="1" applyAlignment="1">
      <alignment horizontal="center" vertical="top"/>
    </xf>
    <xf numFmtId="3" fontId="2" fillId="7" borderId="68" xfId="0" applyNumberFormat="1" applyFont="1" applyFill="1" applyBorder="1" applyAlignment="1">
      <alignment horizontal="center" vertical="top"/>
    </xf>
    <xf numFmtId="0" fontId="49" fillId="10" borderId="102" xfId="0" applyNumberFormat="1" applyFont="1" applyFill="1" applyBorder="1" applyAlignment="1" applyProtection="1">
      <alignment horizontal="left" vertical="top" wrapText="1" readingOrder="1"/>
      <protection locked="0"/>
    </xf>
    <xf numFmtId="0" fontId="49" fillId="11" borderId="102" xfId="0" applyNumberFormat="1" applyFont="1" applyFill="1" applyBorder="1" applyAlignment="1" applyProtection="1">
      <alignment horizontal="left" vertical="top" wrapText="1" readingOrder="1"/>
      <protection locked="0"/>
    </xf>
    <xf numFmtId="0" fontId="49" fillId="12" borderId="102" xfId="0" applyNumberFormat="1" applyFont="1" applyFill="1" applyBorder="1" applyAlignment="1" applyProtection="1">
      <alignment horizontal="left" vertical="top" wrapText="1" readingOrder="1"/>
      <protection locked="0"/>
    </xf>
    <xf numFmtId="0" fontId="50" fillId="0" borderId="102" xfId="0" applyNumberFormat="1" applyFont="1" applyFill="1" applyBorder="1" applyAlignment="1" applyProtection="1">
      <alignment horizontal="left" vertical="top" wrapText="1" readingOrder="1"/>
      <protection locked="0"/>
    </xf>
    <xf numFmtId="0" fontId="50" fillId="0" borderId="105" xfId="0" applyNumberFormat="1" applyFont="1" applyFill="1" applyBorder="1" applyAlignment="1" applyProtection="1">
      <alignment horizontal="left" vertical="top" wrapText="1" readingOrder="1"/>
      <protection locked="0"/>
    </xf>
    <xf numFmtId="0" fontId="50" fillId="0" borderId="108" xfId="0" applyNumberFormat="1" applyFont="1" applyFill="1" applyBorder="1" applyAlignment="1" applyProtection="1">
      <alignment horizontal="left" vertical="top" wrapText="1" readingOrder="1"/>
      <protection locked="0"/>
    </xf>
    <xf numFmtId="0" fontId="50" fillId="0" borderId="0" xfId="0" applyNumberFormat="1" applyFont="1" applyFill="1" applyAlignment="1" applyProtection="1">
      <alignment horizontal="left" vertical="top" wrapText="1" readingOrder="1"/>
      <protection locked="0"/>
    </xf>
    <xf numFmtId="0" fontId="51" fillId="0" borderId="0" xfId="0" applyNumberFormat="1" applyFont="1" applyFill="1" applyAlignment="1" applyProtection="1">
      <alignment wrapText="1"/>
    </xf>
    <xf numFmtId="166" fontId="2" fillId="15" borderId="74" xfId="0" applyNumberFormat="1" applyFont="1" applyFill="1" applyBorder="1" applyAlignment="1">
      <alignment horizontal="left" vertical="top" wrapText="1"/>
    </xf>
    <xf numFmtId="3" fontId="2" fillId="15" borderId="80" xfId="0" applyNumberFormat="1" applyFont="1" applyFill="1" applyBorder="1" applyAlignment="1">
      <alignment horizontal="center" vertical="top"/>
    </xf>
    <xf numFmtId="3" fontId="2" fillId="15" borderId="76" xfId="0" applyNumberFormat="1" applyFont="1" applyFill="1" applyBorder="1" applyAlignment="1">
      <alignment horizontal="left" vertical="top" wrapText="1"/>
    </xf>
    <xf numFmtId="166" fontId="2" fillId="15" borderId="75" xfId="0" applyNumberFormat="1" applyFont="1" applyFill="1" applyBorder="1" applyAlignment="1">
      <alignment horizontal="left" vertical="top" wrapText="1"/>
    </xf>
    <xf numFmtId="3" fontId="2" fillId="15" borderId="80" xfId="0" applyNumberFormat="1" applyFont="1" applyFill="1" applyBorder="1" applyAlignment="1">
      <alignment horizontal="left" vertical="top" wrapText="1"/>
    </xf>
    <xf numFmtId="0" fontId="52" fillId="0" borderId="101" xfId="0" applyNumberFormat="1" applyFont="1" applyFill="1" applyBorder="1" applyAlignment="1" applyProtection="1">
      <alignment vertical="top" wrapText="1" readingOrder="1"/>
      <protection locked="0"/>
    </xf>
    <xf numFmtId="0" fontId="2" fillId="7" borderId="4" xfId="0" applyFont="1" applyFill="1" applyBorder="1" applyAlignment="1">
      <alignment horizontal="center" vertical="top"/>
    </xf>
    <xf numFmtId="0" fontId="2" fillId="6" borderId="71" xfId="0" applyFont="1" applyFill="1" applyBorder="1" applyAlignment="1">
      <alignment horizontal="left" vertical="top" wrapText="1"/>
    </xf>
    <xf numFmtId="3" fontId="2" fillId="6" borderId="83" xfId="0" applyNumberFormat="1" applyFont="1" applyFill="1" applyBorder="1" applyAlignment="1">
      <alignment horizontal="center" vertical="top"/>
    </xf>
    <xf numFmtId="49" fontId="2" fillId="6" borderId="83" xfId="0" applyNumberFormat="1" applyFont="1" applyFill="1" applyBorder="1" applyAlignment="1">
      <alignment horizontal="center" vertical="top"/>
    </xf>
    <xf numFmtId="0" fontId="2" fillId="15" borderId="114" xfId="0" applyFont="1" applyFill="1" applyBorder="1" applyAlignment="1">
      <alignment horizontal="left" vertical="top" wrapText="1"/>
    </xf>
    <xf numFmtId="3" fontId="2" fillId="15" borderId="94" xfId="0" applyNumberFormat="1" applyFont="1" applyFill="1" applyBorder="1" applyAlignment="1">
      <alignment horizontal="center" vertical="top"/>
    </xf>
    <xf numFmtId="49" fontId="2" fillId="15" borderId="94" xfId="0" applyNumberFormat="1" applyFont="1" applyFill="1" applyBorder="1" applyAlignment="1">
      <alignment horizontal="center" vertical="top"/>
    </xf>
    <xf numFmtId="49" fontId="2" fillId="15" borderId="94" xfId="0" applyNumberFormat="1" applyFont="1" applyFill="1" applyBorder="1" applyAlignment="1">
      <alignment horizontal="left" vertical="top" wrapText="1"/>
    </xf>
    <xf numFmtId="49" fontId="2" fillId="15" borderId="93" xfId="0" applyNumberFormat="1" applyFont="1" applyFill="1" applyBorder="1" applyAlignment="1">
      <alignment horizontal="left" vertical="top" wrapText="1"/>
    </xf>
    <xf numFmtId="3" fontId="2" fillId="3" borderId="18" xfId="0" applyNumberFormat="1" applyFont="1" applyFill="1" applyBorder="1" applyAlignment="1">
      <alignment horizontal="left" vertical="top" wrapText="1"/>
    </xf>
    <xf numFmtId="3" fontId="2" fillId="7" borderId="42" xfId="0" applyNumberFormat="1" applyFont="1" applyFill="1" applyBorder="1" applyAlignment="1">
      <alignment horizontal="left" vertical="top"/>
    </xf>
    <xf numFmtId="166" fontId="2" fillId="6" borderId="33" xfId="0" applyNumberFormat="1" applyFont="1" applyFill="1" applyBorder="1" applyAlignment="1">
      <alignment horizontal="left" vertical="top" wrapText="1"/>
    </xf>
    <xf numFmtId="3" fontId="2" fillId="6" borderId="17" xfId="0" applyNumberFormat="1" applyFont="1" applyFill="1" applyBorder="1" applyAlignment="1">
      <alignment horizontal="center" vertical="top"/>
    </xf>
    <xf numFmtId="3" fontId="2" fillId="6" borderId="54" xfId="0" applyNumberFormat="1" applyFont="1" applyFill="1" applyBorder="1" applyAlignment="1">
      <alignment horizontal="center" vertical="top"/>
    </xf>
    <xf numFmtId="0" fontId="7" fillId="6" borderId="16" xfId="0" applyFont="1" applyFill="1" applyBorder="1" applyAlignment="1">
      <alignment horizontal="left" vertical="top" wrapText="1"/>
    </xf>
    <xf numFmtId="3" fontId="2" fillId="6" borderId="25" xfId="0" applyNumberFormat="1" applyFont="1" applyFill="1" applyBorder="1" applyAlignment="1">
      <alignment horizontal="center" vertical="top"/>
    </xf>
    <xf numFmtId="49" fontId="2" fillId="0" borderId="29" xfId="0" applyNumberFormat="1" applyFont="1" applyBorder="1" applyAlignment="1">
      <alignment vertical="top"/>
    </xf>
    <xf numFmtId="49" fontId="3" fillId="7" borderId="29" xfId="0" applyNumberFormat="1" applyFont="1" applyFill="1" applyBorder="1" applyAlignment="1">
      <alignment horizontal="center" vertical="top"/>
    </xf>
    <xf numFmtId="49" fontId="3" fillId="0" borderId="0" xfId="0" applyNumberFormat="1" applyFont="1" applyFill="1" applyBorder="1" applyAlignment="1">
      <alignment horizontal="right" vertical="top"/>
    </xf>
    <xf numFmtId="49" fontId="7" fillId="0" borderId="0" xfId="0" applyNumberFormat="1" applyFont="1" applyFill="1" applyAlignment="1">
      <alignment horizontal="left" vertical="top" wrapText="1"/>
    </xf>
    <xf numFmtId="49" fontId="2" fillId="0" borderId="0" xfId="0" applyNumberFormat="1" applyFont="1" applyAlignment="1">
      <alignment vertical="top"/>
    </xf>
    <xf numFmtId="49" fontId="2" fillId="7" borderId="17" xfId="0" applyNumberFormat="1" applyFont="1" applyFill="1" applyBorder="1" applyAlignment="1">
      <alignment vertical="top"/>
    </xf>
    <xf numFmtId="49" fontId="2" fillId="9" borderId="0" xfId="0" applyNumberFormat="1" applyFont="1" applyFill="1" applyBorder="1" applyAlignment="1">
      <alignment vertical="top"/>
    </xf>
    <xf numFmtId="49" fontId="2" fillId="9" borderId="0" xfId="0" applyNumberFormat="1" applyFont="1" applyFill="1" applyBorder="1" applyAlignment="1">
      <alignment horizontal="left" vertical="top"/>
    </xf>
    <xf numFmtId="49" fontId="2" fillId="9" borderId="68" xfId="0" applyNumberFormat="1" applyFont="1" applyFill="1" applyBorder="1" applyAlignment="1">
      <alignment horizontal="left" vertical="top"/>
    </xf>
    <xf numFmtId="49" fontId="2" fillId="7" borderId="9" xfId="0" applyNumberFormat="1" applyFont="1" applyFill="1" applyBorder="1" applyAlignment="1">
      <alignment vertical="top"/>
    </xf>
    <xf numFmtId="49" fontId="2" fillId="7" borderId="25" xfId="0" applyNumberFormat="1" applyFont="1" applyFill="1" applyBorder="1" applyAlignment="1">
      <alignment vertical="top"/>
    </xf>
    <xf numFmtId="49" fontId="2" fillId="7" borderId="44" xfId="0" applyNumberFormat="1" applyFont="1" applyFill="1" applyBorder="1" applyAlignment="1">
      <alignment vertical="top"/>
    </xf>
    <xf numFmtId="49" fontId="2" fillId="7" borderId="27" xfId="0" applyNumberFormat="1" applyFont="1" applyFill="1" applyBorder="1" applyAlignment="1">
      <alignment vertical="top"/>
    </xf>
    <xf numFmtId="49" fontId="2" fillId="7" borderId="29"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49" fontId="2" fillId="0" borderId="22"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49" fontId="2" fillId="7" borderId="17" xfId="0" applyNumberFormat="1" applyFont="1" applyFill="1" applyBorder="1" applyAlignment="1">
      <alignment vertical="top" wrapText="1"/>
    </xf>
    <xf numFmtId="49" fontId="2" fillId="7" borderId="9" xfId="0" applyNumberFormat="1" applyFont="1" applyFill="1" applyBorder="1" applyAlignment="1">
      <alignment vertical="top" wrapText="1"/>
    </xf>
    <xf numFmtId="49" fontId="2" fillId="0" borderId="0" xfId="0" applyNumberFormat="1" applyFont="1" applyFill="1" applyAlignment="1">
      <alignment horizontal="left" vertical="top" wrapText="1"/>
    </xf>
    <xf numFmtId="49" fontId="2" fillId="7" borderId="109" xfId="0" applyNumberFormat="1" applyFont="1" applyFill="1" applyBorder="1" applyAlignment="1">
      <alignment horizontal="center" vertical="top"/>
    </xf>
    <xf numFmtId="166" fontId="2" fillId="7" borderId="83" xfId="0" applyNumberFormat="1" applyFont="1" applyFill="1" applyBorder="1" applyAlignment="1">
      <alignment horizontal="center" vertical="top"/>
    </xf>
    <xf numFmtId="166" fontId="3" fillId="7" borderId="92" xfId="0" applyNumberFormat="1" applyFont="1" applyFill="1" applyBorder="1" applyAlignment="1">
      <alignment horizontal="center" vertical="top" wrapText="1"/>
    </xf>
    <xf numFmtId="166" fontId="2" fillId="7" borderId="86" xfId="0" applyNumberFormat="1" applyFont="1" applyFill="1" applyBorder="1" applyAlignment="1">
      <alignment horizontal="center" vertical="top"/>
    </xf>
    <xf numFmtId="166" fontId="3" fillId="7" borderId="75" xfId="0" applyNumberFormat="1" applyFont="1" applyFill="1" applyBorder="1" applyAlignment="1">
      <alignment horizontal="center" vertical="top" wrapText="1"/>
    </xf>
    <xf numFmtId="166" fontId="2" fillId="7" borderId="75" xfId="0" applyNumberFormat="1" applyFont="1" applyFill="1" applyBorder="1" applyAlignment="1">
      <alignment horizontal="center" vertical="top"/>
    </xf>
    <xf numFmtId="166" fontId="2" fillId="7" borderId="87" xfId="0" applyNumberFormat="1" applyFont="1" applyFill="1" applyBorder="1" applyAlignment="1">
      <alignment horizontal="left" vertical="top"/>
    </xf>
    <xf numFmtId="166" fontId="3" fillId="7" borderId="80" xfId="0" applyNumberFormat="1" applyFont="1" applyFill="1" applyBorder="1" applyAlignment="1">
      <alignment horizontal="center" vertical="top" wrapText="1"/>
    </xf>
    <xf numFmtId="166" fontId="2" fillId="7" borderId="74" xfId="0" applyNumberFormat="1" applyFont="1" applyFill="1" applyBorder="1" applyAlignment="1">
      <alignment horizontal="center" vertical="top"/>
    </xf>
    <xf numFmtId="0" fontId="2" fillId="7" borderId="80" xfId="0" applyNumberFormat="1" applyFont="1" applyFill="1" applyBorder="1" applyAlignment="1">
      <alignment horizontal="center" vertical="top" wrapText="1"/>
    </xf>
    <xf numFmtId="0" fontId="2" fillId="7" borderId="75" xfId="0" applyNumberFormat="1" applyFont="1" applyFill="1" applyBorder="1" applyAlignment="1">
      <alignment horizontal="center" vertical="top" wrapText="1"/>
    </xf>
    <xf numFmtId="166" fontId="3" fillId="7" borderId="87" xfId="0" applyNumberFormat="1" applyFont="1" applyFill="1" applyBorder="1" applyAlignment="1">
      <alignment horizontal="center" vertical="top" wrapText="1"/>
    </xf>
    <xf numFmtId="166" fontId="3" fillId="7" borderId="32" xfId="0" applyNumberFormat="1" applyFont="1" applyFill="1" applyBorder="1" applyAlignment="1">
      <alignment horizontal="center" vertical="top" wrapText="1"/>
    </xf>
    <xf numFmtId="49" fontId="3" fillId="0" borderId="29" xfId="0" applyNumberFormat="1" applyFont="1" applyBorder="1" applyAlignment="1">
      <alignment vertical="top"/>
    </xf>
    <xf numFmtId="49" fontId="7" fillId="9" borderId="0" xfId="0" applyNumberFormat="1" applyFont="1" applyFill="1" applyBorder="1" applyAlignment="1">
      <alignment horizontal="left" vertical="top"/>
    </xf>
    <xf numFmtId="49" fontId="7" fillId="9" borderId="68" xfId="0" applyNumberFormat="1" applyFont="1" applyFill="1" applyBorder="1" applyAlignment="1">
      <alignment horizontal="left" vertical="top"/>
    </xf>
    <xf numFmtId="49" fontId="3" fillId="7" borderId="11" xfId="0" applyNumberFormat="1" applyFont="1" applyFill="1" applyBorder="1" applyAlignment="1">
      <alignment horizontal="center" vertical="top"/>
    </xf>
    <xf numFmtId="49" fontId="15" fillId="7" borderId="44" xfId="0" applyNumberFormat="1" applyFont="1" applyFill="1" applyBorder="1" applyAlignment="1">
      <alignment horizontal="center" vertical="top"/>
    </xf>
    <xf numFmtId="49" fontId="3" fillId="7" borderId="70" xfId="0" applyNumberFormat="1" applyFont="1" applyFill="1" applyBorder="1" applyAlignment="1">
      <alignment horizontal="center" vertical="top"/>
    </xf>
    <xf numFmtId="49" fontId="3" fillId="7" borderId="23" xfId="0" applyNumberFormat="1" applyFont="1" applyFill="1" applyBorder="1" applyAlignment="1">
      <alignment horizontal="center" vertical="top"/>
    </xf>
    <xf numFmtId="49" fontId="3" fillId="0" borderId="0" xfId="0" applyNumberFormat="1" applyFont="1" applyAlignment="1">
      <alignment vertical="top"/>
    </xf>
    <xf numFmtId="0" fontId="2" fillId="7" borderId="114" xfId="0" applyFont="1" applyFill="1" applyBorder="1" applyAlignment="1">
      <alignment vertical="top" wrapText="1"/>
    </xf>
    <xf numFmtId="0" fontId="2" fillId="7" borderId="94" xfId="0" applyFont="1" applyFill="1" applyBorder="1" applyAlignment="1">
      <alignment horizontal="center" vertical="top"/>
    </xf>
    <xf numFmtId="0" fontId="2" fillId="7" borderId="70" xfId="0" applyFont="1" applyFill="1" applyBorder="1" applyAlignment="1">
      <alignment horizontal="center" vertical="top"/>
    </xf>
    <xf numFmtId="3" fontId="2" fillId="7" borderId="94" xfId="0" applyNumberFormat="1" applyFont="1" applyFill="1" applyBorder="1" applyAlignment="1">
      <alignment horizontal="center" vertical="top"/>
    </xf>
    <xf numFmtId="3" fontId="2" fillId="7" borderId="70" xfId="0" applyNumberFormat="1" applyFont="1" applyFill="1" applyBorder="1" applyAlignment="1">
      <alignment horizontal="center" vertical="top"/>
    </xf>
    <xf numFmtId="3" fontId="2" fillId="7" borderId="70" xfId="0" applyNumberFormat="1" applyFont="1" applyFill="1" applyBorder="1" applyAlignment="1">
      <alignment horizontal="left" vertical="top" wrapText="1"/>
    </xf>
    <xf numFmtId="49" fontId="2" fillId="7" borderId="89" xfId="0" applyNumberFormat="1" applyFont="1" applyFill="1" applyBorder="1" applyAlignment="1">
      <alignment horizontal="center" vertical="top"/>
    </xf>
    <xf numFmtId="49" fontId="2" fillId="7" borderId="89" xfId="0" applyNumberFormat="1" applyFont="1" applyFill="1" applyBorder="1" applyAlignment="1">
      <alignment horizontal="left" vertical="top" wrapText="1"/>
    </xf>
    <xf numFmtId="49" fontId="2" fillId="7" borderId="54" xfId="0" applyNumberFormat="1" applyFont="1" applyFill="1" applyBorder="1" applyAlignment="1">
      <alignment horizontal="left" vertical="top" wrapText="1"/>
    </xf>
    <xf numFmtId="166" fontId="2" fillId="15" borderId="16" xfId="0" applyNumberFormat="1" applyFont="1" applyFill="1" applyBorder="1" applyAlignment="1">
      <alignment vertical="top" wrapText="1"/>
    </xf>
    <xf numFmtId="49" fontId="2" fillId="15" borderId="68" xfId="0" applyNumberFormat="1" applyFont="1" applyFill="1" applyBorder="1" applyAlignment="1">
      <alignment horizontal="center" vertical="top"/>
    </xf>
    <xf numFmtId="49" fontId="2" fillId="15" borderId="25" xfId="0" applyNumberFormat="1" applyFont="1" applyFill="1" applyBorder="1" applyAlignment="1">
      <alignment horizontal="center" vertical="top"/>
    </xf>
    <xf numFmtId="49" fontId="2" fillId="15" borderId="32" xfId="0" applyNumberFormat="1" applyFont="1" applyFill="1" applyBorder="1" applyAlignment="1">
      <alignment horizontal="left" vertical="top" wrapText="1"/>
    </xf>
    <xf numFmtId="3" fontId="2" fillId="7" borderId="44" xfId="0" applyNumberFormat="1" applyFont="1" applyFill="1" applyBorder="1" applyAlignment="1">
      <alignment horizontal="left" vertical="top"/>
    </xf>
    <xf numFmtId="3" fontId="2" fillId="7" borderId="0" xfId="0" applyNumberFormat="1" applyFont="1" applyFill="1" applyBorder="1" applyAlignment="1">
      <alignment horizontal="left" vertical="top" wrapText="1"/>
    </xf>
    <xf numFmtId="3" fontId="2" fillId="6" borderId="92" xfId="0" applyNumberFormat="1" applyFont="1" applyFill="1" applyBorder="1" applyAlignment="1">
      <alignment horizontal="center" vertical="top"/>
    </xf>
    <xf numFmtId="3" fontId="2" fillId="6" borderId="44" xfId="0" applyNumberFormat="1" applyFont="1" applyFill="1" applyBorder="1" applyAlignment="1">
      <alignment horizontal="center" vertical="top"/>
    </xf>
    <xf numFmtId="3" fontId="2" fillId="6" borderId="9" xfId="0" applyNumberFormat="1" applyFont="1" applyFill="1" applyBorder="1" applyAlignment="1">
      <alignment horizontal="center" vertical="top"/>
    </xf>
    <xf numFmtId="3" fontId="2" fillId="6" borderId="43" xfId="0" applyNumberFormat="1" applyFont="1" applyFill="1" applyBorder="1" applyAlignment="1">
      <alignment horizontal="center" vertical="top"/>
    </xf>
    <xf numFmtId="0" fontId="2" fillId="6" borderId="26" xfId="0" applyFont="1" applyFill="1" applyBorder="1" applyAlignment="1">
      <alignment vertical="top" wrapText="1"/>
    </xf>
    <xf numFmtId="3" fontId="2" fillId="6" borderId="32" xfId="0" applyNumberFormat="1" applyFont="1" applyFill="1" applyBorder="1" applyAlignment="1">
      <alignment horizontal="center" vertical="top"/>
    </xf>
    <xf numFmtId="3" fontId="2" fillId="6" borderId="16" xfId="0" applyNumberFormat="1" applyFont="1" applyFill="1" applyBorder="1" applyAlignment="1">
      <alignment horizontal="center" vertical="top"/>
    </xf>
    <xf numFmtId="166" fontId="6" fillId="7" borderId="17" xfId="0" applyNumberFormat="1" applyFont="1" applyFill="1" applyBorder="1" applyAlignment="1">
      <alignment horizontal="center" vertical="top" textRotation="90" wrapText="1"/>
    </xf>
    <xf numFmtId="3" fontId="2" fillId="7" borderId="18" xfId="0" applyNumberFormat="1" applyFont="1" applyFill="1" applyBorder="1" applyAlignment="1">
      <alignment horizontal="center" vertical="top"/>
    </xf>
    <xf numFmtId="3" fontId="2" fillId="7" borderId="24" xfId="0" applyNumberFormat="1" applyFont="1" applyFill="1" applyBorder="1" applyAlignment="1">
      <alignment horizontal="center" vertical="top"/>
    </xf>
    <xf numFmtId="169" fontId="0" fillId="0" borderId="0" xfId="0" applyNumberFormat="1" applyFill="1" applyAlignment="1" applyProtection="1">
      <alignment wrapText="1"/>
    </xf>
    <xf numFmtId="49" fontId="2" fillId="7" borderId="70" xfId="0" applyNumberFormat="1" applyFont="1" applyFill="1" applyBorder="1" applyAlignment="1">
      <alignment horizontal="center" vertical="top"/>
    </xf>
    <xf numFmtId="49" fontId="2" fillId="7" borderId="124" xfId="0" applyNumberFormat="1" applyFont="1" applyFill="1" applyBorder="1" applyAlignment="1">
      <alignment horizontal="center" vertical="top"/>
    </xf>
    <xf numFmtId="49" fontId="2" fillId="7" borderId="125" xfId="0" applyNumberFormat="1" applyFont="1" applyFill="1" applyBorder="1" applyAlignment="1">
      <alignment horizontal="center" vertical="top"/>
    </xf>
    <xf numFmtId="49" fontId="2" fillId="7" borderId="80" xfId="0" applyNumberFormat="1" applyFont="1" applyFill="1" applyBorder="1" applyAlignment="1">
      <alignment horizontal="center" vertical="top"/>
    </xf>
    <xf numFmtId="49" fontId="2" fillId="7" borderId="75" xfId="0" applyNumberFormat="1" applyFont="1" applyFill="1" applyBorder="1" applyAlignment="1">
      <alignment horizontal="left" vertical="top"/>
    </xf>
    <xf numFmtId="49" fontId="2" fillId="7" borderId="75" xfId="0" applyNumberFormat="1" applyFont="1" applyFill="1" applyBorder="1" applyAlignment="1">
      <alignment horizontal="left" vertical="top" wrapText="1"/>
    </xf>
    <xf numFmtId="166" fontId="2" fillId="15" borderId="26" xfId="0" applyNumberFormat="1" applyFont="1" applyFill="1" applyBorder="1" applyAlignment="1">
      <alignment horizontal="left" vertical="top" wrapText="1"/>
    </xf>
    <xf numFmtId="49" fontId="2" fillId="15" borderId="25" xfId="0" applyNumberFormat="1" applyFont="1" applyFill="1" applyBorder="1" applyAlignment="1">
      <alignment horizontal="left" vertical="top" wrapText="1"/>
    </xf>
    <xf numFmtId="0" fontId="2" fillId="7" borderId="15" xfId="0" applyFont="1" applyFill="1" applyBorder="1" applyAlignment="1">
      <alignment horizontal="right" vertical="center"/>
    </xf>
    <xf numFmtId="0" fontId="2" fillId="7" borderId="0" xfId="0" applyFont="1" applyFill="1" applyBorder="1" applyAlignment="1">
      <alignment horizontal="right" vertical="center"/>
    </xf>
    <xf numFmtId="166" fontId="2" fillId="7" borderId="42" xfId="0" applyNumberFormat="1" applyFont="1" applyFill="1" applyBorder="1" applyAlignment="1">
      <alignment vertical="top"/>
    </xf>
    <xf numFmtId="3" fontId="2" fillId="6" borderId="25" xfId="0" applyNumberFormat="1" applyFont="1" applyFill="1" applyBorder="1" applyAlignment="1">
      <alignment horizontal="center" vertical="center"/>
    </xf>
    <xf numFmtId="3" fontId="2" fillId="6" borderId="32" xfId="0" applyNumberFormat="1" applyFont="1" applyFill="1" applyBorder="1" applyAlignment="1">
      <alignment horizontal="center" vertical="center"/>
    </xf>
    <xf numFmtId="49" fontId="3" fillId="7" borderId="22" xfId="0" applyNumberFormat="1" applyFont="1" applyFill="1" applyBorder="1" applyAlignment="1">
      <alignment vertical="top"/>
    </xf>
    <xf numFmtId="0" fontId="2" fillId="15" borderId="86" xfId="0" applyFont="1" applyFill="1" applyBorder="1" applyAlignment="1">
      <alignment vertical="top" wrapText="1"/>
    </xf>
    <xf numFmtId="3" fontId="2" fillId="15" borderId="87" xfId="0" applyNumberFormat="1" applyFont="1" applyFill="1" applyBorder="1" applyAlignment="1">
      <alignment horizontal="center" vertical="top"/>
    </xf>
    <xf numFmtId="0" fontId="2" fillId="15" borderId="5" xfId="0" applyFont="1" applyFill="1" applyBorder="1" applyAlignment="1">
      <alignment vertical="top" wrapText="1"/>
    </xf>
    <xf numFmtId="3" fontId="2" fillId="15" borderId="9" xfId="0" applyNumberFormat="1" applyFont="1" applyFill="1" applyBorder="1" applyAlignment="1">
      <alignment horizontal="center" vertical="top" wrapText="1"/>
    </xf>
    <xf numFmtId="3" fontId="2" fillId="15" borderId="44" xfId="0" applyNumberFormat="1" applyFont="1" applyFill="1" applyBorder="1" applyAlignment="1">
      <alignment horizontal="center" vertical="top" wrapText="1"/>
    </xf>
    <xf numFmtId="0" fontId="2" fillId="15" borderId="26" xfId="0" applyFont="1" applyFill="1" applyBorder="1" applyAlignment="1">
      <alignment vertical="top" wrapText="1"/>
    </xf>
    <xf numFmtId="3" fontId="2" fillId="15" borderId="15" xfId="0" applyNumberFormat="1" applyFont="1" applyFill="1" applyBorder="1" applyAlignment="1">
      <alignment horizontal="center" vertical="top" wrapText="1"/>
    </xf>
    <xf numFmtId="0" fontId="2" fillId="15" borderId="75" xfId="0" applyFont="1" applyFill="1" applyBorder="1" applyAlignment="1">
      <alignment horizontal="left" vertical="top" wrapText="1"/>
    </xf>
    <xf numFmtId="3" fontId="2" fillId="7" borderId="89" xfId="0" applyNumberFormat="1" applyFont="1" applyFill="1" applyBorder="1" applyAlignment="1">
      <alignment horizontal="left" vertical="top" wrapText="1"/>
    </xf>
    <xf numFmtId="0" fontId="2" fillId="9" borderId="17" xfId="0" applyFont="1" applyFill="1" applyBorder="1" applyAlignment="1">
      <alignment horizontal="left" wrapText="1"/>
    </xf>
    <xf numFmtId="0" fontId="2" fillId="9" borderId="1"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1" xfId="0" applyFont="1" applyFill="1" applyBorder="1" applyAlignment="1">
      <alignment horizontal="center" vertical="top"/>
    </xf>
    <xf numFmtId="0" fontId="2" fillId="9" borderId="25" xfId="0" applyFont="1" applyFill="1" applyBorder="1" applyAlignment="1">
      <alignment horizontal="left" vertical="top" wrapText="1"/>
    </xf>
    <xf numFmtId="49" fontId="2" fillId="15" borderId="0" xfId="0" applyNumberFormat="1" applyFont="1" applyFill="1" applyBorder="1" applyAlignment="1">
      <alignment horizontal="center" vertical="top"/>
    </xf>
    <xf numFmtId="49" fontId="2" fillId="15" borderId="9" xfId="0" applyNumberFormat="1" applyFont="1" applyFill="1" applyBorder="1" applyAlignment="1">
      <alignment horizontal="center" vertical="top"/>
    </xf>
    <xf numFmtId="3" fontId="2" fillId="15" borderId="9" xfId="0" applyNumberFormat="1" applyFont="1" applyFill="1" applyBorder="1" applyAlignment="1">
      <alignment horizontal="center" vertical="top"/>
    </xf>
    <xf numFmtId="49" fontId="2" fillId="6" borderId="24" xfId="0" applyNumberFormat="1" applyFont="1" applyFill="1" applyBorder="1" applyAlignment="1">
      <alignment horizontal="left" vertical="top" wrapText="1"/>
    </xf>
    <xf numFmtId="49" fontId="2" fillId="7" borderId="80" xfId="0" applyNumberFormat="1" applyFont="1" applyFill="1" applyBorder="1" applyAlignment="1">
      <alignment horizontal="left" vertical="top" wrapText="1"/>
    </xf>
    <xf numFmtId="3" fontId="2" fillId="0" borderId="15" xfId="0" applyNumberFormat="1" applyFont="1" applyFill="1" applyBorder="1" applyAlignment="1">
      <alignment horizontal="center" vertical="top" wrapText="1"/>
    </xf>
    <xf numFmtId="3" fontId="2" fillId="6" borderId="54" xfId="0" applyNumberFormat="1" applyFont="1" applyFill="1" applyBorder="1" applyAlignment="1">
      <alignment horizontal="left" vertical="top"/>
    </xf>
    <xf numFmtId="49" fontId="2" fillId="7" borderId="23" xfId="0" applyNumberFormat="1" applyFont="1" applyFill="1" applyBorder="1" applyAlignment="1">
      <alignment horizontal="center" vertical="top"/>
    </xf>
    <xf numFmtId="49" fontId="2" fillId="15" borderId="24" xfId="0" applyNumberFormat="1" applyFont="1" applyFill="1" applyBorder="1" applyAlignment="1">
      <alignment horizontal="left" vertical="top" wrapText="1"/>
    </xf>
    <xf numFmtId="3" fontId="2" fillId="15" borderId="87" xfId="0" applyNumberFormat="1" applyFont="1" applyFill="1" applyBorder="1" applyAlignment="1">
      <alignment horizontal="left" vertical="top"/>
    </xf>
    <xf numFmtId="49" fontId="2" fillId="6" borderId="83" xfId="0" applyNumberFormat="1" applyFont="1" applyFill="1" applyBorder="1" applyAlignment="1">
      <alignment horizontal="left" vertical="top" wrapText="1"/>
    </xf>
    <xf numFmtId="3" fontId="2" fillId="7" borderId="92" xfId="0" applyNumberFormat="1" applyFont="1" applyFill="1" applyBorder="1" applyAlignment="1">
      <alignment horizontal="center" vertical="top" wrapText="1"/>
    </xf>
    <xf numFmtId="3" fontId="2" fillId="7" borderId="87" xfId="0" applyNumberFormat="1" applyFont="1" applyFill="1" applyBorder="1" applyAlignment="1">
      <alignment horizontal="center" vertical="top" wrapText="1"/>
    </xf>
    <xf numFmtId="3" fontId="2" fillId="15" borderId="1" xfId="0" applyNumberFormat="1" applyFont="1" applyFill="1" applyBorder="1" applyAlignment="1">
      <alignment horizontal="center" vertical="top" wrapText="1"/>
    </xf>
    <xf numFmtId="3" fontId="2" fillId="15" borderId="1" xfId="0" applyNumberFormat="1" applyFont="1" applyFill="1" applyBorder="1" applyAlignment="1">
      <alignment horizontal="left" vertical="top" wrapText="1"/>
    </xf>
    <xf numFmtId="0" fontId="33" fillId="0" borderId="0" xfId="0" applyFont="1" applyBorder="1" applyAlignment="1">
      <alignment vertical="top"/>
    </xf>
    <xf numFmtId="3" fontId="2" fillId="15" borderId="42" xfId="0" applyNumberFormat="1" applyFont="1" applyFill="1" applyBorder="1" applyAlignment="1">
      <alignment horizontal="center" vertical="top"/>
    </xf>
    <xf numFmtId="49" fontId="2" fillId="15" borderId="17" xfId="0" applyNumberFormat="1" applyFont="1" applyFill="1" applyBorder="1" applyAlignment="1">
      <alignment horizontal="center" vertical="top"/>
    </xf>
    <xf numFmtId="3" fontId="2" fillId="15" borderId="18" xfId="0" applyNumberFormat="1" applyFont="1" applyFill="1" applyBorder="1" applyAlignment="1">
      <alignment horizontal="center" vertical="top"/>
    </xf>
    <xf numFmtId="3" fontId="2" fillId="15" borderId="44" xfId="0" applyNumberFormat="1" applyFont="1" applyFill="1" applyBorder="1" applyAlignment="1">
      <alignment horizontal="center" vertical="top"/>
    </xf>
    <xf numFmtId="3" fontId="2" fillId="15" borderId="15" xfId="0" applyNumberFormat="1" applyFont="1" applyFill="1" applyBorder="1" applyAlignment="1">
      <alignment horizontal="center" vertical="top"/>
    </xf>
    <xf numFmtId="0" fontId="7" fillId="15" borderId="26" xfId="0" applyFont="1" applyFill="1" applyBorder="1" applyAlignment="1">
      <alignment vertical="top" wrapText="1"/>
    </xf>
    <xf numFmtId="3" fontId="2" fillId="15" borderId="32" xfId="0" applyNumberFormat="1" applyFont="1" applyFill="1" applyBorder="1" applyAlignment="1">
      <alignment horizontal="center" vertical="top"/>
    </xf>
    <xf numFmtId="3" fontId="2" fillId="15" borderId="25" xfId="0" applyNumberFormat="1" applyFont="1" applyFill="1" applyBorder="1" applyAlignment="1">
      <alignment horizontal="center" vertical="top"/>
    </xf>
    <xf numFmtId="166" fontId="2" fillId="15" borderId="9" xfId="0" applyNumberFormat="1" applyFont="1" applyFill="1" applyBorder="1" applyAlignment="1">
      <alignment horizontal="center" vertical="top"/>
    </xf>
    <xf numFmtId="166" fontId="2" fillId="15" borderId="0" xfId="0" applyNumberFormat="1" applyFont="1" applyFill="1" applyBorder="1" applyAlignment="1">
      <alignment horizontal="center" vertical="top"/>
    </xf>
    <xf numFmtId="166" fontId="2" fillId="15" borderId="15" xfId="0" applyNumberFormat="1" applyFont="1" applyFill="1" applyBorder="1" applyAlignment="1">
      <alignment horizontal="center" vertical="top"/>
    </xf>
    <xf numFmtId="0" fontId="2" fillId="15" borderId="92" xfId="0" applyNumberFormat="1" applyFont="1" applyFill="1" applyBorder="1" applyAlignment="1">
      <alignment horizontal="center" vertical="top"/>
    </xf>
    <xf numFmtId="166" fontId="2" fillId="15" borderId="17" xfId="0" applyNumberFormat="1" applyFont="1" applyFill="1" applyBorder="1" applyAlignment="1">
      <alignment vertical="top" wrapText="1"/>
    </xf>
    <xf numFmtId="166" fontId="2" fillId="15" borderId="75" xfId="0" applyNumberFormat="1" applyFont="1" applyFill="1" applyBorder="1" applyAlignment="1">
      <alignment vertical="top" wrapText="1"/>
    </xf>
    <xf numFmtId="166" fontId="2" fillId="15" borderId="72" xfId="0" applyNumberFormat="1" applyFont="1" applyFill="1" applyBorder="1" applyAlignment="1">
      <alignment vertical="top" wrapText="1"/>
    </xf>
    <xf numFmtId="166" fontId="2" fillId="15" borderId="83" xfId="0" applyNumberFormat="1" applyFont="1" applyFill="1" applyBorder="1" applyAlignment="1">
      <alignment vertical="top" wrapText="1"/>
    </xf>
    <xf numFmtId="0" fontId="2" fillId="15" borderId="75" xfId="0" applyFont="1" applyFill="1" applyBorder="1" applyAlignment="1">
      <alignment vertical="top" wrapText="1"/>
    </xf>
    <xf numFmtId="0" fontId="2" fillId="0" borderId="9" xfId="0" applyFont="1" applyBorder="1" applyAlignment="1">
      <alignment horizontal="left" vertical="top" wrapText="1"/>
    </xf>
    <xf numFmtId="166" fontId="2" fillId="15" borderId="25" xfId="0" applyNumberFormat="1" applyFont="1" applyFill="1" applyBorder="1" applyAlignment="1">
      <alignment horizontal="center" vertical="top"/>
    </xf>
    <xf numFmtId="166" fontId="2" fillId="15" borderId="24" xfId="0" applyNumberFormat="1" applyFont="1" applyFill="1" applyBorder="1" applyAlignment="1">
      <alignment horizontal="center" vertical="top"/>
    </xf>
    <xf numFmtId="166" fontId="2" fillId="15" borderId="17" xfId="0" applyNumberFormat="1" applyFont="1" applyFill="1" applyBorder="1" applyAlignment="1">
      <alignment horizontal="center" vertical="top"/>
    </xf>
    <xf numFmtId="166" fontId="2" fillId="15" borderId="54" xfId="0" applyNumberFormat="1" applyFont="1" applyFill="1" applyBorder="1" applyAlignment="1">
      <alignment horizontal="center" vertical="top"/>
    </xf>
    <xf numFmtId="166" fontId="2" fillId="15" borderId="18" xfId="0" applyNumberFormat="1" applyFont="1" applyFill="1" applyBorder="1" applyAlignment="1">
      <alignment horizontal="center" vertical="top"/>
    </xf>
    <xf numFmtId="0" fontId="2" fillId="15" borderId="13" xfId="0" applyFont="1" applyFill="1" applyBorder="1" applyAlignment="1">
      <alignment horizontal="left" vertical="top" wrapText="1"/>
    </xf>
    <xf numFmtId="166" fontId="2" fillId="15" borderId="5" xfId="0" applyNumberFormat="1" applyFont="1" applyFill="1" applyBorder="1" applyAlignment="1">
      <alignment vertical="top" wrapText="1"/>
    </xf>
    <xf numFmtId="166" fontId="2" fillId="15" borderId="26" xfId="0" applyNumberFormat="1" applyFont="1" applyFill="1" applyBorder="1" applyAlignment="1">
      <alignment vertical="top" wrapText="1"/>
    </xf>
    <xf numFmtId="3" fontId="2" fillId="15" borderId="68" xfId="0" applyNumberFormat="1" applyFont="1" applyFill="1" applyBorder="1" applyAlignment="1">
      <alignment horizontal="center" vertical="top"/>
    </xf>
    <xf numFmtId="166" fontId="2" fillId="15" borderId="71" xfId="0" applyNumberFormat="1" applyFont="1" applyFill="1" applyBorder="1" applyAlignment="1">
      <alignment horizontal="left" vertical="top" wrapText="1"/>
    </xf>
    <xf numFmtId="3" fontId="2" fillId="15" borderId="83" xfId="0" applyNumberFormat="1" applyFont="1" applyFill="1" applyBorder="1" applyAlignment="1">
      <alignment horizontal="center" vertical="top"/>
    </xf>
    <xf numFmtId="3" fontId="2" fillId="15" borderId="17" xfId="0" applyNumberFormat="1" applyFont="1" applyFill="1" applyBorder="1" applyAlignment="1">
      <alignment horizontal="center" vertical="top"/>
    </xf>
    <xf numFmtId="166" fontId="2" fillId="15" borderId="32" xfId="0" applyNumberFormat="1" applyFont="1" applyFill="1" applyBorder="1" applyAlignment="1">
      <alignment horizontal="left" vertical="top" wrapText="1"/>
    </xf>
    <xf numFmtId="0" fontId="2" fillId="15" borderId="26" xfId="0" applyFont="1" applyFill="1" applyBorder="1" applyAlignment="1">
      <alignment horizontal="left" vertical="top" wrapText="1"/>
    </xf>
    <xf numFmtId="3" fontId="2" fillId="15" borderId="78" xfId="0" applyNumberFormat="1" applyFont="1" applyFill="1" applyBorder="1" applyAlignment="1">
      <alignment horizontal="center" vertical="top"/>
    </xf>
    <xf numFmtId="3" fontId="2" fillId="15" borderId="24" xfId="0" applyNumberFormat="1" applyFont="1" applyFill="1" applyBorder="1" applyAlignment="1">
      <alignment horizontal="center" vertical="top"/>
    </xf>
    <xf numFmtId="0" fontId="17" fillId="0" borderId="0" xfId="0" applyFont="1" applyAlignment="1">
      <alignment horizontal="left" vertical="top" wrapText="1"/>
    </xf>
    <xf numFmtId="3" fontId="2" fillId="7" borderId="9" xfId="0" applyNumberFormat="1" applyFont="1" applyFill="1" applyBorder="1" applyAlignment="1">
      <alignment horizontal="left" vertical="top" wrapText="1"/>
    </xf>
    <xf numFmtId="166" fontId="2" fillId="7" borderId="9" xfId="0" applyNumberFormat="1" applyFont="1" applyFill="1" applyBorder="1" applyAlignment="1">
      <alignment horizontal="left" vertical="top" wrapText="1"/>
    </xf>
    <xf numFmtId="166" fontId="2" fillId="7" borderId="17" xfId="0" applyNumberFormat="1" applyFont="1" applyFill="1" applyBorder="1" applyAlignment="1">
      <alignment horizontal="left" vertical="top" wrapText="1"/>
    </xf>
    <xf numFmtId="49" fontId="3" fillId="7" borderId="44" xfId="0" applyNumberFormat="1" applyFont="1" applyFill="1" applyBorder="1" applyAlignment="1">
      <alignment horizontal="center" vertical="top"/>
    </xf>
    <xf numFmtId="49" fontId="3" fillId="7" borderId="32" xfId="0" applyNumberFormat="1" applyFont="1" applyFill="1" applyBorder="1" applyAlignment="1">
      <alignment horizontal="center" vertical="top"/>
    </xf>
    <xf numFmtId="166" fontId="2" fillId="7" borderId="5" xfId="0" applyNumberFormat="1" applyFont="1" applyFill="1" applyBorder="1" applyAlignment="1">
      <alignment horizontal="left" vertical="top" wrapText="1"/>
    </xf>
    <xf numFmtId="49" fontId="3" fillId="7" borderId="42" xfId="0" applyNumberFormat="1" applyFont="1" applyFill="1" applyBorder="1" applyAlignment="1">
      <alignment horizontal="center" vertical="top"/>
    </xf>
    <xf numFmtId="166" fontId="2" fillId="7" borderId="33" xfId="0" applyNumberFormat="1" applyFont="1" applyFill="1" applyBorder="1" applyAlignment="1">
      <alignment horizontal="left" vertical="top" wrapText="1"/>
    </xf>
    <xf numFmtId="166" fontId="2" fillId="2" borderId="63" xfId="0" applyNumberFormat="1" applyFont="1" applyFill="1" applyBorder="1" applyAlignment="1">
      <alignment horizontal="center" vertical="top" wrapText="1"/>
    </xf>
    <xf numFmtId="166" fontId="2" fillId="2" borderId="64" xfId="0" applyNumberFormat="1" applyFont="1" applyFill="1" applyBorder="1" applyAlignment="1">
      <alignment horizontal="center" vertical="top" wrapText="1"/>
    </xf>
    <xf numFmtId="166" fontId="2" fillId="7" borderId="57" xfId="0" applyNumberFormat="1" applyFont="1" applyFill="1" applyBorder="1" applyAlignment="1">
      <alignment horizontal="left" vertical="top" wrapText="1"/>
    </xf>
    <xf numFmtId="166" fontId="2" fillId="2" borderId="29" xfId="0" applyNumberFormat="1" applyFont="1" applyFill="1" applyBorder="1" applyAlignment="1">
      <alignment horizontal="center" vertical="top" wrapText="1"/>
    </xf>
    <xf numFmtId="166" fontId="3" fillId="9" borderId="5" xfId="0" applyNumberFormat="1" applyFont="1" applyFill="1" applyBorder="1" applyAlignment="1">
      <alignment horizontal="center" vertical="top"/>
    </xf>
    <xf numFmtId="166" fontId="3" fillId="2" borderId="9" xfId="0" applyNumberFormat="1" applyFont="1" applyFill="1" applyBorder="1" applyAlignment="1">
      <alignment horizontal="center" vertical="top"/>
    </xf>
    <xf numFmtId="49" fontId="2" fillId="7" borderId="17" xfId="0" applyNumberFormat="1" applyFont="1" applyFill="1" applyBorder="1" applyAlignment="1">
      <alignment horizontal="center" vertical="top"/>
    </xf>
    <xf numFmtId="49" fontId="2" fillId="7" borderId="25" xfId="0" applyNumberFormat="1" applyFont="1" applyFill="1" applyBorder="1" applyAlignment="1">
      <alignment horizontal="center" vertical="top"/>
    </xf>
    <xf numFmtId="166" fontId="2" fillId="7" borderId="26" xfId="0" applyNumberFormat="1" applyFont="1" applyFill="1" applyBorder="1" applyAlignment="1">
      <alignment horizontal="left" vertical="top" wrapText="1"/>
    </xf>
    <xf numFmtId="49" fontId="2" fillId="7" borderId="9" xfId="0" applyNumberFormat="1" applyFont="1" applyFill="1" applyBorder="1" applyAlignment="1">
      <alignment horizontal="center" vertical="top"/>
    </xf>
    <xf numFmtId="166" fontId="2" fillId="7" borderId="17" xfId="0" applyNumberFormat="1" applyFont="1" applyFill="1" applyBorder="1" applyAlignment="1">
      <alignment horizontal="center" vertical="center" textRotation="90" wrapText="1"/>
    </xf>
    <xf numFmtId="166" fontId="2" fillId="7" borderId="9" xfId="0" applyNumberFormat="1" applyFont="1" applyFill="1" applyBorder="1" applyAlignment="1">
      <alignment horizontal="center" vertical="center" textRotation="90" wrapText="1"/>
    </xf>
    <xf numFmtId="166" fontId="2" fillId="7" borderId="25" xfId="0" applyNumberFormat="1" applyFont="1" applyFill="1" applyBorder="1" applyAlignment="1">
      <alignment horizontal="center" vertical="center" textRotation="90" wrapText="1"/>
    </xf>
    <xf numFmtId="49" fontId="3" fillId="7" borderId="9" xfId="0" applyNumberFormat="1" applyFont="1" applyFill="1" applyBorder="1" applyAlignment="1">
      <alignment horizontal="center" vertical="top"/>
    </xf>
    <xf numFmtId="166" fontId="2" fillId="15" borderId="5" xfId="0" applyNumberFormat="1" applyFont="1" applyFill="1" applyBorder="1" applyAlignment="1">
      <alignment horizontal="left" vertical="top" wrapText="1"/>
    </xf>
    <xf numFmtId="0" fontId="7" fillId="7" borderId="25" xfId="0" applyFont="1" applyFill="1" applyBorder="1" applyAlignment="1">
      <alignment vertical="top" wrapText="1"/>
    </xf>
    <xf numFmtId="166" fontId="6" fillId="7" borderId="17" xfId="0" applyNumberFormat="1" applyFont="1" applyFill="1" applyBorder="1" applyAlignment="1">
      <alignment horizontal="center" vertical="center" textRotation="90" wrapText="1"/>
    </xf>
    <xf numFmtId="49" fontId="3" fillId="9" borderId="5" xfId="0" applyNumberFormat="1" applyFont="1" applyFill="1" applyBorder="1" applyAlignment="1">
      <alignment horizontal="center" vertical="top"/>
    </xf>
    <xf numFmtId="49" fontId="3" fillId="2" borderId="9" xfId="0" applyNumberFormat="1" applyFont="1" applyFill="1" applyBorder="1" applyAlignment="1">
      <alignment horizontal="center" vertical="top"/>
    </xf>
    <xf numFmtId="166" fontId="2" fillId="15" borderId="9" xfId="0" applyNumberFormat="1" applyFont="1" applyFill="1" applyBorder="1" applyAlignment="1">
      <alignment vertical="top" wrapText="1"/>
    </xf>
    <xf numFmtId="166" fontId="2" fillId="7" borderId="44" xfId="0" applyNumberFormat="1" applyFont="1" applyFill="1" applyBorder="1" applyAlignment="1">
      <alignment vertical="top" wrapText="1"/>
    </xf>
    <xf numFmtId="166" fontId="2" fillId="7" borderId="32" xfId="0" applyNumberFormat="1" applyFont="1" applyFill="1" applyBorder="1" applyAlignment="1">
      <alignment vertical="top" wrapText="1"/>
    </xf>
    <xf numFmtId="166" fontId="2" fillId="7" borderId="5" xfId="0" applyNumberFormat="1" applyFont="1" applyFill="1" applyBorder="1" applyAlignment="1">
      <alignment vertical="top" wrapText="1"/>
    </xf>
    <xf numFmtId="166" fontId="7" fillId="7" borderId="26" xfId="0" applyNumberFormat="1" applyFont="1" applyFill="1" applyBorder="1" applyAlignment="1">
      <alignment vertical="top" wrapText="1"/>
    </xf>
    <xf numFmtId="166" fontId="3" fillId="9" borderId="3" xfId="0" applyNumberFormat="1" applyFont="1" applyFill="1" applyBorder="1" applyAlignment="1">
      <alignment horizontal="center" vertical="top"/>
    </xf>
    <xf numFmtId="166" fontId="3" fillId="2" borderId="22" xfId="0" applyNumberFormat="1" applyFont="1" applyFill="1" applyBorder="1" applyAlignment="1">
      <alignment horizontal="center" vertical="top"/>
    </xf>
    <xf numFmtId="166" fontId="3" fillId="2" borderId="27" xfId="0" applyNumberFormat="1" applyFont="1" applyFill="1" applyBorder="1" applyAlignment="1">
      <alignment horizontal="center" vertical="top"/>
    </xf>
    <xf numFmtId="49" fontId="3" fillId="7" borderId="22" xfId="0" applyNumberFormat="1" applyFont="1" applyFill="1" applyBorder="1" applyAlignment="1">
      <alignment horizontal="center" vertical="top"/>
    </xf>
    <xf numFmtId="49" fontId="3" fillId="7" borderId="37" xfId="0" applyNumberFormat="1" applyFont="1" applyFill="1" applyBorder="1" applyAlignment="1">
      <alignment horizontal="center" vertical="top"/>
    </xf>
    <xf numFmtId="166" fontId="7" fillId="7" borderId="9" xfId="0" applyNumberFormat="1" applyFont="1" applyFill="1" applyBorder="1" applyAlignment="1">
      <alignment horizontal="center" vertical="center" textRotation="90" wrapText="1"/>
    </xf>
    <xf numFmtId="49" fontId="3" fillId="9" borderId="3" xfId="0" applyNumberFormat="1" applyFont="1" applyFill="1" applyBorder="1" applyAlignment="1">
      <alignment horizontal="center" vertical="top"/>
    </xf>
    <xf numFmtId="49" fontId="3" fillId="2" borderId="37"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6" fontId="3" fillId="7" borderId="9" xfId="0" applyNumberFormat="1" applyFont="1" applyFill="1" applyBorder="1" applyAlignment="1">
      <alignment horizontal="center" vertical="top" wrapText="1"/>
    </xf>
    <xf numFmtId="166" fontId="3" fillId="2" borderId="44" xfId="0" applyNumberFormat="1" applyFont="1" applyFill="1" applyBorder="1" applyAlignment="1">
      <alignment horizontal="center" vertical="top"/>
    </xf>
    <xf numFmtId="166" fontId="3" fillId="7" borderId="25" xfId="0" applyNumberFormat="1" applyFont="1" applyFill="1" applyBorder="1" applyAlignment="1">
      <alignment horizontal="center" vertical="top" wrapText="1"/>
    </xf>
    <xf numFmtId="3" fontId="2" fillId="7" borderId="0" xfId="0" applyNumberFormat="1" applyFont="1" applyFill="1" applyBorder="1" applyAlignment="1">
      <alignment horizontal="center" vertical="top"/>
    </xf>
    <xf numFmtId="3" fontId="2" fillId="7" borderId="15" xfId="0" applyNumberFormat="1" applyFont="1" applyFill="1" applyBorder="1" applyAlignment="1">
      <alignment horizontal="center" vertical="top"/>
    </xf>
    <xf numFmtId="166" fontId="2" fillId="7" borderId="42" xfId="0" applyNumberFormat="1" applyFont="1" applyFill="1" applyBorder="1" applyAlignment="1">
      <alignment vertical="top" wrapText="1"/>
    </xf>
    <xf numFmtId="166" fontId="3" fillId="7" borderId="44" xfId="0" applyNumberFormat="1" applyFont="1" applyFill="1" applyBorder="1" applyAlignment="1">
      <alignment horizontal="center" vertical="top" wrapText="1"/>
    </xf>
    <xf numFmtId="166" fontId="2" fillId="7" borderId="80" xfId="0" applyNumberFormat="1" applyFont="1" applyFill="1" applyBorder="1" applyAlignment="1">
      <alignment horizontal="left" vertical="top" wrapText="1"/>
    </xf>
    <xf numFmtId="49" fontId="2" fillId="7" borderId="17" xfId="0" applyNumberFormat="1" applyFont="1" applyFill="1" applyBorder="1" applyAlignment="1">
      <alignment horizontal="left" vertical="top" wrapText="1"/>
    </xf>
    <xf numFmtId="166" fontId="2" fillId="15" borderId="17" xfId="0" applyNumberFormat="1" applyFont="1" applyFill="1" applyBorder="1" applyAlignment="1">
      <alignment horizontal="left" vertical="top" wrapText="1"/>
    </xf>
    <xf numFmtId="166" fontId="2" fillId="15" borderId="33" xfId="0" applyNumberFormat="1" applyFont="1" applyFill="1" applyBorder="1" applyAlignment="1">
      <alignment horizontal="left" vertical="top" wrapText="1"/>
    </xf>
    <xf numFmtId="0" fontId="7" fillId="15" borderId="5" xfId="0" applyFont="1" applyFill="1" applyBorder="1" applyAlignment="1">
      <alignment horizontal="left" vertical="top" wrapText="1"/>
    </xf>
    <xf numFmtId="49" fontId="3" fillId="7" borderId="44" xfId="0" applyNumberFormat="1" applyFont="1" applyFill="1" applyBorder="1" applyAlignment="1">
      <alignment horizontal="center" vertical="top" wrapText="1"/>
    </xf>
    <xf numFmtId="0" fontId="2" fillId="7" borderId="33" xfId="0" applyFont="1" applyFill="1" applyBorder="1" applyAlignment="1">
      <alignment vertical="top" wrapText="1"/>
    </xf>
    <xf numFmtId="0" fontId="2" fillId="7" borderId="26" xfId="0" applyFont="1" applyFill="1" applyBorder="1" applyAlignment="1">
      <alignment vertical="top" wrapText="1"/>
    </xf>
    <xf numFmtId="0" fontId="7" fillId="15" borderId="9" xfId="0" applyFont="1" applyFill="1" applyBorder="1" applyAlignment="1">
      <alignment horizontal="left" vertical="top" wrapText="1"/>
    </xf>
    <xf numFmtId="166" fontId="3" fillId="9" borderId="31" xfId="0" applyNumberFormat="1" applyFont="1" applyFill="1" applyBorder="1" applyAlignment="1">
      <alignment horizontal="center" vertical="top"/>
    </xf>
    <xf numFmtId="166" fontId="2" fillId="7" borderId="41" xfId="0" applyNumberFormat="1" applyFont="1" applyFill="1" applyBorder="1" applyAlignment="1">
      <alignment vertical="top" wrapText="1"/>
    </xf>
    <xf numFmtId="0" fontId="2" fillId="15" borderId="25" xfId="0" applyFont="1" applyFill="1" applyBorder="1" applyAlignment="1">
      <alignment horizontal="left" vertical="top" wrapText="1"/>
    </xf>
    <xf numFmtId="49" fontId="3" fillId="7" borderId="15" xfId="0" applyNumberFormat="1" applyFont="1" applyFill="1" applyBorder="1" applyAlignment="1">
      <alignment horizontal="center" vertical="top"/>
    </xf>
    <xf numFmtId="49" fontId="3" fillId="7" borderId="24" xfId="0" applyNumberFormat="1" applyFont="1" applyFill="1" applyBorder="1" applyAlignment="1">
      <alignment horizontal="center" vertical="top"/>
    </xf>
    <xf numFmtId="166" fontId="3" fillId="7" borderId="9" xfId="0" applyNumberFormat="1" applyFont="1" applyFill="1" applyBorder="1" applyAlignment="1">
      <alignment horizontal="center" vertical="top"/>
    </xf>
    <xf numFmtId="166" fontId="3" fillId="3" borderId="9" xfId="0" applyNumberFormat="1" applyFont="1" applyFill="1" applyBorder="1" applyAlignment="1">
      <alignment horizontal="center" vertical="top" wrapText="1"/>
    </xf>
    <xf numFmtId="0" fontId="2" fillId="7" borderId="5" xfId="0" applyFont="1" applyFill="1" applyBorder="1" applyAlignment="1">
      <alignment vertical="top" wrapText="1"/>
    </xf>
    <xf numFmtId="166" fontId="11" fillId="7" borderId="9" xfId="0" applyNumberFormat="1" applyFont="1" applyFill="1" applyBorder="1" applyAlignment="1">
      <alignment horizontal="center" vertical="center" textRotation="90" wrapText="1"/>
    </xf>
    <xf numFmtId="166" fontId="3" fillId="3" borderId="25" xfId="0" applyNumberFormat="1" applyFont="1" applyFill="1" applyBorder="1" applyAlignment="1">
      <alignment horizontal="center" vertical="top" wrapText="1"/>
    </xf>
    <xf numFmtId="166" fontId="2" fillId="0" borderId="5" xfId="0" applyNumberFormat="1" applyFont="1" applyFill="1" applyBorder="1" applyAlignment="1">
      <alignment horizontal="left" vertical="top" wrapText="1"/>
    </xf>
    <xf numFmtId="3" fontId="2" fillId="0" borderId="15" xfId="0" applyNumberFormat="1" applyFont="1" applyFill="1" applyBorder="1" applyAlignment="1">
      <alignment horizontal="center" vertical="top"/>
    </xf>
    <xf numFmtId="166" fontId="2" fillId="7" borderId="98" xfId="0" applyNumberFormat="1" applyFont="1" applyFill="1" applyBorder="1" applyAlignment="1">
      <alignment vertical="top" wrapText="1"/>
    </xf>
    <xf numFmtId="166" fontId="2" fillId="7" borderId="31" xfId="0" applyNumberFormat="1" applyFont="1" applyFill="1" applyBorder="1" applyAlignment="1">
      <alignment vertical="top" wrapText="1"/>
    </xf>
    <xf numFmtId="0" fontId="7" fillId="7" borderId="44" xfId="0" applyFont="1" applyFill="1" applyBorder="1" applyAlignment="1">
      <alignment vertical="top" wrapText="1"/>
    </xf>
    <xf numFmtId="166" fontId="2" fillId="7" borderId="16" xfId="0" applyNumberFormat="1" applyFont="1" applyFill="1" applyBorder="1" applyAlignment="1">
      <alignment horizontal="left" vertical="top" wrapText="1"/>
    </xf>
    <xf numFmtId="0" fontId="17" fillId="0" borderId="0" xfId="0" applyFont="1" applyAlignment="1">
      <alignment vertical="top" wrapText="1"/>
    </xf>
    <xf numFmtId="3" fontId="2" fillId="15" borderId="14" xfId="0" applyNumberFormat="1" applyFont="1" applyFill="1" applyBorder="1" applyAlignment="1">
      <alignment horizontal="left" vertical="top" wrapText="1"/>
    </xf>
    <xf numFmtId="0" fontId="7" fillId="0" borderId="29" xfId="0" applyFont="1" applyBorder="1" applyAlignment="1">
      <alignment vertical="top"/>
    </xf>
    <xf numFmtId="0" fontId="17" fillId="0" borderId="0" xfId="0" applyFont="1" applyAlignment="1">
      <alignment horizontal="left" vertical="top" wrapText="1"/>
    </xf>
    <xf numFmtId="0" fontId="17" fillId="0" borderId="0" xfId="2" applyFont="1" applyFill="1" applyAlignment="1">
      <alignment horizontal="center" vertical="top" wrapText="1"/>
    </xf>
    <xf numFmtId="0" fontId="0" fillId="0" borderId="0" xfId="0" applyFill="1" applyAlignment="1">
      <alignment horizontal="center" vertical="top" wrapText="1"/>
    </xf>
    <xf numFmtId="0" fontId="16" fillId="0" borderId="0" xfId="2" applyFont="1" applyAlignment="1">
      <alignment horizontal="center"/>
    </xf>
    <xf numFmtId="0" fontId="0" fillId="0" borderId="0" xfId="0" applyAlignment="1"/>
    <xf numFmtId="0" fontId="17" fillId="0" borderId="0" xfId="0" applyFont="1" applyAlignment="1">
      <alignment horizontal="left" vertical="center" wrapText="1"/>
    </xf>
    <xf numFmtId="0" fontId="0" fillId="0" borderId="0" xfId="0" applyAlignment="1">
      <alignment horizontal="left" wrapText="1"/>
    </xf>
    <xf numFmtId="0" fontId="17" fillId="0" borderId="0" xfId="2" applyFont="1" applyFill="1" applyAlignment="1">
      <alignment horizontal="right"/>
    </xf>
    <xf numFmtId="0" fontId="17" fillId="0" borderId="0" xfId="0" applyFont="1" applyAlignment="1">
      <alignment horizontal="right" vertical="top"/>
    </xf>
    <xf numFmtId="0" fontId="17" fillId="0" borderId="0" xfId="0" applyFont="1" applyBorder="1" applyAlignment="1">
      <alignment horizontal="left" vertical="top" wrapText="1"/>
    </xf>
    <xf numFmtId="0" fontId="0" fillId="0" borderId="0" xfId="0" applyAlignment="1">
      <alignment horizontal="left" vertical="top" wrapText="1"/>
    </xf>
    <xf numFmtId="49" fontId="16" fillId="0" borderId="0" xfId="2" applyNumberFormat="1" applyFont="1" applyAlignment="1">
      <alignment horizontal="left" vertical="top" wrapText="1"/>
    </xf>
    <xf numFmtId="0" fontId="17" fillId="0" borderId="0" xfId="2" applyFont="1" applyAlignment="1">
      <alignment horizontal="left" vertical="top" wrapText="1"/>
    </xf>
    <xf numFmtId="0" fontId="2" fillId="0" borderId="0" xfId="0" applyFont="1" applyAlignment="1">
      <alignment horizontal="center" vertical="top"/>
    </xf>
    <xf numFmtId="166" fontId="2" fillId="7" borderId="33" xfId="0" applyNumberFormat="1" applyFont="1" applyFill="1" applyBorder="1" applyAlignment="1">
      <alignment horizontal="left" vertical="top" wrapText="1"/>
    </xf>
    <xf numFmtId="166" fontId="2" fillId="7" borderId="26" xfId="0" applyNumberFormat="1" applyFont="1" applyFill="1" applyBorder="1" applyAlignment="1">
      <alignment horizontal="left" vertical="top" wrapText="1"/>
    </xf>
    <xf numFmtId="3" fontId="2" fillId="0" borderId="17" xfId="0" applyNumberFormat="1" applyFont="1" applyFill="1" applyBorder="1" applyAlignment="1">
      <alignment horizontal="left" vertical="top" wrapText="1"/>
    </xf>
    <xf numFmtId="3" fontId="2" fillId="0" borderId="25" xfId="0" applyNumberFormat="1" applyFont="1" applyFill="1" applyBorder="1" applyAlignment="1">
      <alignment horizontal="left" vertical="top" wrapText="1"/>
    </xf>
    <xf numFmtId="3" fontId="2" fillId="7" borderId="17" xfId="0" applyNumberFormat="1" applyFont="1" applyFill="1" applyBorder="1" applyAlignment="1">
      <alignment horizontal="left" vertical="top" wrapText="1"/>
    </xf>
    <xf numFmtId="3" fontId="2" fillId="7" borderId="9" xfId="0" applyNumberFormat="1" applyFont="1" applyFill="1" applyBorder="1" applyAlignment="1">
      <alignment horizontal="left" vertical="top" wrapText="1"/>
    </xf>
    <xf numFmtId="3" fontId="2" fillId="7" borderId="25" xfId="0" applyNumberFormat="1" applyFont="1" applyFill="1" applyBorder="1" applyAlignment="1">
      <alignment horizontal="left" vertical="top" wrapText="1"/>
    </xf>
    <xf numFmtId="3" fontId="2" fillId="6" borderId="17" xfId="0" applyNumberFormat="1" applyFont="1" applyFill="1" applyBorder="1" applyAlignment="1">
      <alignment horizontal="left" vertical="top" wrapText="1"/>
    </xf>
    <xf numFmtId="3" fontId="2" fillId="6" borderId="25" xfId="0" applyNumberFormat="1" applyFont="1" applyFill="1" applyBorder="1" applyAlignment="1">
      <alignment horizontal="left" vertical="top" wrapText="1"/>
    </xf>
    <xf numFmtId="3" fontId="2" fillId="6" borderId="18" xfId="0" applyNumberFormat="1" applyFont="1" applyFill="1" applyBorder="1" applyAlignment="1">
      <alignment horizontal="left" vertical="top" wrapText="1"/>
    </xf>
    <xf numFmtId="3" fontId="2" fillId="6" borderId="24" xfId="0" applyNumberFormat="1" applyFont="1" applyFill="1" applyBorder="1" applyAlignment="1">
      <alignment horizontal="left" vertical="top" wrapText="1"/>
    </xf>
    <xf numFmtId="3" fontId="2" fillId="15" borderId="18" xfId="0" applyNumberFormat="1" applyFont="1" applyFill="1" applyBorder="1" applyAlignment="1">
      <alignment horizontal="left" vertical="top" wrapText="1"/>
    </xf>
    <xf numFmtId="3" fontId="2" fillId="15" borderId="15" xfId="0" applyNumberFormat="1" applyFont="1" applyFill="1" applyBorder="1" applyAlignment="1">
      <alignment horizontal="left" vertical="top" wrapText="1"/>
    </xf>
    <xf numFmtId="3" fontId="2" fillId="7" borderId="17" xfId="0" applyNumberFormat="1" applyFont="1" applyFill="1" applyBorder="1" applyAlignment="1">
      <alignment horizontal="left" vertical="center" wrapText="1"/>
    </xf>
    <xf numFmtId="3" fontId="2" fillId="7" borderId="25" xfId="0" applyNumberFormat="1" applyFont="1" applyFill="1" applyBorder="1" applyAlignment="1">
      <alignment horizontal="left" vertical="center" wrapText="1"/>
    </xf>
    <xf numFmtId="3" fontId="2" fillId="6" borderId="15" xfId="0" applyNumberFormat="1" applyFont="1" applyFill="1" applyBorder="1" applyAlignment="1">
      <alignment horizontal="left" vertical="top" wrapText="1"/>
    </xf>
    <xf numFmtId="49" fontId="2" fillId="7" borderId="17" xfId="0" applyNumberFormat="1" applyFont="1" applyFill="1" applyBorder="1" applyAlignment="1">
      <alignment horizontal="left" vertical="top" wrapText="1"/>
    </xf>
    <xf numFmtId="49" fontId="2" fillId="7" borderId="25" xfId="0" applyNumberFormat="1" applyFont="1" applyFill="1" applyBorder="1" applyAlignment="1">
      <alignment horizontal="left" vertical="top" wrapText="1"/>
    </xf>
    <xf numFmtId="3" fontId="2" fillId="7" borderId="22" xfId="0" applyNumberFormat="1" applyFont="1" applyFill="1" applyBorder="1" applyAlignment="1">
      <alignment horizontal="left" vertical="top" wrapText="1"/>
    </xf>
    <xf numFmtId="0" fontId="2" fillId="7" borderId="36" xfId="0" applyFont="1" applyFill="1" applyBorder="1" applyAlignment="1">
      <alignment vertical="top" wrapText="1"/>
    </xf>
    <xf numFmtId="0" fontId="2" fillId="7" borderId="43" xfId="0" applyFont="1" applyFill="1" applyBorder="1" applyAlignment="1">
      <alignment vertical="top" wrapText="1"/>
    </xf>
    <xf numFmtId="0" fontId="7" fillId="7" borderId="43" xfId="0" applyFont="1" applyFill="1" applyBorder="1" applyAlignment="1">
      <alignment vertical="top" wrapText="1"/>
    </xf>
    <xf numFmtId="166" fontId="3" fillId="5" borderId="61" xfId="0" applyNumberFormat="1" applyFont="1" applyFill="1" applyBorder="1" applyAlignment="1">
      <alignment horizontal="right" vertical="top" wrapText="1"/>
    </xf>
    <xf numFmtId="166" fontId="3" fillId="5" borderId="66" xfId="0" applyNumberFormat="1" applyFont="1" applyFill="1" applyBorder="1" applyAlignment="1">
      <alignment horizontal="right" vertical="top" wrapText="1"/>
    </xf>
    <xf numFmtId="166" fontId="3" fillId="5" borderId="62" xfId="0" applyNumberFormat="1" applyFont="1" applyFill="1" applyBorder="1" applyAlignment="1">
      <alignment horizontal="right" vertical="top" wrapText="1"/>
    </xf>
    <xf numFmtId="166" fontId="3" fillId="8" borderId="60" xfId="0" applyNumberFormat="1" applyFont="1" applyFill="1" applyBorder="1" applyAlignment="1">
      <alignment horizontal="right" vertical="top" wrapText="1"/>
    </xf>
    <xf numFmtId="166" fontId="7" fillId="8" borderId="55" xfId="0" applyNumberFormat="1" applyFont="1" applyFill="1" applyBorder="1" applyAlignment="1">
      <alignment horizontal="right" vertical="top" wrapText="1"/>
    </xf>
    <xf numFmtId="166" fontId="7" fillId="8" borderId="38" xfId="0" applyNumberFormat="1" applyFont="1" applyFill="1" applyBorder="1" applyAlignment="1">
      <alignment horizontal="right" vertical="top" wrapText="1"/>
    </xf>
    <xf numFmtId="166" fontId="2" fillId="7" borderId="57" xfId="0" applyNumberFormat="1" applyFont="1" applyFill="1" applyBorder="1" applyAlignment="1">
      <alignment horizontal="left" vertical="top" wrapText="1"/>
    </xf>
    <xf numFmtId="166" fontId="2" fillId="7" borderId="68" xfId="0" applyNumberFormat="1" applyFont="1" applyFill="1" applyBorder="1" applyAlignment="1">
      <alignment horizontal="left" vertical="top" wrapText="1"/>
    </xf>
    <xf numFmtId="166" fontId="2" fillId="7" borderId="49" xfId="0" applyNumberFormat="1" applyFont="1" applyFill="1" applyBorder="1" applyAlignment="1">
      <alignment horizontal="left" vertical="top" wrapText="1"/>
    </xf>
    <xf numFmtId="166" fontId="2" fillId="0" borderId="60" xfId="0" applyNumberFormat="1" applyFont="1" applyBorder="1" applyAlignment="1">
      <alignment horizontal="left" vertical="top" wrapText="1"/>
    </xf>
    <xf numFmtId="166" fontId="2" fillId="0" borderId="55" xfId="0" applyNumberFormat="1" applyFont="1" applyBorder="1" applyAlignment="1">
      <alignment horizontal="left" vertical="top" wrapText="1"/>
    </xf>
    <xf numFmtId="166" fontId="2" fillId="0" borderId="38" xfId="0" applyNumberFormat="1" applyFont="1" applyBorder="1" applyAlignment="1">
      <alignment horizontal="left" vertical="top" wrapText="1"/>
    </xf>
    <xf numFmtId="166" fontId="2" fillId="2" borderId="29" xfId="0" applyNumberFormat="1" applyFont="1" applyFill="1" applyBorder="1" applyAlignment="1">
      <alignment horizontal="center" vertical="top" wrapText="1"/>
    </xf>
    <xf numFmtId="166" fontId="2" fillId="2" borderId="30" xfId="0" applyNumberFormat="1" applyFont="1" applyFill="1" applyBorder="1" applyAlignment="1">
      <alignment horizontal="center" vertical="top" wrapText="1"/>
    </xf>
    <xf numFmtId="166" fontId="3" fillId="9" borderId="67" xfId="0" applyNumberFormat="1" applyFont="1" applyFill="1" applyBorder="1" applyAlignment="1">
      <alignment horizontal="right" vertical="top"/>
    </xf>
    <xf numFmtId="166" fontId="3" fillId="9" borderId="63" xfId="0" applyNumberFormat="1" applyFont="1" applyFill="1" applyBorder="1" applyAlignment="1">
      <alignment horizontal="right" vertical="top"/>
    </xf>
    <xf numFmtId="166" fontId="3" fillId="9" borderId="64" xfId="0" applyNumberFormat="1" applyFont="1" applyFill="1" applyBorder="1" applyAlignment="1">
      <alignment horizontal="right" vertical="top"/>
    </xf>
    <xf numFmtId="166" fontId="2" fillId="9" borderId="63" xfId="0" applyNumberFormat="1" applyFont="1" applyFill="1" applyBorder="1" applyAlignment="1">
      <alignment horizontal="center" vertical="top"/>
    </xf>
    <xf numFmtId="166" fontId="2" fillId="9" borderId="64" xfId="0" applyNumberFormat="1" applyFont="1" applyFill="1" applyBorder="1" applyAlignment="1">
      <alignment horizontal="center" vertical="top"/>
    </xf>
    <xf numFmtId="166" fontId="3" fillId="5" borderId="67" xfId="0" applyNumberFormat="1" applyFont="1" applyFill="1" applyBorder="1" applyAlignment="1">
      <alignment horizontal="right" vertical="top"/>
    </xf>
    <xf numFmtId="166" fontId="3" fillId="5" borderId="63" xfId="0" applyNumberFormat="1" applyFont="1" applyFill="1" applyBorder="1" applyAlignment="1">
      <alignment horizontal="right" vertical="top"/>
    </xf>
    <xf numFmtId="166" fontId="3" fillId="5" borderId="64" xfId="0" applyNumberFormat="1" applyFont="1" applyFill="1" applyBorder="1" applyAlignment="1">
      <alignment horizontal="right" vertical="top"/>
    </xf>
    <xf numFmtId="166" fontId="2" fillId="5" borderId="63" xfId="0" applyNumberFormat="1" applyFont="1" applyFill="1" applyBorder="1" applyAlignment="1">
      <alignment horizontal="center" vertical="top"/>
    </xf>
    <xf numFmtId="166" fontId="2" fillId="5" borderId="64" xfId="0" applyNumberFormat="1" applyFont="1" applyFill="1" applyBorder="1" applyAlignment="1">
      <alignment horizontal="center" vertical="top"/>
    </xf>
    <xf numFmtId="166" fontId="3" fillId="0" borderId="29" xfId="0" applyNumberFormat="1" applyFont="1" applyFill="1" applyBorder="1" applyAlignment="1">
      <alignment horizontal="center" vertical="top" wrapText="1"/>
    </xf>
    <xf numFmtId="166" fontId="3" fillId="2" borderId="29" xfId="0" applyNumberFormat="1" applyFont="1" applyFill="1" applyBorder="1" applyAlignment="1">
      <alignment horizontal="right" vertical="top"/>
    </xf>
    <xf numFmtId="166" fontId="3" fillId="2" borderId="30" xfId="0" applyNumberFormat="1" applyFont="1" applyFill="1" applyBorder="1" applyAlignment="1">
      <alignment horizontal="right" vertical="top"/>
    </xf>
    <xf numFmtId="3" fontId="2" fillId="15" borderId="17" xfId="0" applyNumberFormat="1" applyFont="1" applyFill="1" applyBorder="1" applyAlignment="1">
      <alignment horizontal="left" vertical="top" wrapText="1"/>
    </xf>
    <xf numFmtId="3" fontId="2" fillId="15" borderId="9" xfId="0" applyNumberFormat="1" applyFont="1" applyFill="1" applyBorder="1" applyAlignment="1">
      <alignment horizontal="left" vertical="top" wrapText="1"/>
    </xf>
    <xf numFmtId="3" fontId="2" fillId="15" borderId="25" xfId="0" applyNumberFormat="1" applyFont="1" applyFill="1" applyBorder="1" applyAlignment="1">
      <alignment horizontal="left" vertical="top" wrapText="1"/>
    </xf>
    <xf numFmtId="3" fontId="2" fillId="0" borderId="9" xfId="0" applyNumberFormat="1" applyFont="1" applyFill="1" applyBorder="1" applyAlignment="1">
      <alignment horizontal="left" vertical="top" wrapText="1"/>
    </xf>
    <xf numFmtId="0" fontId="2" fillId="7" borderId="33"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15" borderId="33" xfId="0" applyFont="1" applyFill="1" applyBorder="1" applyAlignment="1">
      <alignment horizontal="left" vertical="top" wrapText="1"/>
    </xf>
    <xf numFmtId="0" fontId="2" fillId="15" borderId="5" xfId="0" applyFont="1" applyFill="1" applyBorder="1" applyAlignment="1">
      <alignment horizontal="left" vertical="top" wrapText="1"/>
    </xf>
    <xf numFmtId="0" fontId="19" fillId="6" borderId="33" xfId="0" applyFont="1" applyFill="1" applyBorder="1" applyAlignment="1">
      <alignment horizontal="left" vertical="top" wrapText="1"/>
    </xf>
    <xf numFmtId="0" fontId="19" fillId="6" borderId="26" xfId="0" applyFont="1" applyFill="1" applyBorder="1" applyAlignment="1">
      <alignment horizontal="left" vertical="top" wrapText="1"/>
    </xf>
    <xf numFmtId="0" fontId="19" fillId="7" borderId="33" xfId="0" applyFont="1" applyFill="1" applyBorder="1" applyAlignment="1">
      <alignment horizontal="left" vertical="top" wrapText="1"/>
    </xf>
    <xf numFmtId="0" fontId="19" fillId="7" borderId="26" xfId="0" applyFont="1" applyFill="1" applyBorder="1" applyAlignment="1">
      <alignment horizontal="left" vertical="top" wrapText="1"/>
    </xf>
    <xf numFmtId="166" fontId="2" fillId="15" borderId="15" xfId="0" applyNumberFormat="1" applyFont="1" applyFill="1" applyBorder="1" applyAlignment="1">
      <alignment horizontal="left" vertical="top" wrapText="1"/>
    </xf>
    <xf numFmtId="3" fontId="2" fillId="15" borderId="24" xfId="0" applyNumberFormat="1"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38" xfId="0" applyFont="1" applyFill="1" applyBorder="1" applyAlignment="1">
      <alignment horizontal="left" vertical="top" wrapText="1"/>
    </xf>
    <xf numFmtId="0" fontId="7" fillId="7" borderId="5" xfId="0" applyFont="1" applyFill="1" applyBorder="1" applyAlignment="1">
      <alignment horizontal="left" vertical="top" wrapText="1"/>
    </xf>
    <xf numFmtId="166" fontId="2" fillId="15" borderId="42" xfId="0" applyNumberFormat="1" applyFont="1" applyFill="1" applyBorder="1" applyAlignment="1">
      <alignment horizontal="left" vertical="top" wrapText="1"/>
    </xf>
    <xf numFmtId="166" fontId="2" fillId="15" borderId="44" xfId="0" applyNumberFormat="1" applyFont="1" applyFill="1" applyBorder="1" applyAlignment="1">
      <alignment horizontal="left" vertical="top" wrapText="1"/>
    </xf>
    <xf numFmtId="166" fontId="3" fillId="7" borderId="17" xfId="0" applyNumberFormat="1" applyFont="1" applyFill="1" applyBorder="1" applyAlignment="1">
      <alignment horizontal="center" vertical="top" wrapText="1"/>
    </xf>
    <xf numFmtId="0" fontId="7" fillId="7" borderId="9" xfId="0" applyFont="1" applyFill="1" applyBorder="1" applyAlignment="1">
      <alignment horizontal="center" vertical="top" wrapText="1"/>
    </xf>
    <xf numFmtId="49" fontId="2" fillId="7" borderId="17" xfId="0" applyNumberFormat="1" applyFont="1" applyFill="1" applyBorder="1" applyAlignment="1">
      <alignment horizontal="center" vertical="top" wrapText="1"/>
    </xf>
    <xf numFmtId="49" fontId="2" fillId="7" borderId="9" xfId="0" applyNumberFormat="1" applyFont="1" applyFill="1" applyBorder="1" applyAlignment="1">
      <alignment horizontal="center" vertical="top" wrapText="1"/>
    </xf>
    <xf numFmtId="166" fontId="2" fillId="7" borderId="17" xfId="0" applyNumberFormat="1" applyFont="1" applyFill="1" applyBorder="1" applyAlignment="1">
      <alignment vertical="top" wrapText="1"/>
    </xf>
    <xf numFmtId="166" fontId="2" fillId="7" borderId="9" xfId="0" applyNumberFormat="1" applyFont="1" applyFill="1" applyBorder="1" applyAlignment="1">
      <alignment vertical="top" wrapText="1"/>
    </xf>
    <xf numFmtId="166" fontId="2" fillId="7" borderId="41" xfId="0" applyNumberFormat="1" applyFont="1" applyFill="1" applyBorder="1" applyAlignment="1">
      <alignment vertical="top" wrapText="1"/>
    </xf>
    <xf numFmtId="166" fontId="2" fillId="7" borderId="5" xfId="0" applyNumberFormat="1" applyFont="1" applyFill="1" applyBorder="1" applyAlignment="1">
      <alignment horizontal="left" vertical="top" wrapText="1"/>
    </xf>
    <xf numFmtId="0" fontId="7" fillId="7" borderId="26" xfId="0" applyFont="1" applyFill="1" applyBorder="1" applyAlignment="1">
      <alignment horizontal="left" vertical="top" wrapText="1"/>
    </xf>
    <xf numFmtId="3" fontId="33" fillId="7" borderId="17" xfId="0" applyNumberFormat="1" applyFont="1" applyFill="1" applyBorder="1" applyAlignment="1">
      <alignment horizontal="left" vertical="top" wrapText="1"/>
    </xf>
    <xf numFmtId="0" fontId="2" fillId="15" borderId="9" xfId="0" applyFont="1" applyFill="1" applyBorder="1" applyAlignment="1">
      <alignment horizontal="left" vertical="top" wrapText="1"/>
    </xf>
    <xf numFmtId="0" fontId="2" fillId="15" borderId="25" xfId="0" applyFont="1" applyFill="1" applyBorder="1" applyAlignment="1">
      <alignment horizontal="left" vertical="top" wrapText="1"/>
    </xf>
    <xf numFmtId="3" fontId="2" fillId="7" borderId="18" xfId="0" applyNumberFormat="1" applyFont="1" applyFill="1" applyBorder="1" applyAlignment="1">
      <alignment horizontal="left" vertical="top" wrapText="1"/>
    </xf>
    <xf numFmtId="3" fontId="2" fillId="7" borderId="15" xfId="0" applyNumberFormat="1" applyFont="1" applyFill="1" applyBorder="1" applyAlignment="1">
      <alignment horizontal="left" vertical="top" wrapText="1"/>
    </xf>
    <xf numFmtId="49" fontId="2" fillId="7" borderId="9" xfId="0" applyNumberFormat="1" applyFont="1" applyFill="1" applyBorder="1" applyAlignment="1">
      <alignment horizontal="left" vertical="top" wrapText="1"/>
    </xf>
    <xf numFmtId="3" fontId="2" fillId="3" borderId="17" xfId="0" applyNumberFormat="1" applyFont="1" applyFill="1" applyBorder="1" applyAlignment="1">
      <alignment horizontal="left" vertical="top" wrapText="1"/>
    </xf>
    <xf numFmtId="3" fontId="2" fillId="3" borderId="25" xfId="0" applyNumberFormat="1" applyFont="1" applyFill="1" applyBorder="1" applyAlignment="1">
      <alignment horizontal="left" vertical="top" wrapText="1"/>
    </xf>
    <xf numFmtId="0" fontId="2" fillId="15" borderId="15" xfId="0" applyFont="1" applyFill="1" applyBorder="1" applyAlignment="1">
      <alignment horizontal="left" vertical="top" wrapText="1"/>
    </xf>
    <xf numFmtId="0" fontId="2" fillId="15" borderId="24" xfId="0" applyFont="1" applyFill="1" applyBorder="1" applyAlignment="1">
      <alignment horizontal="left" vertical="top" wrapText="1"/>
    </xf>
    <xf numFmtId="0" fontId="2" fillId="15" borderId="17" xfId="0" applyFont="1" applyFill="1" applyBorder="1" applyAlignment="1">
      <alignment horizontal="left" vertical="top" wrapText="1"/>
    </xf>
    <xf numFmtId="166" fontId="3" fillId="7" borderId="17" xfId="0" applyNumberFormat="1" applyFont="1" applyFill="1" applyBorder="1" applyAlignment="1">
      <alignment horizontal="center" vertical="center" textRotation="90" wrapText="1"/>
    </xf>
    <xf numFmtId="166" fontId="3" fillId="7" borderId="9" xfId="0" applyNumberFormat="1" applyFont="1" applyFill="1" applyBorder="1" applyAlignment="1">
      <alignment horizontal="center" vertical="center" textRotation="90" wrapText="1"/>
    </xf>
    <xf numFmtId="166" fontId="2" fillId="15" borderId="33" xfId="0" applyNumberFormat="1" applyFont="1" applyFill="1" applyBorder="1" applyAlignment="1">
      <alignment horizontal="left" vertical="top" wrapText="1"/>
    </xf>
    <xf numFmtId="0" fontId="0" fillId="0" borderId="5" xfId="0" applyBorder="1" applyAlignment="1">
      <alignment horizontal="left" vertical="top" wrapText="1"/>
    </xf>
    <xf numFmtId="166" fontId="2" fillId="7" borderId="41" xfId="0" applyNumberFormat="1" applyFont="1" applyFill="1" applyBorder="1" applyAlignment="1">
      <alignment horizontal="left" vertical="top" wrapText="1"/>
    </xf>
    <xf numFmtId="166" fontId="2" fillId="7" borderId="42" xfId="0" applyNumberFormat="1" applyFont="1" applyFill="1" applyBorder="1" applyAlignment="1">
      <alignment horizontal="left" vertical="top" wrapText="1"/>
    </xf>
    <xf numFmtId="166" fontId="2" fillId="7" borderId="44" xfId="0" applyNumberFormat="1" applyFont="1" applyFill="1" applyBorder="1" applyAlignment="1">
      <alignment horizontal="left" vertical="top" wrapText="1"/>
    </xf>
    <xf numFmtId="166" fontId="3" fillId="7" borderId="25" xfId="0" applyNumberFormat="1" applyFont="1" applyFill="1" applyBorder="1" applyAlignment="1">
      <alignment horizontal="center" vertical="top" wrapText="1"/>
    </xf>
    <xf numFmtId="49" fontId="3" fillId="7" borderId="44" xfId="0" applyNumberFormat="1" applyFont="1" applyFill="1" applyBorder="1" applyAlignment="1">
      <alignment horizontal="center" vertical="top"/>
    </xf>
    <xf numFmtId="166" fontId="2" fillId="7" borderId="17" xfId="0" applyNumberFormat="1" applyFont="1" applyFill="1" applyBorder="1" applyAlignment="1">
      <alignment horizontal="left" vertical="top" wrapText="1"/>
    </xf>
    <xf numFmtId="0" fontId="7" fillId="7" borderId="9" xfId="0" applyFont="1" applyFill="1" applyBorder="1" applyAlignment="1">
      <alignment horizontal="left" vertical="top" wrapText="1"/>
    </xf>
    <xf numFmtId="49" fontId="5" fillId="6" borderId="61" xfId="0" applyNumberFormat="1" applyFont="1" applyFill="1" applyBorder="1" applyAlignment="1">
      <alignment horizontal="left" vertical="top" wrapText="1"/>
    </xf>
    <xf numFmtId="49" fontId="5" fillId="6" borderId="66" xfId="0" applyNumberFormat="1" applyFont="1" applyFill="1" applyBorder="1" applyAlignment="1">
      <alignment horizontal="left" vertical="top" wrapText="1"/>
    </xf>
    <xf numFmtId="49" fontId="5" fillId="6" borderId="62" xfId="0" applyNumberFormat="1" applyFont="1" applyFill="1" applyBorder="1" applyAlignment="1">
      <alignment horizontal="left" vertical="top" wrapText="1"/>
    </xf>
    <xf numFmtId="0" fontId="5" fillId="5" borderId="60" xfId="0" applyFont="1" applyFill="1" applyBorder="1" applyAlignment="1">
      <alignment horizontal="left" vertical="top" wrapText="1"/>
    </xf>
    <xf numFmtId="0" fontId="5" fillId="5" borderId="55" xfId="0" applyFont="1" applyFill="1" applyBorder="1" applyAlignment="1">
      <alignment horizontal="left" vertical="top" wrapText="1"/>
    </xf>
    <xf numFmtId="0" fontId="5" fillId="5" borderId="38" xfId="0" applyFont="1" applyFill="1" applyBorder="1" applyAlignment="1">
      <alignment horizontal="left" vertical="top" wrapText="1"/>
    </xf>
    <xf numFmtId="0" fontId="2" fillId="9" borderId="34" xfId="0" applyFont="1" applyFill="1" applyBorder="1" applyAlignment="1">
      <alignment vertical="center" wrapText="1"/>
    </xf>
    <xf numFmtId="0" fontId="7" fillId="0" borderId="55" xfId="0" applyFont="1" applyBorder="1" applyAlignment="1">
      <alignment vertical="center" wrapText="1"/>
    </xf>
    <xf numFmtId="0" fontId="7" fillId="0" borderId="97" xfId="0" applyFont="1" applyBorder="1" applyAlignment="1">
      <alignment vertical="center" wrapText="1"/>
    </xf>
    <xf numFmtId="0" fontId="2" fillId="9" borderId="44" xfId="0" applyFont="1" applyFill="1" applyBorder="1" applyAlignment="1">
      <alignment horizontal="left" vertical="top" wrapText="1"/>
    </xf>
    <xf numFmtId="0" fontId="2" fillId="9" borderId="0" xfId="0" applyFont="1" applyFill="1" applyBorder="1" applyAlignment="1">
      <alignment horizontal="left" vertical="top" wrapText="1"/>
    </xf>
    <xf numFmtId="0" fontId="7" fillId="9" borderId="0" xfId="0" applyFont="1" applyFill="1" applyBorder="1" applyAlignment="1">
      <alignment horizontal="left" vertical="top" wrapText="1"/>
    </xf>
    <xf numFmtId="166" fontId="3" fillId="9" borderId="31" xfId="0" applyNumberFormat="1" applyFont="1" applyFill="1" applyBorder="1" applyAlignment="1">
      <alignment horizontal="center" vertical="top"/>
    </xf>
    <xf numFmtId="166" fontId="3" fillId="2" borderId="9" xfId="0" applyNumberFormat="1" applyFont="1" applyFill="1" applyBorder="1" applyAlignment="1">
      <alignment horizontal="center" vertical="top"/>
    </xf>
    <xf numFmtId="166" fontId="2" fillId="7" borderId="32" xfId="0" applyNumberFormat="1" applyFont="1" applyFill="1" applyBorder="1" applyAlignment="1">
      <alignment horizontal="left" vertical="top" wrapText="1"/>
    </xf>
    <xf numFmtId="166" fontId="7" fillId="7" borderId="32" xfId="0" applyNumberFormat="1" applyFont="1" applyFill="1" applyBorder="1" applyAlignment="1">
      <alignment horizontal="left" vertical="top" wrapText="1"/>
    </xf>
    <xf numFmtId="49" fontId="3" fillId="7" borderId="9" xfId="0" applyNumberFormat="1" applyFont="1" applyFill="1" applyBorder="1" applyAlignment="1">
      <alignment horizontal="center" vertical="top"/>
    </xf>
    <xf numFmtId="0" fontId="7" fillId="7" borderId="9" xfId="0" applyFont="1" applyFill="1" applyBorder="1" applyAlignment="1">
      <alignment horizontal="center" vertical="center" textRotation="90" wrapText="1"/>
    </xf>
    <xf numFmtId="166" fontId="3" fillId="9" borderId="5"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6" fontId="2" fillId="15" borderId="17" xfId="0" applyNumberFormat="1" applyFont="1" applyFill="1" applyBorder="1" applyAlignment="1">
      <alignment horizontal="left" vertical="top" wrapText="1"/>
    </xf>
    <xf numFmtId="166" fontId="2" fillId="15" borderId="9" xfId="0" applyNumberFormat="1" applyFont="1" applyFill="1" applyBorder="1" applyAlignment="1">
      <alignment horizontal="left" vertical="top" wrapText="1"/>
    </xf>
    <xf numFmtId="166" fontId="2" fillId="15" borderId="25" xfId="0" applyNumberFormat="1" applyFont="1" applyFill="1" applyBorder="1" applyAlignment="1">
      <alignment horizontal="left" vertical="top" wrapText="1"/>
    </xf>
    <xf numFmtId="0" fontId="7" fillId="15" borderId="5" xfId="0" applyFont="1" applyFill="1" applyBorder="1" applyAlignment="1">
      <alignment horizontal="left" vertical="top" wrapText="1"/>
    </xf>
    <xf numFmtId="166" fontId="2" fillId="7" borderId="9" xfId="0" applyNumberFormat="1" applyFont="1" applyFill="1" applyBorder="1" applyAlignment="1">
      <alignment horizontal="left" vertical="top" wrapText="1"/>
    </xf>
    <xf numFmtId="166" fontId="3" fillId="7" borderId="9" xfId="0" applyNumberFormat="1" applyFont="1" applyFill="1" applyBorder="1" applyAlignment="1">
      <alignment horizontal="center" vertical="top" wrapText="1"/>
    </xf>
    <xf numFmtId="49" fontId="3" fillId="7" borderId="44" xfId="0" applyNumberFormat="1" applyFont="1" applyFill="1" applyBorder="1" applyAlignment="1">
      <alignment horizontal="center" vertical="top" wrapText="1"/>
    </xf>
    <xf numFmtId="0" fontId="2" fillId="7" borderId="33" xfId="0" applyFont="1" applyFill="1" applyBorder="1" applyAlignment="1">
      <alignment vertical="top" wrapText="1"/>
    </xf>
    <xf numFmtId="0" fontId="2" fillId="7" borderId="26" xfId="0" applyFont="1" applyFill="1" applyBorder="1" applyAlignment="1">
      <alignment vertical="top" wrapText="1"/>
    </xf>
    <xf numFmtId="166" fontId="3" fillId="2" borderId="44" xfId="0" applyNumberFormat="1" applyFont="1" applyFill="1" applyBorder="1" applyAlignment="1">
      <alignment horizontal="center" vertical="top"/>
    </xf>
    <xf numFmtId="0" fontId="7" fillId="15" borderId="9" xfId="0" applyFont="1" applyFill="1" applyBorder="1" applyAlignment="1">
      <alignment horizontal="left" vertical="top" wrapText="1"/>
    </xf>
    <xf numFmtId="0" fontId="7" fillId="7" borderId="25" xfId="0" applyFont="1" applyFill="1" applyBorder="1" applyAlignment="1">
      <alignment horizontal="center" vertical="top" wrapText="1"/>
    </xf>
    <xf numFmtId="166" fontId="2" fillId="7" borderId="25" xfId="0" applyNumberFormat="1" applyFont="1" applyFill="1" applyBorder="1" applyAlignment="1">
      <alignment vertical="top" wrapText="1"/>
    </xf>
    <xf numFmtId="49" fontId="2" fillId="7" borderId="17" xfId="0" applyNumberFormat="1" applyFont="1" applyFill="1" applyBorder="1" applyAlignment="1">
      <alignment horizontal="center" vertical="top"/>
    </xf>
    <xf numFmtId="166" fontId="2" fillId="6" borderId="42" xfId="0" applyNumberFormat="1" applyFont="1" applyFill="1" applyBorder="1" applyAlignment="1">
      <alignment horizontal="left" vertical="top" wrapText="1"/>
    </xf>
    <xf numFmtId="166" fontId="2" fillId="6" borderId="32" xfId="0" applyNumberFormat="1" applyFont="1" applyFill="1" applyBorder="1" applyAlignment="1">
      <alignment horizontal="left" vertical="top" wrapText="1"/>
    </xf>
    <xf numFmtId="166" fontId="3" fillId="2" borderId="2" xfId="0" applyNumberFormat="1" applyFont="1" applyFill="1" applyBorder="1" applyAlignment="1">
      <alignment horizontal="left" vertical="top"/>
    </xf>
    <xf numFmtId="166" fontId="3" fillId="2" borderId="22" xfId="0" applyNumberFormat="1" applyFont="1" applyFill="1" applyBorder="1" applyAlignment="1">
      <alignment horizontal="left" vertical="top"/>
    </xf>
    <xf numFmtId="166" fontId="3" fillId="2" borderId="67" xfId="0" applyNumberFormat="1" applyFont="1" applyFill="1" applyBorder="1" applyAlignment="1">
      <alignment horizontal="left" vertical="top"/>
    </xf>
    <xf numFmtId="166" fontId="3" fillId="2" borderId="69" xfId="0" applyNumberFormat="1" applyFont="1" applyFill="1" applyBorder="1" applyAlignment="1">
      <alignment horizontal="left" vertical="top"/>
    </xf>
    <xf numFmtId="166" fontId="2" fillId="7" borderId="80" xfId="0" applyNumberFormat="1" applyFont="1" applyFill="1" applyBorder="1" applyAlignment="1">
      <alignment horizontal="left" vertical="top" wrapText="1"/>
    </xf>
    <xf numFmtId="0" fontId="7" fillId="0" borderId="5" xfId="0" applyFont="1" applyBorder="1" applyAlignment="1">
      <alignment horizontal="left" vertical="top" wrapText="1"/>
    </xf>
    <xf numFmtId="49" fontId="2" fillId="7" borderId="87" xfId="0" applyNumberFormat="1" applyFont="1" applyFill="1" applyBorder="1" applyAlignment="1">
      <alignment vertical="top" wrapText="1"/>
    </xf>
    <xf numFmtId="0" fontId="7" fillId="7" borderId="25" xfId="0" applyFont="1" applyFill="1" applyBorder="1" applyAlignment="1">
      <alignment vertical="top" wrapText="1"/>
    </xf>
    <xf numFmtId="166" fontId="2" fillId="7" borderId="86" xfId="0" applyNumberFormat="1" applyFont="1" applyFill="1" applyBorder="1" applyAlignment="1">
      <alignment horizontal="left" vertical="top" wrapText="1"/>
    </xf>
    <xf numFmtId="0" fontId="7" fillId="0" borderId="26" xfId="0" applyFont="1" applyBorder="1" applyAlignment="1">
      <alignment horizontal="left" vertical="top" wrapText="1"/>
    </xf>
    <xf numFmtId="166" fontId="2" fillId="7" borderId="25" xfId="0" applyNumberFormat="1" applyFont="1" applyFill="1" applyBorder="1" applyAlignment="1">
      <alignment horizontal="left" vertical="top" wrapText="1"/>
    </xf>
    <xf numFmtId="166" fontId="7" fillId="7" borderId="26" xfId="0" applyNumberFormat="1" applyFont="1" applyFill="1" applyBorder="1" applyAlignment="1">
      <alignment horizontal="left" vertical="top" wrapText="1"/>
    </xf>
    <xf numFmtId="166" fontId="3" fillId="2" borderId="67" xfId="0" applyNumberFormat="1" applyFont="1" applyFill="1" applyBorder="1" applyAlignment="1">
      <alignment horizontal="right" vertical="top"/>
    </xf>
    <xf numFmtId="166" fontId="3" fillId="2" borderId="63" xfId="0" applyNumberFormat="1" applyFont="1" applyFill="1" applyBorder="1" applyAlignment="1">
      <alignment horizontal="right" vertical="top"/>
    </xf>
    <xf numFmtId="166" fontId="3" fillId="2" borderId="64" xfId="0" applyNumberFormat="1" applyFont="1" applyFill="1" applyBorder="1" applyAlignment="1">
      <alignment horizontal="right" vertical="top"/>
    </xf>
    <xf numFmtId="166" fontId="6" fillId="7" borderId="22" xfId="0" applyNumberFormat="1" applyFont="1" applyFill="1" applyBorder="1" applyAlignment="1">
      <alignment horizontal="center" vertical="center" textRotation="90" wrapText="1"/>
    </xf>
    <xf numFmtId="166" fontId="6" fillId="7" borderId="25" xfId="0" applyNumberFormat="1" applyFont="1" applyFill="1" applyBorder="1" applyAlignment="1">
      <alignment horizontal="center" vertical="center" textRotation="90" wrapText="1"/>
    </xf>
    <xf numFmtId="166" fontId="2" fillId="7" borderId="87" xfId="0" applyNumberFormat="1" applyFont="1" applyFill="1" applyBorder="1" applyAlignment="1">
      <alignment horizontal="left" vertical="top" wrapText="1"/>
    </xf>
    <xf numFmtId="166" fontId="2" fillId="7" borderId="72" xfId="0" applyNumberFormat="1" applyFont="1" applyFill="1" applyBorder="1" applyAlignment="1">
      <alignment horizontal="left" vertical="top"/>
    </xf>
    <xf numFmtId="0" fontId="2" fillId="7" borderId="9" xfId="0" applyNumberFormat="1" applyFont="1" applyFill="1" applyBorder="1" applyAlignment="1">
      <alignment horizontal="left" vertical="top" wrapText="1"/>
    </xf>
    <xf numFmtId="0" fontId="7" fillId="7" borderId="25" xfId="0" applyFont="1" applyFill="1" applyBorder="1" applyAlignment="1">
      <alignment horizontal="left" vertical="top" wrapText="1"/>
    </xf>
    <xf numFmtId="166" fontId="2" fillId="0" borderId="33" xfId="0" applyNumberFormat="1" applyFont="1" applyFill="1" applyBorder="1" applyAlignment="1">
      <alignment horizontal="left" vertical="top" wrapText="1"/>
    </xf>
    <xf numFmtId="166" fontId="2" fillId="0" borderId="26" xfId="0" applyNumberFormat="1" applyFont="1" applyFill="1" applyBorder="1" applyAlignment="1">
      <alignment horizontal="left" vertical="top" wrapText="1"/>
    </xf>
    <xf numFmtId="3" fontId="2" fillId="0" borderId="42" xfId="0" applyNumberFormat="1" applyFont="1" applyFill="1" applyBorder="1" applyAlignment="1">
      <alignment horizontal="center" vertical="top"/>
    </xf>
    <xf numFmtId="3" fontId="2" fillId="0" borderId="32" xfId="0" applyNumberFormat="1" applyFont="1" applyFill="1" applyBorder="1" applyAlignment="1">
      <alignment horizontal="center" vertical="top"/>
    </xf>
    <xf numFmtId="3" fontId="2" fillId="7" borderId="0" xfId="0" applyNumberFormat="1" applyFont="1" applyFill="1" applyBorder="1" applyAlignment="1">
      <alignment horizontal="center" vertical="top"/>
    </xf>
    <xf numFmtId="3" fontId="2" fillId="7" borderId="15" xfId="0" applyNumberFormat="1" applyFont="1" applyFill="1" applyBorder="1" applyAlignment="1">
      <alignment horizontal="center" vertical="top"/>
    </xf>
    <xf numFmtId="166" fontId="2" fillId="7" borderId="42" xfId="0" applyNumberFormat="1" applyFont="1" applyFill="1" applyBorder="1" applyAlignment="1">
      <alignment vertical="top" wrapText="1"/>
    </xf>
    <xf numFmtId="166" fontId="2" fillId="7" borderId="44" xfId="0" applyNumberFormat="1" applyFont="1" applyFill="1" applyBorder="1" applyAlignment="1">
      <alignment vertical="top" wrapText="1"/>
    </xf>
    <xf numFmtId="166" fontId="3" fillId="7" borderId="44" xfId="0" applyNumberFormat="1" applyFont="1" applyFill="1" applyBorder="1" applyAlignment="1">
      <alignment horizontal="center" vertical="top" wrapText="1"/>
    </xf>
    <xf numFmtId="166" fontId="2" fillId="7" borderId="32" xfId="0" applyNumberFormat="1" applyFont="1" applyFill="1" applyBorder="1" applyAlignment="1">
      <alignment vertical="top" wrapText="1"/>
    </xf>
    <xf numFmtId="49" fontId="3" fillId="9" borderId="3" xfId="0" applyNumberFormat="1" applyFont="1" applyFill="1" applyBorder="1" applyAlignment="1">
      <alignment horizontal="center" vertical="top"/>
    </xf>
    <xf numFmtId="49" fontId="3" fillId="9" borderId="5"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37"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2" borderId="52" xfId="0" applyNumberFormat="1" applyFont="1" applyFill="1" applyBorder="1" applyAlignment="1">
      <alignment horizontal="center" vertical="top"/>
    </xf>
    <xf numFmtId="49" fontId="3" fillId="7" borderId="22" xfId="0" applyNumberFormat="1" applyFont="1" applyFill="1" applyBorder="1" applyAlignment="1">
      <alignment horizontal="center" vertical="top"/>
    </xf>
    <xf numFmtId="49" fontId="3" fillId="7" borderId="27" xfId="0" applyNumberFormat="1" applyFont="1" applyFill="1" applyBorder="1" applyAlignment="1">
      <alignment horizontal="center" vertical="top"/>
    </xf>
    <xf numFmtId="3" fontId="2" fillId="7" borderId="36" xfId="0" applyNumberFormat="1" applyFont="1" applyFill="1" applyBorder="1" applyAlignment="1">
      <alignment horizontal="left" vertical="top" wrapText="1"/>
    </xf>
    <xf numFmtId="3" fontId="2" fillId="7" borderId="43" xfId="0" applyNumberFormat="1" applyFont="1" applyFill="1" applyBorder="1" applyAlignment="1">
      <alignment horizontal="left" vertical="top" wrapText="1"/>
    </xf>
    <xf numFmtId="166" fontId="2" fillId="7" borderId="22" xfId="0" applyNumberFormat="1" applyFont="1" applyFill="1" applyBorder="1" applyAlignment="1">
      <alignment vertical="top" wrapText="1"/>
    </xf>
    <xf numFmtId="166" fontId="2" fillId="7" borderId="22" xfId="0" applyNumberFormat="1" applyFont="1" applyFill="1" applyBorder="1" applyAlignment="1">
      <alignment horizontal="left" vertical="top" wrapText="1"/>
    </xf>
    <xf numFmtId="166" fontId="2" fillId="7" borderId="27" xfId="0" applyNumberFormat="1" applyFont="1" applyFill="1" applyBorder="1" applyAlignment="1">
      <alignment horizontal="left" vertical="top" wrapText="1"/>
    </xf>
    <xf numFmtId="0" fontId="2" fillId="7" borderId="17" xfId="0" applyFont="1" applyFill="1" applyBorder="1" applyAlignment="1">
      <alignment horizontal="left" vertical="top" wrapText="1"/>
    </xf>
    <xf numFmtId="0" fontId="2" fillId="7" borderId="25" xfId="0" applyFont="1" applyFill="1" applyBorder="1" applyAlignment="1">
      <alignment horizontal="left" vertical="top" wrapText="1"/>
    </xf>
    <xf numFmtId="166" fontId="2" fillId="2" borderId="63" xfId="0" applyNumberFormat="1" applyFont="1" applyFill="1" applyBorder="1" applyAlignment="1">
      <alignment horizontal="center" vertical="top" wrapText="1"/>
    </xf>
    <xf numFmtId="166" fontId="2" fillId="2" borderId="64" xfId="0" applyNumberFormat="1" applyFont="1" applyFill="1" applyBorder="1" applyAlignment="1">
      <alignment horizontal="center" vertical="top" wrapText="1"/>
    </xf>
    <xf numFmtId="166" fontId="3" fillId="2" borderId="63" xfId="0" applyNumberFormat="1" applyFont="1" applyFill="1" applyBorder="1" applyAlignment="1">
      <alignment horizontal="left" vertical="top"/>
    </xf>
    <xf numFmtId="166" fontId="3" fillId="2" borderId="64" xfId="0" applyNumberFormat="1" applyFont="1" applyFill="1" applyBorder="1" applyAlignment="1">
      <alignment horizontal="left" vertical="top"/>
    </xf>
    <xf numFmtId="166" fontId="2" fillId="7" borderId="17" xfId="0" applyNumberFormat="1" applyFont="1" applyFill="1" applyBorder="1" applyAlignment="1">
      <alignment horizontal="center" vertical="center" textRotation="90" wrapText="1"/>
    </xf>
    <xf numFmtId="166" fontId="2" fillId="7" borderId="9" xfId="0" applyNumberFormat="1" applyFont="1" applyFill="1" applyBorder="1" applyAlignment="1">
      <alignment horizontal="center" vertical="center" textRotation="90" wrapText="1"/>
    </xf>
    <xf numFmtId="166" fontId="7" fillId="7" borderId="9" xfId="0" applyNumberFormat="1" applyFont="1" applyFill="1" applyBorder="1" applyAlignment="1">
      <alignment horizontal="center" vertical="center" textRotation="90" wrapText="1"/>
    </xf>
    <xf numFmtId="0" fontId="7" fillId="0" borderId="9" xfId="0" applyFont="1" applyBorder="1" applyAlignment="1">
      <alignment horizontal="center" vertical="center" textRotation="90" wrapText="1"/>
    </xf>
    <xf numFmtId="166" fontId="2" fillId="7" borderId="86" xfId="0" applyNumberFormat="1" applyFont="1" applyFill="1" applyBorder="1" applyAlignment="1">
      <alignment vertical="top" wrapText="1"/>
    </xf>
    <xf numFmtId="0" fontId="7" fillId="7" borderId="5" xfId="0" applyFont="1" applyFill="1" applyBorder="1" applyAlignment="1">
      <alignment vertical="top" wrapText="1"/>
    </xf>
    <xf numFmtId="0" fontId="7" fillId="0" borderId="26" xfId="0" applyFont="1" applyBorder="1" applyAlignment="1">
      <alignment vertical="top" wrapText="1"/>
    </xf>
    <xf numFmtId="166" fontId="3" fillId="7" borderId="22" xfId="0" applyNumberFormat="1" applyFont="1" applyFill="1" applyBorder="1" applyAlignment="1">
      <alignment vertical="top" wrapText="1"/>
    </xf>
    <xf numFmtId="166" fontId="10" fillId="7" borderId="22" xfId="0" applyNumberFormat="1" applyFont="1" applyFill="1" applyBorder="1" applyAlignment="1">
      <alignment horizontal="center" vertical="top" wrapText="1"/>
    </xf>
    <xf numFmtId="0" fontId="7" fillId="0" borderId="25" xfId="0" applyFont="1" applyBorder="1" applyAlignment="1">
      <alignment wrapText="1"/>
    </xf>
    <xf numFmtId="166" fontId="3" fillId="7" borderId="22" xfId="0" applyNumberFormat="1" applyFont="1" applyFill="1" applyBorder="1" applyAlignment="1">
      <alignment horizontal="left" vertical="top" wrapText="1"/>
    </xf>
    <xf numFmtId="166" fontId="3" fillId="7" borderId="25" xfId="0" applyNumberFormat="1" applyFont="1" applyFill="1" applyBorder="1" applyAlignment="1">
      <alignment horizontal="left" vertical="top" wrapText="1"/>
    </xf>
    <xf numFmtId="3" fontId="2" fillId="7" borderId="87" xfId="0" applyNumberFormat="1" applyFont="1" applyFill="1" applyBorder="1" applyAlignment="1">
      <alignment horizontal="left" vertical="top" wrapText="1"/>
    </xf>
    <xf numFmtId="49" fontId="3" fillId="2" borderId="9" xfId="0" applyNumberFormat="1" applyFont="1" applyFill="1" applyBorder="1" applyAlignment="1">
      <alignment horizontal="center" vertical="top"/>
    </xf>
    <xf numFmtId="166" fontId="2" fillId="6" borderId="42" xfId="0" applyNumberFormat="1" applyFont="1" applyFill="1" applyBorder="1" applyAlignment="1">
      <alignment vertical="top" wrapText="1"/>
    </xf>
    <xf numFmtId="0" fontId="7" fillId="6" borderId="44" xfId="0" applyFont="1" applyFill="1" applyBorder="1" applyAlignment="1">
      <alignment vertical="top" wrapText="1"/>
    </xf>
    <xf numFmtId="0" fontId="7" fillId="6" borderId="32" xfId="0" applyFont="1" applyFill="1" applyBorder="1" applyAlignment="1">
      <alignment vertical="top" wrapText="1"/>
    </xf>
    <xf numFmtId="0" fontId="7" fillId="0" borderId="9" xfId="0" applyFont="1" applyBorder="1" applyAlignment="1">
      <alignment horizontal="center" vertical="center" wrapText="1"/>
    </xf>
    <xf numFmtId="0" fontId="7" fillId="0" borderId="25" xfId="0" applyFont="1" applyBorder="1" applyAlignment="1">
      <alignment horizontal="center" vertical="center" wrapText="1"/>
    </xf>
    <xf numFmtId="166" fontId="2" fillId="7" borderId="5" xfId="0" applyNumberFormat="1" applyFont="1" applyFill="1" applyBorder="1" applyAlignment="1">
      <alignment vertical="top" wrapText="1"/>
    </xf>
    <xf numFmtId="166" fontId="7" fillId="7" borderId="26" xfId="0" applyNumberFormat="1" applyFont="1" applyFill="1" applyBorder="1" applyAlignment="1">
      <alignment vertical="top" wrapText="1"/>
    </xf>
    <xf numFmtId="166" fontId="3" fillId="9" borderId="3" xfId="0" applyNumberFormat="1" applyFont="1" applyFill="1" applyBorder="1" applyAlignment="1">
      <alignment horizontal="center" vertical="top"/>
    </xf>
    <xf numFmtId="166" fontId="3" fillId="9" borderId="7" xfId="0" applyNumberFormat="1" applyFont="1" applyFill="1" applyBorder="1" applyAlignment="1">
      <alignment horizontal="center" vertical="top"/>
    </xf>
    <xf numFmtId="166" fontId="3" fillId="2" borderId="22" xfId="0" applyNumberFormat="1" applyFont="1" applyFill="1" applyBorder="1" applyAlignment="1">
      <alignment horizontal="center" vertical="top"/>
    </xf>
    <xf numFmtId="166" fontId="3" fillId="2" borderId="27" xfId="0" applyNumberFormat="1" applyFont="1" applyFill="1" applyBorder="1" applyAlignment="1">
      <alignment horizontal="center" vertical="top"/>
    </xf>
    <xf numFmtId="166" fontId="2" fillId="7" borderId="37" xfId="0" applyNumberFormat="1" applyFont="1" applyFill="1" applyBorder="1" applyAlignment="1">
      <alignment vertical="top" wrapText="1"/>
    </xf>
    <xf numFmtId="166" fontId="2" fillId="7" borderId="52" xfId="0" applyNumberFormat="1" applyFont="1" applyFill="1" applyBorder="1" applyAlignment="1">
      <alignment vertical="top" wrapText="1"/>
    </xf>
    <xf numFmtId="166" fontId="4" fillId="0" borderId="22" xfId="0" applyNumberFormat="1" applyFont="1" applyFill="1" applyBorder="1" applyAlignment="1">
      <alignment horizontal="center" vertical="top" wrapText="1"/>
    </xf>
    <xf numFmtId="166" fontId="4" fillId="0" borderId="9" xfId="0" applyNumberFormat="1" applyFont="1" applyFill="1" applyBorder="1" applyAlignment="1">
      <alignment horizontal="center" vertical="top" wrapText="1"/>
    </xf>
    <xf numFmtId="166" fontId="4" fillId="0" borderId="27" xfId="0" applyNumberFormat="1" applyFont="1" applyFill="1" applyBorder="1" applyAlignment="1">
      <alignment horizontal="center" vertical="top" wrapText="1"/>
    </xf>
    <xf numFmtId="49" fontId="3" fillId="7" borderId="37" xfId="0" applyNumberFormat="1" applyFont="1" applyFill="1" applyBorder="1" applyAlignment="1">
      <alignment horizontal="center" vertical="top"/>
    </xf>
    <xf numFmtId="49" fontId="3" fillId="7" borderId="52" xfId="0" applyNumberFormat="1" applyFont="1" applyFill="1" applyBorder="1" applyAlignment="1">
      <alignment horizontal="center" vertical="top"/>
    </xf>
    <xf numFmtId="0" fontId="2" fillId="6" borderId="33" xfId="0" applyFont="1" applyFill="1" applyBorder="1" applyAlignment="1">
      <alignment horizontal="left" vertical="top" wrapText="1"/>
    </xf>
    <xf numFmtId="0" fontId="2" fillId="6" borderId="5" xfId="0" applyFont="1" applyFill="1" applyBorder="1" applyAlignment="1">
      <alignment horizontal="left" vertical="top" wrapText="1"/>
    </xf>
    <xf numFmtId="49" fontId="3" fillId="7" borderId="18" xfId="0" applyNumberFormat="1" applyFont="1" applyFill="1" applyBorder="1" applyAlignment="1">
      <alignment horizontal="center" vertical="top"/>
    </xf>
    <xf numFmtId="49" fontId="3" fillId="7" borderId="15" xfId="0" applyNumberFormat="1" applyFont="1" applyFill="1" applyBorder="1" applyAlignment="1">
      <alignment horizontal="center" vertical="top"/>
    </xf>
    <xf numFmtId="49" fontId="3" fillId="7" borderId="24" xfId="0" applyNumberFormat="1" applyFont="1" applyFill="1" applyBorder="1" applyAlignment="1">
      <alignment horizontal="center" vertical="top"/>
    </xf>
    <xf numFmtId="0" fontId="7" fillId="7" borderId="9" xfId="0" applyFont="1" applyFill="1" applyBorder="1" applyAlignment="1">
      <alignment vertical="top" wrapText="1"/>
    </xf>
    <xf numFmtId="166" fontId="2" fillId="15" borderId="9" xfId="0" applyNumberFormat="1" applyFont="1" applyFill="1" applyBorder="1" applyAlignment="1">
      <alignment vertical="top" wrapText="1"/>
    </xf>
    <xf numFmtId="0" fontId="7" fillId="15" borderId="9" xfId="0" applyFont="1" applyFill="1" applyBorder="1" applyAlignment="1">
      <alignment vertical="top" wrapText="1"/>
    </xf>
    <xf numFmtId="0" fontId="7" fillId="0" borderId="9" xfId="0" applyFont="1" applyBorder="1" applyAlignment="1">
      <alignment horizontal="center" wrapText="1"/>
    </xf>
    <xf numFmtId="0" fontId="7" fillId="0" borderId="25" xfId="0" applyFont="1" applyBorder="1" applyAlignment="1">
      <alignment horizontal="center" wrapText="1"/>
    </xf>
    <xf numFmtId="49" fontId="2" fillId="7" borderId="25" xfId="0" applyNumberFormat="1" applyFont="1" applyFill="1" applyBorder="1" applyAlignment="1">
      <alignment horizontal="center" vertical="top"/>
    </xf>
    <xf numFmtId="166" fontId="6" fillId="7" borderId="17" xfId="0" applyNumberFormat="1" applyFont="1" applyFill="1" applyBorder="1" applyAlignment="1">
      <alignment horizontal="center" vertical="center" textRotation="90" wrapText="1"/>
    </xf>
    <xf numFmtId="166" fontId="6" fillId="7" borderId="9" xfId="0" applyNumberFormat="1" applyFont="1" applyFill="1" applyBorder="1" applyAlignment="1">
      <alignment horizontal="center" vertical="center" textRotation="90" wrapText="1"/>
    </xf>
    <xf numFmtId="0" fontId="51" fillId="0" borderId="25" xfId="0" applyFont="1" applyBorder="1" applyAlignment="1">
      <alignment horizontal="center" vertical="center" wrapText="1"/>
    </xf>
    <xf numFmtId="166" fontId="1" fillId="7" borderId="17" xfId="0" applyNumberFormat="1" applyFont="1" applyFill="1" applyBorder="1" applyAlignment="1">
      <alignment horizontal="center" vertical="center" textRotation="90" wrapText="1"/>
    </xf>
    <xf numFmtId="0" fontId="53" fillId="7" borderId="25" xfId="0" applyFont="1" applyFill="1" applyBorder="1" applyAlignment="1">
      <alignment horizontal="center" vertical="center" wrapText="1"/>
    </xf>
    <xf numFmtId="0" fontId="0" fillId="7" borderId="9" xfId="0" applyFill="1" applyBorder="1" applyAlignment="1">
      <alignment vertical="top" wrapText="1"/>
    </xf>
    <xf numFmtId="166" fontId="2" fillId="7" borderId="25" xfId="0" applyNumberFormat="1" applyFont="1" applyFill="1" applyBorder="1" applyAlignment="1">
      <alignment horizontal="center" vertical="center" textRotation="90" wrapText="1"/>
    </xf>
    <xf numFmtId="49" fontId="2" fillId="0" borderId="17" xfId="0" applyNumberFormat="1" applyFont="1" applyFill="1" applyBorder="1" applyAlignment="1">
      <alignment horizontal="left" vertical="top" wrapText="1"/>
    </xf>
    <xf numFmtId="49" fontId="2" fillId="0" borderId="9" xfId="0" applyNumberFormat="1" applyFont="1" applyFill="1" applyBorder="1" applyAlignment="1">
      <alignment horizontal="left" vertical="top" wrapText="1"/>
    </xf>
    <xf numFmtId="166" fontId="2" fillId="15" borderId="5" xfId="0" applyNumberFormat="1" applyFont="1" applyFill="1" applyBorder="1" applyAlignment="1">
      <alignment horizontal="left" vertical="top" wrapText="1"/>
    </xf>
    <xf numFmtId="49" fontId="2" fillId="0" borderId="87" xfId="0" applyNumberFormat="1" applyFont="1" applyFill="1" applyBorder="1" applyAlignment="1">
      <alignment horizontal="left" vertical="top" wrapText="1"/>
    </xf>
    <xf numFmtId="49" fontId="2" fillId="0" borderId="25" xfId="0" applyNumberFormat="1" applyFont="1" applyFill="1" applyBorder="1" applyAlignment="1">
      <alignment horizontal="left" vertical="top" wrapText="1"/>
    </xf>
    <xf numFmtId="3" fontId="3" fillId="0" borderId="40" xfId="0" applyNumberFormat="1" applyFont="1" applyBorder="1" applyAlignment="1">
      <alignment horizontal="center" vertical="center" wrapText="1"/>
    </xf>
    <xf numFmtId="3" fontId="3" fillId="0" borderId="47" xfId="0" applyNumberFormat="1" applyFont="1" applyBorder="1" applyAlignment="1">
      <alignment horizontal="center" vertical="center" wrapText="1"/>
    </xf>
    <xf numFmtId="3" fontId="3" fillId="0" borderId="46" xfId="0" applyNumberFormat="1" applyFont="1" applyBorder="1" applyAlignment="1">
      <alignment horizontal="center" vertical="center" wrapText="1"/>
    </xf>
    <xf numFmtId="0" fontId="7" fillId="0" borderId="6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3" fontId="19" fillId="7" borderId="35" xfId="0" applyNumberFormat="1" applyFont="1" applyFill="1" applyBorder="1" applyAlignment="1">
      <alignment horizontal="center" vertical="center" wrapText="1"/>
    </xf>
    <xf numFmtId="3" fontId="19" fillId="7" borderId="59" xfId="0" applyNumberFormat="1" applyFont="1" applyFill="1" applyBorder="1" applyAlignment="1">
      <alignment horizontal="center" vertical="center" wrapText="1"/>
    </xf>
    <xf numFmtId="3" fontId="2" fillId="0" borderId="35" xfId="0" applyNumberFormat="1" applyFont="1" applyBorder="1" applyAlignment="1">
      <alignment horizontal="center" vertical="center" wrapText="1"/>
    </xf>
    <xf numFmtId="3" fontId="2" fillId="0" borderId="59" xfId="0" applyNumberFormat="1" applyFont="1" applyBorder="1" applyAlignment="1">
      <alignment horizontal="center" vertical="center" wrapText="1"/>
    </xf>
    <xf numFmtId="0" fontId="2" fillId="0" borderId="0" xfId="0" applyNumberFormat="1" applyFont="1" applyFill="1" applyBorder="1" applyAlignment="1">
      <alignment horizontal="left" vertical="top" wrapText="1"/>
    </xf>
    <xf numFmtId="0" fontId="7" fillId="0" borderId="0" xfId="0" applyFont="1" applyBorder="1" applyAlignment="1">
      <alignment horizontal="left" vertical="top" wrapText="1"/>
    </xf>
    <xf numFmtId="0" fontId="2" fillId="3" borderId="57" xfId="0" applyFont="1" applyFill="1" applyBorder="1" applyAlignment="1">
      <alignment horizontal="left" vertical="top" wrapText="1"/>
    </xf>
    <xf numFmtId="0" fontId="2" fillId="3" borderId="68" xfId="0" applyFont="1" applyFill="1" applyBorder="1" applyAlignment="1">
      <alignment horizontal="left" vertical="top" wrapText="1"/>
    </xf>
    <xf numFmtId="0" fontId="2" fillId="3" borderId="49" xfId="0" applyFont="1" applyFill="1" applyBorder="1" applyAlignment="1">
      <alignment horizontal="left" vertical="top" wrapText="1"/>
    </xf>
    <xf numFmtId="166" fontId="3" fillId="4" borderId="65" xfId="0" applyNumberFormat="1" applyFont="1" applyFill="1" applyBorder="1" applyAlignment="1">
      <alignment horizontal="right" vertical="top" wrapText="1"/>
    </xf>
    <xf numFmtId="166" fontId="3" fillId="4" borderId="29" xfId="0" applyNumberFormat="1" applyFont="1" applyFill="1" applyBorder="1" applyAlignment="1">
      <alignment horizontal="right" vertical="top" wrapText="1"/>
    </xf>
    <xf numFmtId="166" fontId="3" fillId="4" borderId="30" xfId="0" applyNumberFormat="1" applyFont="1" applyFill="1" applyBorder="1" applyAlignment="1">
      <alignment horizontal="right" vertical="top" wrapText="1"/>
    </xf>
    <xf numFmtId="166" fontId="2" fillId="8" borderId="60" xfId="0" applyNumberFormat="1" applyFont="1" applyFill="1" applyBorder="1" applyAlignment="1">
      <alignment vertical="top" wrapText="1"/>
    </xf>
    <xf numFmtId="166" fontId="7" fillId="8" borderId="55" xfId="0" applyNumberFormat="1" applyFont="1" applyFill="1" applyBorder="1" applyAlignment="1">
      <alignment vertical="top" wrapText="1"/>
    </xf>
    <xf numFmtId="166" fontId="7" fillId="8" borderId="38" xfId="0" applyNumberFormat="1" applyFont="1" applyFill="1" applyBorder="1" applyAlignment="1">
      <alignment vertical="top" wrapText="1"/>
    </xf>
    <xf numFmtId="166" fontId="3" fillId="5" borderId="60" xfId="0" applyNumberFormat="1" applyFont="1" applyFill="1" applyBorder="1" applyAlignment="1">
      <alignment horizontal="right" vertical="top" wrapText="1"/>
    </xf>
    <xf numFmtId="166" fontId="3" fillId="5" borderId="55" xfId="0" applyNumberFormat="1" applyFont="1" applyFill="1" applyBorder="1" applyAlignment="1">
      <alignment horizontal="right" vertical="top" wrapText="1"/>
    </xf>
    <xf numFmtId="166" fontId="3" fillId="5" borderId="38" xfId="0" applyNumberFormat="1" applyFont="1" applyFill="1" applyBorder="1" applyAlignment="1">
      <alignment horizontal="right" vertical="top" wrapText="1"/>
    </xf>
    <xf numFmtId="166" fontId="2" fillId="3" borderId="57" xfId="0" applyNumberFormat="1" applyFont="1" applyFill="1" applyBorder="1" applyAlignment="1">
      <alignment horizontal="left" vertical="top" wrapText="1"/>
    </xf>
    <xf numFmtId="166" fontId="2" fillId="3" borderId="68" xfId="0" applyNumberFormat="1" applyFont="1" applyFill="1" applyBorder="1" applyAlignment="1">
      <alignment horizontal="left" vertical="top" wrapText="1"/>
    </xf>
    <xf numFmtId="166" fontId="2" fillId="3" borderId="49" xfId="0" applyNumberFormat="1" applyFont="1" applyFill="1" applyBorder="1" applyAlignment="1">
      <alignment horizontal="left" vertical="top" wrapText="1"/>
    </xf>
    <xf numFmtId="166" fontId="2" fillId="3" borderId="60" xfId="0" applyNumberFormat="1" applyFont="1" applyFill="1" applyBorder="1" applyAlignment="1">
      <alignment horizontal="left" vertical="top" wrapText="1"/>
    </xf>
    <xf numFmtId="166" fontId="2" fillId="3" borderId="55" xfId="0" applyNumberFormat="1" applyFont="1" applyFill="1" applyBorder="1" applyAlignment="1">
      <alignment horizontal="left" vertical="top" wrapText="1"/>
    </xf>
    <xf numFmtId="166" fontId="2" fillId="3" borderId="38" xfId="0" applyNumberFormat="1" applyFont="1" applyFill="1" applyBorder="1" applyAlignment="1">
      <alignment horizontal="left" vertical="top" wrapText="1"/>
    </xf>
    <xf numFmtId="166" fontId="2" fillId="7" borderId="60" xfId="0" applyNumberFormat="1" applyFont="1" applyFill="1" applyBorder="1" applyAlignment="1">
      <alignment horizontal="left" vertical="top" wrapText="1"/>
    </xf>
    <xf numFmtId="166" fontId="2" fillId="7" borderId="55" xfId="0" applyNumberFormat="1" applyFont="1" applyFill="1" applyBorder="1" applyAlignment="1">
      <alignment horizontal="left" vertical="top" wrapText="1"/>
    </xf>
    <xf numFmtId="166" fontId="2" fillId="7" borderId="38" xfId="0" applyNumberFormat="1" applyFont="1" applyFill="1" applyBorder="1" applyAlignment="1">
      <alignment horizontal="left" vertical="top" wrapText="1"/>
    </xf>
    <xf numFmtId="166" fontId="2" fillId="8" borderId="60" xfId="0" applyNumberFormat="1" applyFont="1" applyFill="1" applyBorder="1" applyAlignment="1">
      <alignment horizontal="left" vertical="top" wrapText="1"/>
    </xf>
    <xf numFmtId="166" fontId="2" fillId="8" borderId="55" xfId="0" applyNumberFormat="1" applyFont="1" applyFill="1" applyBorder="1" applyAlignment="1">
      <alignment horizontal="left" vertical="top" wrapText="1"/>
    </xf>
    <xf numFmtId="166" fontId="2" fillId="8" borderId="38" xfId="0" applyNumberFormat="1" applyFont="1" applyFill="1" applyBorder="1" applyAlignment="1">
      <alignment horizontal="left" vertical="top" wrapText="1"/>
    </xf>
    <xf numFmtId="166" fontId="3" fillId="8" borderId="60" xfId="0" applyNumberFormat="1" applyFont="1" applyFill="1" applyBorder="1" applyAlignment="1">
      <alignment horizontal="left" vertical="top" wrapText="1"/>
    </xf>
    <xf numFmtId="166" fontId="3" fillId="8" borderId="55" xfId="0" applyNumberFormat="1" applyFont="1" applyFill="1" applyBorder="1" applyAlignment="1">
      <alignment horizontal="left" vertical="top" wrapText="1"/>
    </xf>
    <xf numFmtId="166" fontId="3" fillId="8" borderId="38" xfId="0" applyNumberFormat="1" applyFont="1" applyFill="1" applyBorder="1" applyAlignment="1">
      <alignment horizontal="left" vertical="top" wrapText="1"/>
    </xf>
    <xf numFmtId="0" fontId="20" fillId="0" borderId="0" xfId="0" applyFont="1" applyAlignment="1">
      <alignment horizontal="center" vertical="top"/>
    </xf>
    <xf numFmtId="0" fontId="14" fillId="0" borderId="0" xfId="0" applyFont="1" applyBorder="1" applyAlignment="1">
      <alignment horizontal="center" vertical="top" wrapText="1"/>
    </xf>
    <xf numFmtId="0" fontId="2" fillId="0" borderId="3" xfId="0" applyFont="1" applyBorder="1" applyAlignment="1">
      <alignment horizontal="center" vertical="center" textRotation="90" shrinkToFit="1"/>
    </xf>
    <xf numFmtId="0" fontId="2" fillId="0" borderId="5" xfId="0" applyFont="1" applyBorder="1" applyAlignment="1">
      <alignment horizontal="center" vertical="center" textRotation="90" shrinkToFit="1"/>
    </xf>
    <xf numFmtId="0" fontId="2" fillId="0" borderId="7" xfId="0" applyFont="1" applyBorder="1" applyAlignment="1">
      <alignment horizontal="center" vertical="center" textRotation="90" shrinkToFit="1"/>
    </xf>
    <xf numFmtId="0" fontId="2" fillId="0" borderId="22" xfId="0" applyFont="1" applyBorder="1" applyAlignment="1">
      <alignment horizontal="center" vertical="center" textRotation="90" shrinkToFit="1"/>
    </xf>
    <xf numFmtId="0" fontId="2" fillId="0" borderId="9" xfId="0" applyFont="1" applyBorder="1" applyAlignment="1">
      <alignment horizontal="center" vertical="center" textRotation="90" shrinkToFit="1"/>
    </xf>
    <xf numFmtId="0" fontId="2" fillId="0" borderId="27" xfId="0" applyFont="1" applyBorder="1" applyAlignment="1">
      <alignment horizontal="center" vertical="center" textRotation="90" shrinkToFit="1"/>
    </xf>
    <xf numFmtId="0" fontId="19" fillId="0" borderId="40" xfId="0" applyFont="1" applyBorder="1" applyAlignment="1">
      <alignment horizontal="center" vertical="center" wrapText="1"/>
    </xf>
    <xf numFmtId="0" fontId="19" fillId="0" borderId="4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8" xfId="0" applyFont="1" applyBorder="1" applyAlignment="1">
      <alignment horizontal="center" vertical="center" wrapText="1"/>
    </xf>
    <xf numFmtId="3" fontId="19" fillId="0" borderId="4" xfId="0" applyNumberFormat="1" applyFont="1" applyBorder="1" applyAlignment="1">
      <alignment horizontal="center" vertical="center" wrapText="1"/>
    </xf>
    <xf numFmtId="3" fontId="19" fillId="0" borderId="59"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166" fontId="2" fillId="0" borderId="59" xfId="0" applyNumberFormat="1" applyFont="1" applyBorder="1" applyAlignment="1">
      <alignment horizontal="center" vertical="center" wrapText="1"/>
    </xf>
    <xf numFmtId="0" fontId="19" fillId="0" borderId="45" xfId="0" applyFont="1" applyBorder="1" applyAlignment="1">
      <alignment horizontal="center" vertical="center" wrapText="1"/>
    </xf>
    <xf numFmtId="0" fontId="19" fillId="0" borderId="65" xfId="0" applyFont="1" applyBorder="1" applyAlignment="1">
      <alignment horizontal="center" vertical="center" wrapText="1"/>
    </xf>
    <xf numFmtId="0" fontId="2" fillId="0" borderId="17"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37"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52" xfId="0" applyFont="1" applyBorder="1" applyAlignment="1">
      <alignment horizontal="center" vertical="center" shrinkToFit="1"/>
    </xf>
    <xf numFmtId="49" fontId="2" fillId="0" borderId="23" xfId="0" applyNumberFormat="1" applyFont="1" applyBorder="1" applyAlignment="1">
      <alignment horizontal="center" vertical="center" textRotation="90" shrinkToFit="1"/>
    </xf>
    <xf numFmtId="49" fontId="2" fillId="0" borderId="15" xfId="0" applyNumberFormat="1" applyFont="1" applyBorder="1" applyAlignment="1">
      <alignment horizontal="center" vertical="center" textRotation="90" shrinkToFit="1"/>
    </xf>
    <xf numFmtId="49" fontId="2" fillId="0" borderId="28" xfId="0" applyNumberFormat="1" applyFont="1" applyBorder="1" applyAlignment="1">
      <alignment horizontal="center" vertical="center" textRotation="90" shrinkToFit="1"/>
    </xf>
    <xf numFmtId="0" fontId="2" fillId="0" borderId="35" xfId="0" applyFont="1" applyBorder="1" applyAlignment="1">
      <alignment horizontal="center" vertical="center" textRotation="90" shrinkToFit="1"/>
    </xf>
    <xf numFmtId="0" fontId="2" fillId="0" borderId="4" xfId="0" applyFont="1" applyBorder="1" applyAlignment="1">
      <alignment horizontal="center" vertical="center" textRotation="90" shrinkToFit="1"/>
    </xf>
    <xf numFmtId="0" fontId="2" fillId="0" borderId="59" xfId="0" applyFont="1" applyBorder="1" applyAlignment="1">
      <alignment horizontal="center" vertical="center" textRotation="90" shrinkToFit="1"/>
    </xf>
    <xf numFmtId="3" fontId="18" fillId="0" borderId="61" xfId="0" applyNumberFormat="1" applyFont="1" applyBorder="1" applyAlignment="1">
      <alignment horizontal="center" vertical="center" wrapText="1"/>
    </xf>
    <xf numFmtId="3" fontId="18" fillId="0" borderId="66" xfId="0" applyNumberFormat="1" applyFont="1" applyBorder="1" applyAlignment="1">
      <alignment horizontal="center" vertical="center" wrapText="1"/>
    </xf>
    <xf numFmtId="3" fontId="18" fillId="0" borderId="62" xfId="0" applyNumberFormat="1" applyFont="1" applyBorder="1" applyAlignment="1">
      <alignment horizontal="center" vertical="center" wrapText="1"/>
    </xf>
    <xf numFmtId="0" fontId="7" fillId="0" borderId="27" xfId="0" applyFont="1" applyBorder="1" applyAlignment="1">
      <alignment vertical="top"/>
    </xf>
    <xf numFmtId="166" fontId="3" fillId="0" borderId="9" xfId="0" applyNumberFormat="1" applyFont="1" applyFill="1" applyBorder="1" applyAlignment="1">
      <alignment horizontal="center" vertical="top" wrapText="1"/>
    </xf>
    <xf numFmtId="166" fontId="3" fillId="0" borderId="27" xfId="0" applyNumberFormat="1" applyFont="1" applyFill="1" applyBorder="1" applyAlignment="1">
      <alignment horizontal="center" vertical="top" wrapText="1"/>
    </xf>
    <xf numFmtId="49" fontId="3" fillId="0" borderId="32" xfId="0" applyNumberFormat="1" applyFont="1" applyBorder="1" applyAlignment="1">
      <alignment horizontal="center" vertical="top"/>
    </xf>
    <xf numFmtId="49" fontId="3" fillId="0" borderId="56" xfId="0" applyNumberFormat="1" applyFont="1" applyBorder="1" applyAlignment="1">
      <alignment horizontal="center" vertical="top"/>
    </xf>
    <xf numFmtId="166" fontId="2" fillId="6" borderId="17" xfId="0" applyNumberFormat="1" applyFont="1" applyFill="1" applyBorder="1" applyAlignment="1">
      <alignment horizontal="left" vertical="top" wrapText="1"/>
    </xf>
    <xf numFmtId="166" fontId="2" fillId="6" borderId="25" xfId="0" applyNumberFormat="1" applyFont="1" applyFill="1" applyBorder="1" applyAlignment="1">
      <alignment horizontal="left" vertical="top" wrapText="1"/>
    </xf>
    <xf numFmtId="0" fontId="4" fillId="7" borderId="43" xfId="0" applyFont="1" applyFill="1" applyBorder="1" applyAlignment="1">
      <alignment horizontal="center" vertical="center" textRotation="90" wrapText="1"/>
    </xf>
    <xf numFmtId="0" fontId="4" fillId="7" borderId="16" xfId="0" applyFont="1" applyFill="1" applyBorder="1" applyAlignment="1">
      <alignment horizontal="center" vertical="center" textRotation="90" wrapText="1"/>
    </xf>
    <xf numFmtId="49" fontId="3" fillId="7" borderId="32" xfId="0" applyNumberFormat="1" applyFont="1" applyFill="1" applyBorder="1" applyAlignment="1">
      <alignment horizontal="center" vertical="top"/>
    </xf>
    <xf numFmtId="3" fontId="19" fillId="7" borderId="17" xfId="0" applyNumberFormat="1" applyFont="1" applyFill="1" applyBorder="1" applyAlignment="1">
      <alignment horizontal="left" vertical="top" wrapText="1"/>
    </xf>
    <xf numFmtId="3" fontId="19" fillId="7" borderId="25" xfId="0" applyNumberFormat="1" applyFont="1" applyFill="1" applyBorder="1" applyAlignment="1">
      <alignment horizontal="left" vertical="top" wrapText="1"/>
    </xf>
    <xf numFmtId="166" fontId="7" fillId="7" borderId="25" xfId="0" applyNumberFormat="1" applyFont="1" applyFill="1" applyBorder="1" applyAlignment="1">
      <alignment vertical="top" wrapText="1"/>
    </xf>
    <xf numFmtId="49" fontId="3" fillId="7" borderId="42" xfId="0" applyNumberFormat="1" applyFont="1" applyFill="1" applyBorder="1" applyAlignment="1">
      <alignment horizontal="center" vertical="top"/>
    </xf>
    <xf numFmtId="166" fontId="3" fillId="2" borderId="37" xfId="0" applyNumberFormat="1" applyFont="1" applyFill="1" applyBorder="1" applyAlignment="1">
      <alignment horizontal="left" vertical="top"/>
    </xf>
    <xf numFmtId="166" fontId="3" fillId="2" borderId="47" xfId="0" applyNumberFormat="1" applyFont="1" applyFill="1" applyBorder="1" applyAlignment="1">
      <alignment horizontal="left" vertical="top"/>
    </xf>
    <xf numFmtId="166" fontId="3" fillId="2" borderId="46" xfId="0" applyNumberFormat="1" applyFont="1" applyFill="1" applyBorder="1" applyAlignment="1">
      <alignment horizontal="left" vertical="top"/>
    </xf>
    <xf numFmtId="3" fontId="3" fillId="0" borderId="51" xfId="0" applyNumberFormat="1" applyFont="1" applyBorder="1" applyAlignment="1">
      <alignment horizontal="center" vertical="center" wrapText="1"/>
    </xf>
    <xf numFmtId="3" fontId="3" fillId="0" borderId="63" xfId="0" applyNumberFormat="1" applyFont="1" applyBorder="1" applyAlignment="1">
      <alignment horizontal="center" vertical="center" wrapText="1"/>
    </xf>
    <xf numFmtId="3" fontId="3" fillId="0" borderId="64" xfId="0" applyNumberFormat="1" applyFont="1" applyBorder="1" applyAlignment="1">
      <alignment horizontal="center" vertical="center" wrapText="1"/>
    </xf>
    <xf numFmtId="3" fontId="2" fillId="0" borderId="47" xfId="0" applyNumberFormat="1" applyFont="1" applyFill="1" applyBorder="1" applyAlignment="1">
      <alignment horizontal="left" vertical="top" wrapText="1"/>
    </xf>
    <xf numFmtId="0" fontId="46" fillId="0" borderId="47" xfId="0" applyFont="1" applyFill="1" applyBorder="1" applyAlignment="1">
      <alignment horizontal="left" vertical="top" wrapText="1"/>
    </xf>
    <xf numFmtId="0" fontId="7" fillId="0" borderId="47" xfId="0" applyFont="1" applyBorder="1" applyAlignment="1">
      <alignment horizontal="left" vertical="top" wrapText="1"/>
    </xf>
    <xf numFmtId="166" fontId="3" fillId="7" borderId="9" xfId="0" applyNumberFormat="1" applyFont="1" applyFill="1" applyBorder="1" applyAlignment="1">
      <alignment horizontal="center" vertical="top"/>
    </xf>
    <xf numFmtId="0" fontId="0" fillId="0" borderId="27" xfId="0" applyFont="1" applyBorder="1" applyAlignment="1">
      <alignment vertical="top"/>
    </xf>
    <xf numFmtId="166" fontId="3" fillId="0" borderId="32" xfId="0" applyNumberFormat="1" applyFont="1" applyBorder="1" applyAlignment="1">
      <alignment horizontal="center" vertical="top"/>
    </xf>
    <xf numFmtId="166" fontId="3" fillId="0" borderId="44" xfId="0" applyNumberFormat="1" applyFont="1" applyBorder="1" applyAlignment="1">
      <alignment horizontal="center" vertical="top"/>
    </xf>
    <xf numFmtId="166" fontId="3" fillId="0" borderId="56" xfId="0" applyNumberFormat="1" applyFont="1" applyBorder="1" applyAlignment="1">
      <alignment horizontal="center" vertical="top"/>
    </xf>
    <xf numFmtId="166" fontId="2" fillId="0" borderId="23" xfId="0" applyNumberFormat="1" applyFont="1" applyBorder="1" applyAlignment="1">
      <alignment horizontal="center" vertical="top" wrapText="1"/>
    </xf>
    <xf numFmtId="166" fontId="2" fillId="0" borderId="15" xfId="0" applyNumberFormat="1" applyFont="1" applyBorder="1" applyAlignment="1">
      <alignment horizontal="center" vertical="top" wrapText="1"/>
    </xf>
    <xf numFmtId="0" fontId="0" fillId="0" borderId="28" xfId="0" applyFont="1" applyBorder="1" applyAlignment="1">
      <alignment horizontal="center" vertical="top"/>
    </xf>
    <xf numFmtId="49" fontId="3" fillId="7" borderId="17" xfId="0" applyNumberFormat="1" applyFont="1" applyFill="1" applyBorder="1" applyAlignment="1">
      <alignment horizontal="center" vertical="top"/>
    </xf>
    <xf numFmtId="49" fontId="3" fillId="7" borderId="25" xfId="0" applyNumberFormat="1" applyFont="1" applyFill="1" applyBorder="1" applyAlignment="1">
      <alignment horizontal="center" vertical="top"/>
    </xf>
    <xf numFmtId="166" fontId="2" fillId="7" borderId="16" xfId="0" applyNumberFormat="1" applyFont="1" applyFill="1" applyBorder="1" applyAlignment="1">
      <alignment horizontal="left" vertical="top" wrapText="1"/>
    </xf>
    <xf numFmtId="0" fontId="2" fillId="0" borderId="31" xfId="0" applyFont="1" applyBorder="1" applyAlignment="1">
      <alignment horizontal="left" vertical="top" wrapText="1"/>
    </xf>
    <xf numFmtId="0" fontId="7" fillId="7" borderId="71" xfId="0" applyFont="1" applyFill="1" applyBorder="1" applyAlignment="1">
      <alignment vertical="top" wrapText="1"/>
    </xf>
    <xf numFmtId="166" fontId="7" fillId="7" borderId="32" xfId="0" applyNumberFormat="1" applyFont="1" applyFill="1" applyBorder="1" applyAlignment="1">
      <alignment vertical="top" wrapText="1"/>
    </xf>
    <xf numFmtId="166" fontId="3" fillId="8" borderId="9" xfId="0" applyNumberFormat="1" applyFont="1" applyFill="1" applyBorder="1" applyAlignment="1">
      <alignment horizontal="center" vertical="top"/>
    </xf>
    <xf numFmtId="166" fontId="2" fillId="3" borderId="17" xfId="0" applyNumberFormat="1" applyFont="1" applyFill="1" applyBorder="1" applyAlignment="1">
      <alignment vertical="top" wrapText="1"/>
    </xf>
    <xf numFmtId="166" fontId="2" fillId="3" borderId="9" xfId="0" applyNumberFormat="1" applyFont="1" applyFill="1" applyBorder="1" applyAlignment="1">
      <alignment vertical="top" wrapText="1"/>
    </xf>
    <xf numFmtId="0" fontId="0" fillId="0" borderId="9" xfId="0" applyFont="1" applyBorder="1" applyAlignment="1">
      <alignment vertical="top" wrapText="1"/>
    </xf>
    <xf numFmtId="166" fontId="2" fillId="7" borderId="18" xfId="0" applyNumberFormat="1" applyFont="1" applyFill="1" applyBorder="1" applyAlignment="1">
      <alignment horizontal="center" vertical="top" wrapText="1"/>
    </xf>
    <xf numFmtId="0" fontId="0" fillId="0" borderId="15" xfId="0" applyFont="1" applyBorder="1" applyAlignment="1">
      <alignment horizontal="center" vertical="top" wrapText="1"/>
    </xf>
    <xf numFmtId="166" fontId="3" fillId="7" borderId="17" xfId="0" applyNumberFormat="1" applyFont="1" applyFill="1" applyBorder="1" applyAlignment="1">
      <alignment horizontal="center" vertical="center" textRotation="90"/>
    </xf>
    <xf numFmtId="166" fontId="3" fillId="7" borderId="9" xfId="0" applyNumberFormat="1" applyFont="1" applyFill="1" applyBorder="1" applyAlignment="1">
      <alignment horizontal="center" vertical="center" textRotation="90"/>
    </xf>
    <xf numFmtId="166" fontId="2" fillId="7" borderId="15" xfId="0" applyNumberFormat="1" applyFont="1" applyFill="1" applyBorder="1" applyAlignment="1">
      <alignment horizontal="center" vertical="top" wrapText="1"/>
    </xf>
    <xf numFmtId="49" fontId="3" fillId="8" borderId="9" xfId="0" applyNumberFormat="1" applyFont="1" applyFill="1" applyBorder="1" applyAlignment="1">
      <alignment horizontal="center" vertical="top"/>
    </xf>
    <xf numFmtId="49" fontId="3" fillId="0" borderId="17" xfId="0" applyNumberFormat="1" applyFont="1" applyBorder="1" applyAlignment="1">
      <alignment horizontal="center" vertical="top"/>
    </xf>
    <xf numFmtId="49" fontId="3" fillId="0" borderId="9" xfId="0" applyNumberFormat="1" applyFont="1" applyBorder="1" applyAlignment="1">
      <alignment horizontal="center" vertical="top"/>
    </xf>
    <xf numFmtId="49" fontId="3" fillId="0" borderId="25" xfId="0" applyNumberFormat="1" applyFont="1" applyBorder="1" applyAlignment="1">
      <alignment horizontal="center" vertical="top"/>
    </xf>
    <xf numFmtId="166" fontId="2" fillId="7" borderId="24" xfId="0" applyNumberFormat="1" applyFont="1" applyFill="1" applyBorder="1" applyAlignment="1">
      <alignment horizontal="center" vertical="top" wrapText="1"/>
    </xf>
    <xf numFmtId="0" fontId="7" fillId="7" borderId="5" xfId="0" applyFont="1" applyFill="1" applyBorder="1" applyAlignment="1">
      <alignment vertical="top"/>
    </xf>
    <xf numFmtId="0" fontId="2" fillId="7" borderId="5" xfId="0" applyFont="1" applyFill="1" applyBorder="1" applyAlignment="1">
      <alignment vertical="top" wrapText="1"/>
    </xf>
    <xf numFmtId="166" fontId="3" fillId="7" borderId="37" xfId="0" applyNumberFormat="1" applyFont="1" applyFill="1" applyBorder="1" applyAlignment="1">
      <alignment horizontal="center" vertical="top"/>
    </xf>
    <xf numFmtId="166" fontId="3" fillId="7" borderId="44" xfId="0" applyNumberFormat="1" applyFont="1" applyFill="1" applyBorder="1" applyAlignment="1">
      <alignment horizontal="center" vertical="top"/>
    </xf>
    <xf numFmtId="166" fontId="3" fillId="7" borderId="52" xfId="0" applyNumberFormat="1" applyFont="1" applyFill="1" applyBorder="1" applyAlignment="1">
      <alignment horizontal="center" vertical="top"/>
    </xf>
    <xf numFmtId="166" fontId="2" fillId="7" borderId="23" xfId="0" applyNumberFormat="1" applyFont="1" applyFill="1" applyBorder="1" applyAlignment="1">
      <alignment horizontal="center" vertical="top" wrapText="1"/>
    </xf>
    <xf numFmtId="0" fontId="0" fillId="7" borderId="25" xfId="0" applyFont="1" applyFill="1" applyBorder="1" applyAlignment="1">
      <alignment vertical="top" wrapText="1"/>
    </xf>
    <xf numFmtId="0" fontId="0" fillId="0" borderId="25" xfId="0" applyFont="1" applyBorder="1" applyAlignment="1">
      <alignment wrapText="1"/>
    </xf>
    <xf numFmtId="0" fontId="7" fillId="7" borderId="44" xfId="0" applyFont="1" applyFill="1" applyBorder="1" applyAlignment="1">
      <alignment vertical="top" wrapText="1"/>
    </xf>
    <xf numFmtId="166" fontId="7" fillId="7" borderId="24" xfId="0" applyNumberFormat="1" applyFont="1" applyFill="1" applyBorder="1" applyAlignment="1">
      <alignment vertical="top" wrapText="1"/>
    </xf>
    <xf numFmtId="166" fontId="3" fillId="0" borderId="22" xfId="0" applyNumberFormat="1" applyFont="1" applyBorder="1" applyAlignment="1">
      <alignment horizontal="center" vertical="top"/>
    </xf>
    <xf numFmtId="166" fontId="3" fillId="0" borderId="9" xfId="0" applyNumberFormat="1" applyFont="1" applyBorder="1" applyAlignment="1">
      <alignment horizontal="center" vertical="top"/>
    </xf>
    <xf numFmtId="166" fontId="3" fillId="0" borderId="27" xfId="0" applyNumberFormat="1" applyFont="1" applyBorder="1" applyAlignment="1">
      <alignment horizontal="center" vertical="top"/>
    </xf>
    <xf numFmtId="0" fontId="0" fillId="0" borderId="9" xfId="0" applyFont="1" applyBorder="1" applyAlignment="1">
      <alignment horizontal="center" vertical="center" textRotation="90" wrapText="1"/>
    </xf>
    <xf numFmtId="166" fontId="2" fillId="7" borderId="98" xfId="0" applyNumberFormat="1" applyFont="1" applyFill="1" applyBorder="1" applyAlignment="1">
      <alignment vertical="top" wrapText="1"/>
    </xf>
    <xf numFmtId="0" fontId="7" fillId="7" borderId="110" xfId="0" applyFont="1" applyFill="1" applyBorder="1" applyAlignment="1">
      <alignment vertical="top"/>
    </xf>
    <xf numFmtId="166" fontId="2" fillId="7" borderId="31" xfId="0" applyNumberFormat="1" applyFont="1" applyFill="1" applyBorder="1" applyAlignment="1">
      <alignment vertical="top" wrapText="1"/>
    </xf>
    <xf numFmtId="0" fontId="7" fillId="7" borderId="110" xfId="0" applyFont="1" applyFill="1" applyBorder="1" applyAlignment="1">
      <alignment vertical="top" wrapText="1"/>
    </xf>
    <xf numFmtId="166" fontId="2" fillId="7" borderId="28" xfId="0" applyNumberFormat="1" applyFont="1" applyFill="1" applyBorder="1" applyAlignment="1">
      <alignment horizontal="center" vertical="top" wrapText="1"/>
    </xf>
    <xf numFmtId="0" fontId="0" fillId="7" borderId="43" xfId="0" applyFont="1" applyFill="1" applyBorder="1" applyAlignment="1">
      <alignment vertical="top" wrapText="1"/>
    </xf>
    <xf numFmtId="166" fontId="3" fillId="7" borderId="22" xfId="0" applyNumberFormat="1" applyFont="1" applyFill="1" applyBorder="1" applyAlignment="1">
      <alignment horizontal="center" vertical="top"/>
    </xf>
    <xf numFmtId="166" fontId="3" fillId="7" borderId="27" xfId="0" applyNumberFormat="1" applyFont="1" applyFill="1" applyBorder="1" applyAlignment="1">
      <alignment horizontal="center" vertical="top"/>
    </xf>
    <xf numFmtId="0" fontId="0" fillId="0" borderId="9" xfId="0" applyFont="1" applyBorder="1" applyAlignment="1">
      <alignment horizontal="center" wrapText="1"/>
    </xf>
    <xf numFmtId="0" fontId="0" fillId="0" borderId="73" xfId="0" applyFont="1" applyBorder="1" applyAlignment="1">
      <alignment horizontal="center" vertical="top" wrapText="1"/>
    </xf>
    <xf numFmtId="0" fontId="0" fillId="0" borderId="72" xfId="0" applyFont="1" applyBorder="1" applyAlignment="1">
      <alignment vertical="top" wrapText="1"/>
    </xf>
    <xf numFmtId="0" fontId="0" fillId="0" borderId="24" xfId="0" applyFont="1" applyBorder="1" applyAlignment="1">
      <alignment horizontal="center" vertical="top" wrapText="1"/>
    </xf>
    <xf numFmtId="3" fontId="2" fillId="0" borderId="15" xfId="0" applyNumberFormat="1" applyFont="1" applyFill="1" applyBorder="1" applyAlignment="1">
      <alignment horizontal="center" vertical="top"/>
    </xf>
    <xf numFmtId="3" fontId="2" fillId="0" borderId="24" xfId="0" applyNumberFormat="1" applyFont="1" applyFill="1" applyBorder="1" applyAlignment="1">
      <alignment horizontal="center" vertical="top"/>
    </xf>
    <xf numFmtId="166" fontId="3" fillId="0" borderId="44" xfId="0" applyNumberFormat="1" applyFont="1" applyFill="1" applyBorder="1" applyAlignment="1">
      <alignment horizontal="center" vertical="top" wrapText="1"/>
    </xf>
    <xf numFmtId="0" fontId="0" fillId="0" borderId="25" xfId="0" applyFont="1" applyBorder="1" applyAlignment="1">
      <alignment vertical="top" wrapText="1"/>
    </xf>
    <xf numFmtId="0" fontId="2" fillId="7" borderId="87" xfId="0" applyNumberFormat="1" applyFont="1" applyFill="1" applyBorder="1" applyAlignment="1">
      <alignment horizontal="left" vertical="top" wrapText="1"/>
    </xf>
    <xf numFmtId="0" fontId="0" fillId="7" borderId="25" xfId="0" applyFont="1" applyFill="1" applyBorder="1" applyAlignment="1">
      <alignment horizontal="left" vertical="top" wrapText="1"/>
    </xf>
    <xf numFmtId="0" fontId="0" fillId="0" borderId="26" xfId="0" applyFont="1" applyBorder="1" applyAlignment="1">
      <alignment horizontal="left" vertical="top" wrapText="1"/>
    </xf>
    <xf numFmtId="166" fontId="2" fillId="0" borderId="5" xfId="0" applyNumberFormat="1" applyFont="1" applyFill="1" applyBorder="1" applyAlignment="1">
      <alignment horizontal="left" vertical="top" wrapText="1"/>
    </xf>
    <xf numFmtId="166" fontId="37" fillId="7" borderId="23" xfId="0" applyNumberFormat="1" applyFont="1" applyFill="1" applyBorder="1" applyAlignment="1">
      <alignment horizontal="center" vertical="top" wrapText="1"/>
    </xf>
    <xf numFmtId="166" fontId="37" fillId="7" borderId="15" xfId="0" applyNumberFormat="1" applyFont="1" applyFill="1" applyBorder="1" applyAlignment="1">
      <alignment horizontal="center" vertical="top" wrapText="1"/>
    </xf>
    <xf numFmtId="166" fontId="37" fillId="7" borderId="33" xfId="0" applyNumberFormat="1" applyFont="1" applyFill="1" applyBorder="1" applyAlignment="1">
      <alignment horizontal="left" vertical="top" wrapText="1"/>
    </xf>
    <xf numFmtId="166" fontId="37" fillId="7" borderId="5" xfId="0" applyNumberFormat="1" applyFont="1" applyFill="1" applyBorder="1" applyAlignment="1">
      <alignment horizontal="left" vertical="top" wrapText="1"/>
    </xf>
    <xf numFmtId="166" fontId="34" fillId="2" borderId="67" xfId="0" applyNumberFormat="1" applyFont="1" applyFill="1" applyBorder="1" applyAlignment="1">
      <alignment horizontal="right" vertical="top"/>
    </xf>
    <xf numFmtId="166" fontId="34" fillId="2" borderId="63" xfId="0" applyNumberFormat="1" applyFont="1" applyFill="1" applyBorder="1" applyAlignment="1">
      <alignment horizontal="right" vertical="top"/>
    </xf>
    <xf numFmtId="166" fontId="34" fillId="2" borderId="64" xfId="0" applyNumberFormat="1" applyFont="1" applyFill="1" applyBorder="1" applyAlignment="1">
      <alignment horizontal="right" vertical="top"/>
    </xf>
    <xf numFmtId="166" fontId="37" fillId="7" borderId="42" xfId="0" applyNumberFormat="1" applyFont="1" applyFill="1" applyBorder="1" applyAlignment="1">
      <alignment horizontal="left" vertical="top" wrapText="1"/>
    </xf>
    <xf numFmtId="166" fontId="37" fillId="7" borderId="44" xfId="0" applyNumberFormat="1" applyFont="1" applyFill="1" applyBorder="1" applyAlignment="1">
      <alignment horizontal="left" vertical="top" wrapText="1"/>
    </xf>
    <xf numFmtId="166" fontId="37" fillId="7" borderId="83" xfId="0" applyNumberFormat="1" applyFont="1" applyFill="1" applyBorder="1" applyAlignment="1">
      <alignment horizontal="left" vertical="top" wrapText="1"/>
    </xf>
    <xf numFmtId="166" fontId="34" fillId="3" borderId="17" xfId="0" applyNumberFormat="1" applyFont="1" applyFill="1" applyBorder="1" applyAlignment="1">
      <alignment horizontal="center" vertical="top" wrapText="1"/>
    </xf>
    <xf numFmtId="0" fontId="37" fillId="0" borderId="9" xfId="0" applyFont="1" applyBorder="1" applyAlignment="1">
      <alignment horizontal="center" vertical="top" wrapText="1"/>
    </xf>
    <xf numFmtId="166" fontId="37" fillId="7" borderId="18" xfId="0" applyNumberFormat="1" applyFont="1" applyFill="1" applyBorder="1" applyAlignment="1">
      <alignment horizontal="center" vertical="top" wrapText="1"/>
    </xf>
    <xf numFmtId="0" fontId="37" fillId="7" borderId="5" xfId="0" applyFont="1" applyFill="1" applyBorder="1" applyAlignment="1">
      <alignment horizontal="left" vertical="top" wrapText="1"/>
    </xf>
    <xf numFmtId="166" fontId="41" fillId="7" borderId="9" xfId="0" applyNumberFormat="1" applyFont="1" applyFill="1" applyBorder="1" applyAlignment="1">
      <alignment horizontal="center" vertical="center" textRotation="90" wrapText="1"/>
    </xf>
    <xf numFmtId="166" fontId="37" fillId="7" borderId="32" xfId="0" applyNumberFormat="1" applyFont="1" applyFill="1" applyBorder="1" applyAlignment="1">
      <alignment horizontal="left" vertical="top" wrapText="1"/>
    </xf>
    <xf numFmtId="0" fontId="37" fillId="7" borderId="33" xfId="0" applyFont="1" applyFill="1" applyBorder="1" applyAlignment="1">
      <alignment vertical="top" wrapText="1"/>
    </xf>
    <xf numFmtId="0" fontId="37" fillId="7" borderId="5" xfId="0" applyFont="1" applyFill="1" applyBorder="1" applyAlignment="1">
      <alignment vertical="top" wrapText="1"/>
    </xf>
    <xf numFmtId="166" fontId="34" fillId="9" borderId="5" xfId="0" applyNumberFormat="1" applyFont="1" applyFill="1" applyBorder="1" applyAlignment="1">
      <alignment horizontal="center" vertical="top"/>
    </xf>
    <xf numFmtId="166" fontId="34" fillId="2" borderId="44" xfId="0" applyNumberFormat="1" applyFont="1" applyFill="1" applyBorder="1" applyAlignment="1">
      <alignment horizontal="center" vertical="top"/>
    </xf>
    <xf numFmtId="166" fontId="34" fillId="8" borderId="9" xfId="0" applyNumberFormat="1" applyFont="1" applyFill="1" applyBorder="1" applyAlignment="1">
      <alignment horizontal="center" vertical="top"/>
    </xf>
    <xf numFmtId="49" fontId="34" fillId="7" borderId="17" xfId="0" applyNumberFormat="1" applyFont="1" applyFill="1" applyBorder="1" applyAlignment="1">
      <alignment horizontal="center" vertical="top"/>
    </xf>
    <xf numFmtId="49" fontId="34" fillId="7" borderId="25" xfId="0" applyNumberFormat="1" applyFont="1" applyFill="1" applyBorder="1" applyAlignment="1">
      <alignment horizontal="center" vertical="top"/>
    </xf>
    <xf numFmtId="166" fontId="34" fillId="0" borderId="17" xfId="0" applyNumberFormat="1" applyFont="1" applyFill="1" applyBorder="1" applyAlignment="1">
      <alignment horizontal="center" vertical="top" wrapText="1"/>
    </xf>
    <xf numFmtId="166" fontId="34" fillId="0" borderId="25" xfId="0" applyNumberFormat="1" applyFont="1" applyFill="1" applyBorder="1" applyAlignment="1">
      <alignment horizontal="center" vertical="top" wrapText="1"/>
    </xf>
    <xf numFmtId="49" fontId="34" fillId="0" borderId="44" xfId="0" applyNumberFormat="1" applyFont="1" applyBorder="1" applyAlignment="1">
      <alignment horizontal="center" vertical="top"/>
    </xf>
    <xf numFmtId="49" fontId="34" fillId="0" borderId="32" xfId="0" applyNumberFormat="1" applyFont="1" applyBorder="1" applyAlignment="1">
      <alignment horizontal="center" vertical="top"/>
    </xf>
    <xf numFmtId="0" fontId="37" fillId="0" borderId="18" xfId="0" applyFont="1" applyBorder="1" applyAlignment="1">
      <alignment horizontal="center" vertical="top" wrapText="1"/>
    </xf>
    <xf numFmtId="0" fontId="37" fillId="0" borderId="24" xfId="0" applyFont="1" applyBorder="1" applyAlignment="1">
      <alignment horizontal="center" vertical="top" wrapText="1"/>
    </xf>
    <xf numFmtId="166" fontId="34" fillId="3" borderId="9" xfId="0" applyNumberFormat="1" applyFont="1" applyFill="1" applyBorder="1" applyAlignment="1">
      <alignment horizontal="center" vertical="top" wrapText="1"/>
    </xf>
    <xf numFmtId="166" fontId="34" fillId="3" borderId="25" xfId="0" applyNumberFormat="1" applyFont="1" applyFill="1" applyBorder="1" applyAlignment="1">
      <alignment horizontal="center" vertical="top" wrapText="1"/>
    </xf>
    <xf numFmtId="166" fontId="34" fillId="3" borderId="44" xfId="0" applyNumberFormat="1" applyFont="1" applyFill="1" applyBorder="1" applyAlignment="1">
      <alignment horizontal="center" vertical="top"/>
    </xf>
    <xf numFmtId="0" fontId="37" fillId="0" borderId="26" xfId="0" applyFont="1" applyBorder="1" applyAlignment="1">
      <alignment horizontal="left" vertical="top" wrapText="1"/>
    </xf>
    <xf numFmtId="166" fontId="34" fillId="7" borderId="17" xfId="0" applyNumberFormat="1" applyFont="1" applyFill="1" applyBorder="1" applyAlignment="1">
      <alignment horizontal="center" vertical="top" wrapText="1"/>
    </xf>
    <xf numFmtId="166" fontId="34" fillId="7" borderId="9" xfId="0" applyNumberFormat="1" applyFont="1" applyFill="1" applyBorder="1" applyAlignment="1">
      <alignment horizontal="center" vertical="top" wrapText="1"/>
    </xf>
    <xf numFmtId="166" fontId="37" fillId="7" borderId="17" xfId="0" applyNumberFormat="1" applyFont="1" applyFill="1" applyBorder="1" applyAlignment="1">
      <alignment horizontal="left" vertical="top" wrapText="1"/>
    </xf>
    <xf numFmtId="166" fontId="37" fillId="7" borderId="9" xfId="0" applyNumberFormat="1" applyFont="1" applyFill="1" applyBorder="1" applyAlignment="1">
      <alignment horizontal="left" vertical="top" wrapText="1"/>
    </xf>
    <xf numFmtId="166" fontId="37" fillId="7" borderId="18" xfId="0" applyNumberFormat="1" applyFont="1" applyFill="1" applyBorder="1" applyAlignment="1">
      <alignment horizontal="center" vertical="center" wrapText="1"/>
    </xf>
    <xf numFmtId="0" fontId="37" fillId="0" borderId="15" xfId="0" applyFont="1" applyBorder="1" applyAlignment="1">
      <alignment horizontal="center" vertical="center" wrapText="1"/>
    </xf>
    <xf numFmtId="0" fontId="37" fillId="0" borderId="24" xfId="0" applyFont="1" applyBorder="1" applyAlignment="1">
      <alignment horizontal="center" vertical="center" wrapText="1"/>
    </xf>
    <xf numFmtId="49" fontId="34" fillId="7" borderId="9" xfId="0" applyNumberFormat="1" applyFont="1" applyFill="1" applyBorder="1" applyAlignment="1">
      <alignment horizontal="center" vertical="top"/>
    </xf>
    <xf numFmtId="0" fontId="37" fillId="7" borderId="9" xfId="0" applyFont="1" applyFill="1" applyBorder="1" applyAlignment="1">
      <alignment horizontal="left" vertical="top" wrapText="1"/>
    </xf>
    <xf numFmtId="0" fontId="37" fillId="0" borderId="15" xfId="0" applyFont="1" applyBorder="1" applyAlignment="1">
      <alignment horizontal="center" vertical="top" wrapText="1"/>
    </xf>
    <xf numFmtId="166" fontId="37" fillId="7" borderId="15" xfId="0" applyNumberFormat="1" applyFont="1" applyFill="1" applyBorder="1" applyAlignment="1">
      <alignment horizontal="center" vertical="center" wrapText="1"/>
    </xf>
    <xf numFmtId="166" fontId="34" fillId="7" borderId="17" xfId="0" applyNumberFormat="1" applyFont="1" applyFill="1" applyBorder="1" applyAlignment="1">
      <alignment horizontal="center" vertical="top"/>
    </xf>
    <xf numFmtId="166" fontId="34" fillId="7" borderId="9" xfId="0" applyNumberFormat="1" applyFont="1" applyFill="1" applyBorder="1" applyAlignment="1">
      <alignment horizontal="center" vertical="top"/>
    </xf>
    <xf numFmtId="0" fontId="37" fillId="0" borderId="9" xfId="0" applyFont="1" applyBorder="1" applyAlignment="1">
      <alignment horizontal="left" vertical="top" wrapText="1"/>
    </xf>
    <xf numFmtId="0" fontId="37" fillId="7" borderId="33" xfId="0" applyFont="1" applyFill="1" applyBorder="1" applyAlignment="1">
      <alignment horizontal="left" vertical="top" wrapText="1"/>
    </xf>
    <xf numFmtId="0" fontId="37" fillId="0" borderId="71" xfId="0" applyFont="1" applyBorder="1" applyAlignment="1">
      <alignment horizontal="left" vertical="top" wrapText="1"/>
    </xf>
    <xf numFmtId="166" fontId="34" fillId="9" borderId="31" xfId="0" applyNumberFormat="1" applyFont="1" applyFill="1" applyBorder="1" applyAlignment="1">
      <alignment horizontal="center" vertical="top"/>
    </xf>
    <xf numFmtId="166" fontId="34" fillId="2" borderId="9" xfId="0" applyNumberFormat="1" applyFont="1" applyFill="1" applyBorder="1" applyAlignment="1">
      <alignment horizontal="center" vertical="top"/>
    </xf>
    <xf numFmtId="166" fontId="34" fillId="7" borderId="44" xfId="0" applyNumberFormat="1" applyFont="1" applyFill="1" applyBorder="1" applyAlignment="1">
      <alignment horizontal="center" vertical="top"/>
    </xf>
    <xf numFmtId="166" fontId="34" fillId="7" borderId="25" xfId="0" applyNumberFormat="1" applyFont="1" applyFill="1" applyBorder="1" applyAlignment="1">
      <alignment horizontal="center" vertical="top" wrapText="1"/>
    </xf>
    <xf numFmtId="166" fontId="34" fillId="7" borderId="25" xfId="0" applyNumberFormat="1" applyFont="1" applyFill="1" applyBorder="1" applyAlignment="1">
      <alignment horizontal="center" vertical="top"/>
    </xf>
    <xf numFmtId="0" fontId="37" fillId="7" borderId="15" xfId="0" applyFont="1" applyFill="1" applyBorder="1" applyAlignment="1">
      <alignment horizontal="center" vertical="center" wrapText="1"/>
    </xf>
    <xf numFmtId="166" fontId="34" fillId="7" borderId="17" xfId="0" applyNumberFormat="1" applyFont="1" applyFill="1" applyBorder="1" applyAlignment="1">
      <alignment horizontal="center" vertical="top" textRotation="90" wrapText="1"/>
    </xf>
    <xf numFmtId="0" fontId="37" fillId="7" borderId="25" xfId="0" applyFont="1" applyFill="1" applyBorder="1" applyAlignment="1">
      <alignment horizontal="center" vertical="top" textRotation="90" wrapText="1"/>
    </xf>
    <xf numFmtId="166" fontId="37" fillId="7" borderId="9" xfId="0" applyNumberFormat="1" applyFont="1" applyFill="1" applyBorder="1" applyAlignment="1">
      <alignment vertical="top" wrapText="1"/>
    </xf>
    <xf numFmtId="166" fontId="37" fillId="7" borderId="25" xfId="0" applyNumberFormat="1" applyFont="1" applyFill="1" applyBorder="1" applyAlignment="1">
      <alignment vertical="top" wrapText="1"/>
    </xf>
    <xf numFmtId="166" fontId="37" fillId="7" borderId="25" xfId="0" applyNumberFormat="1" applyFont="1" applyFill="1" applyBorder="1" applyAlignment="1">
      <alignment horizontal="left" vertical="top" wrapText="1"/>
    </xf>
    <xf numFmtId="0" fontId="37" fillId="7" borderId="17" xfId="0" applyFont="1" applyFill="1" applyBorder="1" applyAlignment="1">
      <alignment horizontal="left" vertical="top" wrapText="1"/>
    </xf>
    <xf numFmtId="166" fontId="7" fillId="7" borderId="5" xfId="0" applyNumberFormat="1" applyFont="1" applyFill="1" applyBorder="1" applyAlignment="1">
      <alignment horizontal="left" vertical="top" wrapText="1"/>
    </xf>
    <xf numFmtId="166" fontId="37" fillId="7" borderId="17" xfId="0" applyNumberFormat="1" applyFont="1" applyFill="1" applyBorder="1" applyAlignment="1">
      <alignment vertical="top" wrapText="1"/>
    </xf>
    <xf numFmtId="166" fontId="37" fillId="7" borderId="33" xfId="0" applyNumberFormat="1" applyFont="1" applyFill="1" applyBorder="1" applyAlignment="1">
      <alignment vertical="top" wrapText="1"/>
    </xf>
    <xf numFmtId="0" fontId="37" fillId="0" borderId="71" xfId="0" applyFont="1" applyBorder="1" applyAlignment="1">
      <alignment vertical="top" wrapText="1"/>
    </xf>
    <xf numFmtId="49" fontId="3" fillId="0" borderId="44" xfId="0" applyNumberFormat="1" applyFont="1" applyBorder="1" applyAlignment="1">
      <alignment horizontal="center" vertical="top"/>
    </xf>
    <xf numFmtId="0" fontId="0" fillId="0" borderId="15" xfId="0" applyFont="1" applyBorder="1" applyAlignment="1">
      <alignment horizontal="center" wrapText="1"/>
    </xf>
    <xf numFmtId="49" fontId="2" fillId="7" borderId="5" xfId="0" applyNumberFormat="1" applyFont="1" applyFill="1" applyBorder="1" applyAlignment="1">
      <alignment horizontal="left" vertical="top" wrapText="1"/>
    </xf>
    <xf numFmtId="166" fontId="3" fillId="3" borderId="17" xfId="0" applyNumberFormat="1" applyFont="1" applyFill="1" applyBorder="1" applyAlignment="1">
      <alignment horizontal="center" vertical="top" wrapText="1"/>
    </xf>
    <xf numFmtId="166" fontId="3" fillId="3" borderId="25" xfId="0" applyNumberFormat="1" applyFont="1" applyFill="1" applyBorder="1" applyAlignment="1">
      <alignment horizontal="center" vertical="top" wrapText="1"/>
    </xf>
    <xf numFmtId="166" fontId="3" fillId="0" borderId="17" xfId="0" applyNumberFormat="1" applyFont="1" applyFill="1" applyBorder="1" applyAlignment="1">
      <alignment horizontal="center" vertical="top" wrapText="1"/>
    </xf>
    <xf numFmtId="166" fontId="3" fillId="0" borderId="25" xfId="0" applyNumberFormat="1" applyFont="1" applyFill="1" applyBorder="1" applyAlignment="1">
      <alignment horizontal="center" vertical="top" wrapText="1"/>
    </xf>
    <xf numFmtId="166" fontId="3" fillId="3" borderId="9" xfId="0" applyNumberFormat="1" applyFont="1" applyFill="1" applyBorder="1" applyAlignment="1">
      <alignment horizontal="center" vertical="top" wrapText="1"/>
    </xf>
    <xf numFmtId="166" fontId="3" fillId="3" borderId="44" xfId="0" applyNumberFormat="1" applyFont="1" applyFill="1" applyBorder="1" applyAlignment="1">
      <alignment horizontal="center" vertical="top"/>
    </xf>
    <xf numFmtId="166" fontId="2" fillId="7" borderId="15" xfId="0" applyNumberFormat="1" applyFont="1" applyFill="1" applyBorder="1" applyAlignment="1">
      <alignment horizontal="center" vertical="center" wrapText="1"/>
    </xf>
    <xf numFmtId="0" fontId="2" fillId="0" borderId="15" xfId="0" applyFont="1" applyBorder="1" applyAlignment="1">
      <alignment horizontal="center" vertical="top" wrapText="1"/>
    </xf>
    <xf numFmtId="0" fontId="0" fillId="0" borderId="9" xfId="0" applyFont="1" applyBorder="1" applyAlignment="1">
      <alignment horizontal="center" vertical="top" wrapText="1"/>
    </xf>
    <xf numFmtId="0" fontId="0" fillId="0" borderId="25" xfId="0" applyFont="1" applyBorder="1" applyAlignment="1">
      <alignment horizontal="center" vertical="top" wrapText="1"/>
    </xf>
    <xf numFmtId="166" fontId="7" fillId="7" borderId="15" xfId="0" applyNumberFormat="1" applyFont="1" applyFill="1" applyBorder="1" applyAlignment="1">
      <alignment horizontal="center" vertical="top" wrapText="1"/>
    </xf>
    <xf numFmtId="0" fontId="1" fillId="0" borderId="31" xfId="0" applyFont="1" applyBorder="1" applyAlignment="1">
      <alignment horizontal="left" vertical="top" wrapText="1"/>
    </xf>
    <xf numFmtId="0" fontId="0" fillId="7" borderId="5" xfId="0" applyFont="1" applyFill="1" applyBorder="1" applyAlignment="1">
      <alignment horizontal="left" vertical="top" wrapText="1"/>
    </xf>
    <xf numFmtId="166" fontId="2" fillId="8" borderId="17" xfId="0" applyNumberFormat="1" applyFont="1" applyFill="1" applyBorder="1" applyAlignment="1">
      <alignment horizontal="center" vertical="center" textRotation="90" wrapText="1"/>
    </xf>
    <xf numFmtId="166" fontId="2" fillId="8" borderId="9" xfId="0" applyNumberFormat="1" applyFont="1" applyFill="1" applyBorder="1" applyAlignment="1">
      <alignment horizontal="center" vertical="center" textRotation="90" wrapText="1"/>
    </xf>
    <xf numFmtId="0" fontId="7" fillId="0" borderId="9" xfId="0" applyFont="1" applyBorder="1" applyAlignment="1">
      <alignment vertical="center" textRotation="90" wrapText="1"/>
    </xf>
    <xf numFmtId="0" fontId="7" fillId="0" borderId="25" xfId="0" applyFont="1" applyBorder="1" applyAlignment="1">
      <alignment vertical="center" textRotation="90" wrapText="1"/>
    </xf>
    <xf numFmtId="0" fontId="2" fillId="7" borderId="9" xfId="0" applyFont="1" applyFill="1" applyBorder="1" applyAlignment="1">
      <alignment horizontal="left" vertical="top" wrapText="1"/>
    </xf>
    <xf numFmtId="0" fontId="0" fillId="0" borderId="71" xfId="0" applyFont="1" applyBorder="1" applyAlignment="1">
      <alignment horizontal="left" vertical="top" wrapText="1"/>
    </xf>
    <xf numFmtId="0" fontId="0" fillId="7" borderId="5" xfId="0" applyFont="1" applyFill="1" applyBorder="1" applyAlignment="1">
      <alignment vertical="top" wrapText="1"/>
    </xf>
    <xf numFmtId="49" fontId="2" fillId="8" borderId="17" xfId="0" applyNumberFormat="1" applyFont="1" applyFill="1" applyBorder="1" applyAlignment="1">
      <alignment horizontal="center" vertical="center" textRotation="90" wrapText="1"/>
    </xf>
    <xf numFmtId="0" fontId="7" fillId="8" borderId="9" xfId="0" applyFont="1" applyFill="1" applyBorder="1" applyAlignment="1">
      <alignment horizontal="center" vertical="center" textRotation="90" wrapText="1"/>
    </xf>
    <xf numFmtId="166" fontId="2" fillId="7" borderId="33" xfId="0" applyNumberFormat="1" applyFont="1" applyFill="1" applyBorder="1" applyAlignment="1">
      <alignment vertical="top" wrapText="1"/>
    </xf>
    <xf numFmtId="0" fontId="7" fillId="0" borderId="71" xfId="0" applyFont="1" applyBorder="1" applyAlignment="1">
      <alignment vertical="top" wrapText="1"/>
    </xf>
    <xf numFmtId="0" fontId="0" fillId="0" borderId="9" xfId="0" applyFont="1" applyBorder="1" applyAlignment="1">
      <alignment textRotation="90" wrapText="1"/>
    </xf>
    <xf numFmtId="166" fontId="11" fillId="7" borderId="9" xfId="0" applyNumberFormat="1" applyFont="1" applyFill="1" applyBorder="1" applyAlignment="1">
      <alignment horizontal="center" vertical="center" textRotation="90" wrapText="1"/>
    </xf>
    <xf numFmtId="0" fontId="1" fillId="0" borderId="31" xfId="0" applyFont="1" applyBorder="1" applyAlignment="1">
      <alignment horizontal="left" vertical="center" wrapText="1"/>
    </xf>
    <xf numFmtId="49" fontId="2" fillId="7" borderId="25" xfId="0" applyNumberFormat="1" applyFont="1" applyFill="1" applyBorder="1" applyAlignment="1">
      <alignment horizontal="center" vertical="top" wrapText="1"/>
    </xf>
    <xf numFmtId="0" fontId="0" fillId="7" borderId="9" xfId="0" applyFont="1" applyFill="1" applyBorder="1" applyAlignment="1">
      <alignment horizontal="left" vertical="top" wrapText="1"/>
    </xf>
    <xf numFmtId="166" fontId="2" fillId="7" borderId="18" xfId="0" applyNumberFormat="1" applyFont="1" applyFill="1" applyBorder="1" applyAlignment="1">
      <alignment horizontal="center" vertical="center" wrapText="1"/>
    </xf>
    <xf numFmtId="0" fontId="7" fillId="7" borderId="15" xfId="0" applyFont="1" applyFill="1" applyBorder="1" applyAlignment="1">
      <alignment horizontal="center" vertical="center" wrapText="1"/>
    </xf>
    <xf numFmtId="3" fontId="2" fillId="0" borderId="37" xfId="0" applyNumberFormat="1" applyFont="1" applyBorder="1" applyAlignment="1">
      <alignment horizontal="center" vertical="center" textRotation="90" shrinkToFit="1"/>
    </xf>
    <xf numFmtId="3" fontId="2" fillId="0" borderId="44" xfId="0" applyNumberFormat="1" applyFont="1" applyBorder="1" applyAlignment="1">
      <alignment horizontal="center" vertical="center" textRotation="90" shrinkToFit="1"/>
    </xf>
    <xf numFmtId="3" fontId="2" fillId="0" borderId="52" xfId="0" applyNumberFormat="1" applyFont="1" applyBorder="1" applyAlignment="1">
      <alignment horizontal="center" vertical="center" textRotation="90" shrinkToFit="1"/>
    </xf>
    <xf numFmtId="3" fontId="2" fillId="0" borderId="37" xfId="0" applyNumberFormat="1" applyFont="1" applyBorder="1" applyAlignment="1">
      <alignment horizontal="center" vertical="center" textRotation="90" wrapText="1"/>
    </xf>
    <xf numFmtId="3" fontId="2" fillId="0" borderId="44" xfId="0" applyNumberFormat="1" applyFont="1" applyBorder="1" applyAlignment="1">
      <alignment horizontal="center" vertical="center" textRotation="90" wrapText="1"/>
    </xf>
    <xf numFmtId="3" fontId="2" fillId="0" borderId="52" xfId="0" applyNumberFormat="1" applyFont="1" applyBorder="1" applyAlignment="1">
      <alignment horizontal="center" vertical="center" textRotation="90" wrapText="1"/>
    </xf>
    <xf numFmtId="3" fontId="2" fillId="0" borderId="23" xfId="0" applyNumberFormat="1" applyFont="1" applyFill="1" applyBorder="1" applyAlignment="1">
      <alignment horizontal="center" vertical="center" textRotation="90" wrapText="1" shrinkToFit="1"/>
    </xf>
    <xf numFmtId="3" fontId="2" fillId="0" borderId="15" xfId="0" applyNumberFormat="1" applyFont="1" applyFill="1" applyBorder="1" applyAlignment="1">
      <alignment horizontal="center" vertical="center" textRotation="90" wrapText="1" shrinkToFit="1"/>
    </xf>
    <xf numFmtId="3" fontId="2" fillId="0" borderId="28" xfId="0" applyNumberFormat="1" applyFont="1" applyFill="1" applyBorder="1" applyAlignment="1">
      <alignment horizontal="center" vertical="center" textRotation="90" wrapText="1" shrinkToFit="1"/>
    </xf>
    <xf numFmtId="3" fontId="2" fillId="0" borderId="35" xfId="0" applyNumberFormat="1" applyFont="1" applyBorder="1" applyAlignment="1">
      <alignment horizontal="center" vertical="center" textRotation="90" wrapText="1" shrinkToFit="1"/>
    </xf>
    <xf numFmtId="3" fontId="2" fillId="0" borderId="4" xfId="0" applyNumberFormat="1" applyFont="1" applyBorder="1" applyAlignment="1">
      <alignment horizontal="center" vertical="center" textRotation="90" wrapText="1" shrinkToFit="1"/>
    </xf>
    <xf numFmtId="3" fontId="2" fillId="0" borderId="59" xfId="0" applyNumberFormat="1" applyFont="1" applyBorder="1" applyAlignment="1">
      <alignment horizontal="center" vertical="center" textRotation="90" wrapText="1" shrinkToFit="1"/>
    </xf>
    <xf numFmtId="0" fontId="2" fillId="0" borderId="35"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3" fillId="9" borderId="34" xfId="0" applyFont="1" applyFill="1" applyBorder="1" applyAlignment="1">
      <alignment horizontal="left" vertical="top"/>
    </xf>
    <xf numFmtId="0" fontId="3" fillId="9" borderId="55" xfId="0" applyFont="1" applyFill="1" applyBorder="1" applyAlignment="1">
      <alignment horizontal="left" vertical="top"/>
    </xf>
    <xf numFmtId="0" fontId="3" fillId="9" borderId="38" xfId="0" applyFont="1" applyFill="1" applyBorder="1" applyAlignment="1">
      <alignment horizontal="left" vertical="top"/>
    </xf>
    <xf numFmtId="0" fontId="29" fillId="0" borderId="0" xfId="0" applyFont="1" applyAlignment="1">
      <alignment horizontal="right" wrapText="1"/>
    </xf>
    <xf numFmtId="0" fontId="30" fillId="0" borderId="0" xfId="0" applyFont="1" applyAlignment="1">
      <alignment horizontal="right"/>
    </xf>
    <xf numFmtId="0" fontId="17" fillId="0" borderId="0" xfId="0" applyFont="1" applyAlignment="1">
      <alignment horizontal="center" vertical="top" wrapText="1"/>
    </xf>
    <xf numFmtId="0" fontId="32" fillId="0" borderId="0" xfId="0" applyFont="1" applyAlignment="1">
      <alignment vertical="top"/>
    </xf>
    <xf numFmtId="0" fontId="16" fillId="0" borderId="0" xfId="0" applyFont="1" applyBorder="1" applyAlignment="1">
      <alignment horizontal="center" vertical="top" wrapText="1"/>
    </xf>
    <xf numFmtId="0" fontId="17" fillId="0" borderId="0" xfId="0" applyFont="1" applyBorder="1" applyAlignment="1">
      <alignment horizontal="center" vertical="top"/>
    </xf>
    <xf numFmtId="0" fontId="2" fillId="0" borderId="29" xfId="0" applyFont="1" applyBorder="1" applyAlignment="1">
      <alignment horizontal="right" vertical="top"/>
    </xf>
    <xf numFmtId="3" fontId="2" fillId="0" borderId="3" xfId="0" applyNumberFormat="1" applyFont="1" applyBorder="1" applyAlignment="1">
      <alignment horizontal="center" vertical="center" textRotation="90" shrinkToFit="1"/>
    </xf>
    <xf numFmtId="3" fontId="2" fillId="0" borderId="5" xfId="0" applyNumberFormat="1" applyFont="1" applyBorder="1" applyAlignment="1">
      <alignment horizontal="center" vertical="center" textRotation="90" shrinkToFit="1"/>
    </xf>
    <xf numFmtId="3" fontId="2" fillId="0" borderId="7" xfId="0" applyNumberFormat="1" applyFont="1" applyBorder="1" applyAlignment="1">
      <alignment horizontal="center" vertical="center" textRotation="90" shrinkToFit="1"/>
    </xf>
    <xf numFmtId="3" fontId="2" fillId="0" borderId="22" xfId="0" applyNumberFormat="1" applyFont="1" applyBorder="1" applyAlignment="1">
      <alignment horizontal="center" vertical="center" textRotation="90" shrinkToFit="1"/>
    </xf>
    <xf numFmtId="3" fontId="2" fillId="0" borderId="9" xfId="0" applyNumberFormat="1" applyFont="1" applyBorder="1" applyAlignment="1">
      <alignment horizontal="center" vertical="center" textRotation="90" shrinkToFit="1"/>
    </xf>
    <xf numFmtId="3" fontId="2" fillId="0" borderId="27" xfId="0" applyNumberFormat="1" applyFont="1" applyBorder="1" applyAlignment="1">
      <alignment horizontal="center" vertical="center" textRotation="90" shrinkToFit="1"/>
    </xf>
    <xf numFmtId="3" fontId="2" fillId="0" borderId="37" xfId="0" applyNumberFormat="1" applyFont="1" applyBorder="1" applyAlignment="1">
      <alignment horizontal="center" vertical="center" shrinkToFit="1"/>
    </xf>
    <xf numFmtId="3" fontId="2" fillId="0" borderId="44" xfId="0" applyNumberFormat="1" applyFont="1" applyBorder="1" applyAlignment="1">
      <alignment horizontal="center" vertical="center" shrinkToFit="1"/>
    </xf>
    <xf numFmtId="3" fontId="2" fillId="0" borderId="52" xfId="0" applyNumberFormat="1" applyFont="1" applyBorder="1" applyAlignment="1">
      <alignment horizontal="center" vertical="center" shrinkToFi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2" fillId="0" borderId="3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0" applyFont="1" applyBorder="1" applyAlignment="1">
      <alignment horizontal="center" vertical="center" textRotation="90" wrapText="1"/>
    </xf>
    <xf numFmtId="0" fontId="0" fillId="0" borderId="28" xfId="0" applyFont="1" applyBorder="1" applyAlignment="1">
      <alignment horizontal="center" vertical="center" wrapText="1"/>
    </xf>
  </cellXfs>
  <cellStyles count="4">
    <cellStyle name="Excel Built-in Normal" xfId="3"/>
    <cellStyle name="Įprastas" xfId="0" builtinId="0"/>
    <cellStyle name="Įprastas 2" xfId="2"/>
    <cellStyle name="Kablelis" xfId="1" builtinId="3"/>
  </cellStyles>
  <dxfs count="0"/>
  <tableStyles count="0" defaultTableStyle="TableStyleMedium2" defaultPivotStyle="PivotStyleLight16"/>
  <colors>
    <mruColors>
      <color rgb="FFCCECFF"/>
      <color rgb="FFFFCCFF"/>
      <color rgb="FFCCFFCC"/>
      <color rgb="FFE9C9C7"/>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perspective val="2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222222222222223E-2"/>
          <c:y val="0.17171296296296298"/>
          <c:w val="0.93888888888888888"/>
          <c:h val="0.6714577865266842"/>
        </c:manualLayout>
      </c:layout>
      <c:pie3DChart>
        <c:varyColors val="1"/>
        <c:ser>
          <c:idx val="0"/>
          <c:order val="0"/>
          <c:dPt>
            <c:idx val="0"/>
            <c:bubble3D val="0"/>
            <c:spPr>
              <a:solidFill>
                <a:schemeClr val="bg1"/>
              </a:solidFill>
              <a:ln w="25400">
                <a:solidFill>
                  <a:schemeClr val="bg1">
                    <a:lumMod val="75000"/>
                  </a:schemeClr>
                </a:solidFill>
              </a:ln>
              <a:effectLst/>
              <a:sp3d contourW="25400">
                <a:contourClr>
                  <a:schemeClr val="bg1">
                    <a:lumMod val="75000"/>
                  </a:schemeClr>
                </a:contourClr>
              </a:sp3d>
            </c:spPr>
            <c:extLst>
              <c:ext xmlns:c16="http://schemas.microsoft.com/office/drawing/2014/chart" uri="{C3380CC4-5D6E-409C-BE32-E72D297353CC}">
                <c16:uniqueId val="{00000001-D2D0-4923-94B7-FD9049AD3804}"/>
              </c:ext>
            </c:extLst>
          </c:dPt>
          <c:dPt>
            <c:idx val="1"/>
            <c:bubble3D val="0"/>
            <c:spPr>
              <a:solidFill>
                <a:schemeClr val="accent1">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D2D0-4923-94B7-FD9049AD3804}"/>
              </c:ext>
            </c:extLst>
          </c:dPt>
          <c:dPt>
            <c:idx val="2"/>
            <c:bubble3D val="0"/>
            <c:spPr>
              <a:solidFill>
                <a:srgbClr val="FFCCFF"/>
              </a:solidFill>
              <a:ln w="25400">
                <a:solidFill>
                  <a:schemeClr val="lt1"/>
                </a:solidFill>
              </a:ln>
              <a:effectLst/>
              <a:sp3d contourW="25400">
                <a:contourClr>
                  <a:schemeClr val="lt1"/>
                </a:contourClr>
              </a:sp3d>
            </c:spPr>
            <c:extLst>
              <c:ext xmlns:c16="http://schemas.microsoft.com/office/drawing/2014/chart" uri="{C3380CC4-5D6E-409C-BE32-E72D297353CC}">
                <c16:uniqueId val="{00000002-D2D0-4923-94B7-FD9049AD3804}"/>
              </c:ext>
            </c:extLst>
          </c:dPt>
          <c:dPt>
            <c:idx val="3"/>
            <c:bubble3D val="0"/>
            <c:spPr>
              <a:solidFill>
                <a:schemeClr val="bg1">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886C-4112-A791-AAA48E367F26}"/>
              </c:ext>
            </c:extLst>
          </c:dPt>
          <c:dLbls>
            <c:dLbl>
              <c:idx val="1"/>
              <c:layout>
                <c:manualLayout>
                  <c:x val="-9.7887214965181393E-2"/>
                  <c:y val="6.891258384368619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2D0-4923-94B7-FD9049AD3804}"/>
                </c:ext>
              </c:extLst>
            </c:dLbl>
            <c:dLbl>
              <c:idx val="2"/>
              <c:layout>
                <c:manualLayout>
                  <c:x val="0.14154476355195486"/>
                  <c:y val="-1.0393336249635475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D2D0-4923-94B7-FD9049AD3804}"/>
                </c:ext>
              </c:extLst>
            </c:dLbl>
            <c:dLbl>
              <c:idx val="3"/>
              <c:layout>
                <c:manualLayout>
                  <c:x val="0.12738680786288997"/>
                  <c:y val="3.168926800816564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86C-4112-A791-AAA48E367F26}"/>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multiLvlStrRef>
              <c:f>Ataskaita!$B$14:$D$17</c:f>
              <c:multiLvlStrCache>
                <c:ptCount val="3"/>
                <c:lvl>
                  <c:pt idx="0">
                    <c:v>–</c:v>
                  </c:pt>
                  <c:pt idx="1">
                    <c:v>–</c:v>
                  </c:pt>
                  <c:pt idx="2">
                    <c:v>–</c:v>
                  </c:pt>
                </c:lvl>
                <c:lvl>
                  <c:pt idx="0">
                    <c:v>faktiškai įvykdyta</c:v>
                  </c:pt>
                  <c:pt idx="1">
                    <c:v>iš dalies įvykdyta</c:v>
                  </c:pt>
                  <c:pt idx="2">
                    <c:v>neįvykdyta</c:v>
                  </c:pt>
                </c:lvl>
              </c:multiLvlStrCache>
            </c:multiLvlStrRef>
          </c:cat>
          <c:val>
            <c:numRef>
              <c:f>Ataskaita!$E$14:$E$17</c:f>
              <c:numCache>
                <c:formatCode>General</c:formatCode>
                <c:ptCount val="4"/>
                <c:pt idx="0">
                  <c:v>42</c:v>
                </c:pt>
                <c:pt idx="1">
                  <c:v>7</c:v>
                </c:pt>
                <c:pt idx="2">
                  <c:v>3</c:v>
                </c:pt>
              </c:numCache>
            </c:numRef>
          </c:val>
          <c:extLst>
            <c:ext xmlns:c16="http://schemas.microsoft.com/office/drawing/2014/chart" uri="{C3380CC4-5D6E-409C-BE32-E72D297353CC}">
              <c16:uniqueId val="{00000000-D2D0-4923-94B7-FD9049AD3804}"/>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20</xdr:row>
      <xdr:rowOff>66675</xdr:rowOff>
    </xdr:from>
    <xdr:to>
      <xdr:col>9</xdr:col>
      <xdr:colOff>9525</xdr:colOff>
      <xdr:row>34</xdr:row>
      <xdr:rowOff>9525</xdr:rowOff>
    </xdr:to>
    <xdr:graphicFrame macro="">
      <xdr:nvGraphicFramePr>
        <xdr:cNvPr id="4" name="Diagrama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zoomScaleNormal="100" zoomScaleSheetLayoutView="100" workbookViewId="0">
      <selection activeCell="R10" sqref="R9:R10"/>
    </sheetView>
  </sheetViews>
  <sheetFormatPr defaultRowHeight="12.75" x14ac:dyDescent="0.2"/>
  <cols>
    <col min="5" max="5" width="8.140625" customWidth="1"/>
    <col min="9" max="9" width="11.28515625" customWidth="1"/>
    <col min="10" max="10" width="12.42578125" customWidth="1"/>
  </cols>
  <sheetData>
    <row r="1" spans="1:12" ht="34.5" customHeight="1" x14ac:dyDescent="0.2">
      <c r="E1" s="1180"/>
      <c r="F1" s="1180"/>
      <c r="G1" s="1183" t="s">
        <v>801</v>
      </c>
      <c r="H1" s="1183"/>
      <c r="I1" s="1183"/>
      <c r="J1" s="1183"/>
    </row>
    <row r="2" spans="1:12" ht="19.5" customHeight="1" x14ac:dyDescent="0.2">
      <c r="E2" s="1180"/>
      <c r="F2" s="1180"/>
      <c r="G2" s="1183" t="s">
        <v>802</v>
      </c>
      <c r="H2" s="1183"/>
      <c r="I2" s="1183"/>
      <c r="J2" s="1183"/>
    </row>
    <row r="3" spans="1:12" ht="15" customHeight="1" x14ac:dyDescent="0.2">
      <c r="E3" s="1180"/>
      <c r="F3" s="1106"/>
      <c r="G3" s="1106"/>
      <c r="H3" s="1106"/>
      <c r="I3" s="1106"/>
      <c r="J3" s="1106"/>
    </row>
    <row r="4" spans="1:12" ht="15.75" x14ac:dyDescent="0.25">
      <c r="A4" s="1186" t="s">
        <v>184</v>
      </c>
      <c r="B4" s="1187"/>
      <c r="C4" s="1187"/>
      <c r="D4" s="1187"/>
      <c r="E4" s="1187"/>
      <c r="F4" s="1187"/>
      <c r="G4" s="1187"/>
      <c r="H4" s="1187"/>
      <c r="I4" s="1187"/>
      <c r="J4" s="1187"/>
      <c r="K4" s="214"/>
    </row>
    <row r="5" spans="1:12" ht="15.75" x14ac:dyDescent="0.25">
      <c r="A5" s="1186" t="s">
        <v>25</v>
      </c>
      <c r="B5" s="1187"/>
      <c r="C5" s="1187"/>
      <c r="D5" s="1187"/>
      <c r="E5" s="1187"/>
      <c r="F5" s="1187"/>
      <c r="G5" s="1187"/>
      <c r="H5" s="1187"/>
      <c r="I5" s="1187"/>
      <c r="J5" s="1187"/>
      <c r="K5" s="214"/>
    </row>
    <row r="6" spans="1:12" ht="15.75" x14ac:dyDescent="0.25">
      <c r="A6" s="1186" t="s">
        <v>163</v>
      </c>
      <c r="B6" s="1187"/>
      <c r="C6" s="1187"/>
      <c r="D6" s="1187"/>
      <c r="E6" s="1187"/>
      <c r="F6" s="1187"/>
      <c r="G6" s="1187"/>
      <c r="H6" s="1187"/>
      <c r="I6" s="1187"/>
      <c r="J6" s="1187"/>
      <c r="K6" s="214"/>
    </row>
    <row r="8" spans="1:12" ht="33" customHeight="1" x14ac:dyDescent="0.2">
      <c r="A8" s="1194" t="s">
        <v>164</v>
      </c>
      <c r="B8" s="1187"/>
      <c r="C8" s="1187"/>
      <c r="D8" s="1187"/>
      <c r="E8" s="1187"/>
      <c r="F8" s="1187"/>
      <c r="G8" s="1187"/>
      <c r="H8" s="1187"/>
      <c r="I8" s="1187"/>
      <c r="J8" s="1187"/>
      <c r="K8" s="215"/>
    </row>
    <row r="10" spans="1:12" ht="49.5" customHeight="1" x14ac:dyDescent="0.2">
      <c r="A10" s="1195" t="s">
        <v>165</v>
      </c>
      <c r="B10" s="1187"/>
      <c r="C10" s="1187"/>
      <c r="D10" s="1187"/>
      <c r="E10" s="1187"/>
      <c r="F10" s="1187"/>
      <c r="G10" s="1187"/>
      <c r="H10" s="1187"/>
      <c r="I10" s="1187"/>
      <c r="J10" s="1187"/>
      <c r="K10" s="216"/>
      <c r="L10" s="217"/>
    </row>
    <row r="11" spans="1:12" x14ac:dyDescent="0.2">
      <c r="A11" s="217"/>
      <c r="B11" s="217"/>
      <c r="C11" s="217"/>
      <c r="D11" s="217"/>
      <c r="E11" s="217"/>
      <c r="F11" s="217"/>
      <c r="G11" s="217"/>
      <c r="H11" s="217"/>
      <c r="I11" s="217"/>
      <c r="J11" s="217"/>
      <c r="K11" s="217"/>
      <c r="L11" s="217"/>
    </row>
    <row r="12" spans="1:12" ht="19.5" customHeight="1" x14ac:dyDescent="0.2">
      <c r="A12" s="1184" t="s">
        <v>733</v>
      </c>
      <c r="B12" s="1185"/>
      <c r="C12" s="1185"/>
      <c r="D12" s="1185"/>
      <c r="E12" s="1185"/>
      <c r="F12" s="1185"/>
      <c r="G12" s="1185"/>
      <c r="H12" s="1185"/>
      <c r="I12" s="1185"/>
      <c r="J12" s="1185"/>
      <c r="K12" s="216"/>
      <c r="L12" s="217"/>
    </row>
    <row r="13" spans="1:12" ht="15.75" x14ac:dyDescent="0.2">
      <c r="A13" s="216"/>
      <c r="B13" s="194"/>
      <c r="C13" s="194"/>
      <c r="D13" s="194"/>
      <c r="E13" s="194"/>
      <c r="F13" s="194"/>
      <c r="G13" s="194"/>
      <c r="H13" s="194"/>
      <c r="I13" s="194"/>
      <c r="J13" s="194"/>
      <c r="K13" s="216"/>
      <c r="L13" s="217"/>
    </row>
    <row r="14" spans="1:12" ht="15.75" x14ac:dyDescent="0.25">
      <c r="A14" s="218"/>
      <c r="B14" s="1190" t="s">
        <v>166</v>
      </c>
      <c r="C14" s="1190"/>
      <c r="D14" s="219" t="s">
        <v>167</v>
      </c>
      <c r="E14" s="249">
        <v>42</v>
      </c>
      <c r="F14" s="220" t="s">
        <v>168</v>
      </c>
      <c r="G14" s="220"/>
      <c r="H14" s="220"/>
      <c r="I14" s="220"/>
      <c r="J14" s="220"/>
      <c r="K14" s="220"/>
      <c r="L14" s="217"/>
    </row>
    <row r="15" spans="1:12" ht="15.75" x14ac:dyDescent="0.25">
      <c r="A15" s="218"/>
      <c r="B15" s="1190" t="s">
        <v>169</v>
      </c>
      <c r="C15" s="1190"/>
      <c r="D15" s="219" t="s">
        <v>167</v>
      </c>
      <c r="E15" s="249">
        <v>7</v>
      </c>
      <c r="F15" s="220" t="s">
        <v>170</v>
      </c>
      <c r="G15" s="220"/>
      <c r="H15" s="220"/>
      <c r="I15" s="220"/>
      <c r="J15" s="220"/>
      <c r="K15" s="220"/>
      <c r="L15" s="217"/>
    </row>
    <row r="16" spans="1:12" s="221" customFormat="1" ht="15.75" x14ac:dyDescent="0.25">
      <c r="B16" s="1191" t="s">
        <v>171</v>
      </c>
      <c r="C16" s="1191"/>
      <c r="D16" s="223" t="s">
        <v>167</v>
      </c>
      <c r="E16" s="227">
        <v>3</v>
      </c>
      <c r="F16" s="248" t="s">
        <v>734</v>
      </c>
      <c r="G16" s="248"/>
      <c r="H16" s="248"/>
      <c r="I16" s="248"/>
    </row>
    <row r="17" spans="2:9" s="221" customFormat="1" ht="12" customHeight="1" x14ac:dyDescent="0.25">
      <c r="B17" s="1191"/>
      <c r="C17" s="1191"/>
      <c r="D17" s="223"/>
      <c r="E17" s="227"/>
      <c r="F17" s="1183"/>
      <c r="G17" s="1193"/>
      <c r="H17" s="1193"/>
      <c r="I17" s="1193"/>
    </row>
    <row r="18" spans="2:9" s="221" customFormat="1" ht="15.75" x14ac:dyDescent="0.25">
      <c r="B18" s="248"/>
      <c r="C18" s="248"/>
      <c r="D18" s="222"/>
      <c r="E18" s="223"/>
      <c r="F18" s="248"/>
    </row>
    <row r="19" spans="2:9" s="221" customFormat="1" ht="15.75" x14ac:dyDescent="0.25">
      <c r="B19" s="224"/>
      <c r="C19" s="224"/>
      <c r="D19" s="222"/>
      <c r="E19" s="223"/>
      <c r="F19" s="224"/>
    </row>
    <row r="20" spans="2:9" s="221" customFormat="1" ht="15.75" x14ac:dyDescent="0.25">
      <c r="B20" s="225"/>
      <c r="C20" s="225" t="s">
        <v>185</v>
      </c>
      <c r="D20" s="225"/>
      <c r="E20" s="226"/>
      <c r="F20" s="225"/>
      <c r="G20" s="225"/>
    </row>
    <row r="21" spans="2:9" s="221" customFormat="1" ht="15.75" x14ac:dyDescent="0.25">
      <c r="B21" s="225"/>
      <c r="C21" s="225"/>
      <c r="D21" s="225"/>
      <c r="E21" s="226"/>
      <c r="F21" s="225"/>
      <c r="G21" s="225"/>
    </row>
    <row r="22" spans="2:9" s="221" customFormat="1" ht="15.75" x14ac:dyDescent="0.25">
      <c r="E22" s="227"/>
    </row>
    <row r="23" spans="2:9" s="221" customFormat="1" ht="15.75" x14ac:dyDescent="0.25">
      <c r="E23" s="227"/>
    </row>
    <row r="24" spans="2:9" s="221" customFormat="1" ht="15.75" x14ac:dyDescent="0.25">
      <c r="E24" s="227"/>
    </row>
    <row r="25" spans="2:9" s="221" customFormat="1" ht="15.75" x14ac:dyDescent="0.25">
      <c r="E25" s="227"/>
    </row>
    <row r="26" spans="2:9" s="221" customFormat="1" ht="15.75" x14ac:dyDescent="0.25">
      <c r="E26" s="227"/>
    </row>
    <row r="27" spans="2:9" s="221" customFormat="1" ht="15.75" x14ac:dyDescent="0.25">
      <c r="E27" s="227"/>
    </row>
    <row r="28" spans="2:9" s="221" customFormat="1" ht="15.75" x14ac:dyDescent="0.25">
      <c r="E28" s="227"/>
    </row>
    <row r="29" spans="2:9" s="221" customFormat="1" ht="15.75" x14ac:dyDescent="0.25">
      <c r="E29" s="227"/>
    </row>
    <row r="30" spans="2:9" s="221" customFormat="1" ht="15.75" x14ac:dyDescent="0.25">
      <c r="E30" s="227"/>
    </row>
    <row r="31" spans="2:9" s="221" customFormat="1" ht="15.75" x14ac:dyDescent="0.25">
      <c r="E31" s="227"/>
    </row>
    <row r="32" spans="2:9" s="221" customFormat="1" ht="15.75" x14ac:dyDescent="0.25">
      <c r="E32" s="227"/>
    </row>
    <row r="33" spans="1:11" s="221" customFormat="1" ht="15.75" x14ac:dyDescent="0.25">
      <c r="E33" s="227"/>
    </row>
    <row r="34" spans="1:11" s="221" customFormat="1" ht="15.75" x14ac:dyDescent="0.25">
      <c r="E34" s="227"/>
    </row>
    <row r="35" spans="1:11" s="221" customFormat="1" ht="15.75" x14ac:dyDescent="0.25">
      <c r="E35" s="227"/>
    </row>
    <row r="37" spans="1:11" ht="35.25" customHeight="1" x14ac:dyDescent="0.2">
      <c r="A37" s="1192" t="s">
        <v>172</v>
      </c>
      <c r="B37" s="1189"/>
      <c r="C37" s="1189"/>
      <c r="D37" s="1189"/>
      <c r="E37" s="1189"/>
      <c r="F37" s="1189"/>
      <c r="G37" s="1189"/>
      <c r="H37" s="1189"/>
      <c r="I37" s="1189"/>
      <c r="J37" s="1189"/>
      <c r="K37" s="228"/>
    </row>
    <row r="38" spans="1:11" ht="30.95" customHeight="1" x14ac:dyDescent="0.2">
      <c r="A38" s="1188" t="s">
        <v>173</v>
      </c>
      <c r="B38" s="1189"/>
      <c r="C38" s="1189"/>
      <c r="D38" s="1189"/>
      <c r="E38" s="1189"/>
      <c r="F38" s="1189"/>
      <c r="G38" s="1189"/>
      <c r="H38" s="1189"/>
      <c r="I38" s="1189"/>
      <c r="J38" s="1189"/>
      <c r="K38" s="229"/>
    </row>
    <row r="39" spans="1:11" ht="30.95" customHeight="1" x14ac:dyDescent="0.2">
      <c r="A39" s="1188" t="s">
        <v>174</v>
      </c>
      <c r="B39" s="1189"/>
      <c r="C39" s="1189"/>
      <c r="D39" s="1189"/>
      <c r="E39" s="1189"/>
      <c r="F39" s="1189"/>
      <c r="G39" s="1189"/>
      <c r="H39" s="1189"/>
      <c r="I39" s="1189"/>
      <c r="J39" s="1189"/>
      <c r="K39" s="229"/>
    </row>
    <row r="40" spans="1:11" ht="30.95" customHeight="1" x14ac:dyDescent="0.2">
      <c r="A40" s="1188" t="s">
        <v>175</v>
      </c>
      <c r="B40" s="1189"/>
      <c r="C40" s="1189"/>
      <c r="D40" s="1189"/>
      <c r="E40" s="1189"/>
      <c r="F40" s="1189"/>
      <c r="G40" s="1189"/>
      <c r="H40" s="1189"/>
      <c r="I40" s="1189"/>
      <c r="J40" s="1189"/>
      <c r="K40" s="229"/>
    </row>
    <row r="41" spans="1:11" s="221" customFormat="1" ht="15.75" x14ac:dyDescent="0.25">
      <c r="E41" s="227"/>
    </row>
    <row r="42" spans="1:11" s="221" customFormat="1" ht="15.75" x14ac:dyDescent="0.25">
      <c r="E42" s="227"/>
    </row>
    <row r="43" spans="1:11" s="221" customFormat="1" ht="15.75" x14ac:dyDescent="0.25">
      <c r="E43" s="227"/>
    </row>
    <row r="44" spans="1:11" s="221" customFormat="1" ht="15.75" x14ac:dyDescent="0.25">
      <c r="E44" s="227"/>
    </row>
    <row r="45" spans="1:11" s="221" customFormat="1" ht="15.75" x14ac:dyDescent="0.25">
      <c r="E45" s="227"/>
    </row>
    <row r="46" spans="1:11" s="221" customFormat="1" ht="15.75" x14ac:dyDescent="0.25">
      <c r="E46" s="227"/>
    </row>
    <row r="47" spans="1:11" s="221" customFormat="1" ht="15.75" x14ac:dyDescent="0.25">
      <c r="E47" s="227"/>
    </row>
    <row r="48" spans="1:11" s="221" customFormat="1" ht="15.75" x14ac:dyDescent="0.25">
      <c r="E48" s="227"/>
    </row>
    <row r="49" spans="5:5" s="221" customFormat="1" ht="15.75" x14ac:dyDescent="0.25">
      <c r="E49" s="227"/>
    </row>
    <row r="50" spans="5:5" s="221" customFormat="1" ht="15.75" x14ac:dyDescent="0.25">
      <c r="E50" s="227"/>
    </row>
    <row r="51" spans="5:5" s="221" customFormat="1" ht="15.75" x14ac:dyDescent="0.25">
      <c r="E51" s="227"/>
    </row>
  </sheetData>
  <mergeCells count="17">
    <mergeCell ref="A40:J40"/>
    <mergeCell ref="B14:C14"/>
    <mergeCell ref="B15:C15"/>
    <mergeCell ref="B16:C16"/>
    <mergeCell ref="A37:J37"/>
    <mergeCell ref="A38:J38"/>
    <mergeCell ref="A39:J39"/>
    <mergeCell ref="B17:C17"/>
    <mergeCell ref="F17:I17"/>
    <mergeCell ref="G1:J1"/>
    <mergeCell ref="G2:J2"/>
    <mergeCell ref="A12:J12"/>
    <mergeCell ref="A4:J4"/>
    <mergeCell ref="A5:J5"/>
    <mergeCell ref="A6:J6"/>
    <mergeCell ref="A8:J8"/>
    <mergeCell ref="A10:J10"/>
  </mergeCells>
  <pageMargins left="1.1811023622047245" right="0.39370078740157483" top="0.78740157480314965" bottom="0.3937007874015748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35"/>
  <sheetViews>
    <sheetView zoomScaleNormal="100" zoomScaleSheetLayoutView="100" workbookViewId="0">
      <selection activeCell="O21" sqref="O21"/>
    </sheetView>
  </sheetViews>
  <sheetFormatPr defaultColWidth="9.140625" defaultRowHeight="12.75" x14ac:dyDescent="0.2"/>
  <cols>
    <col min="1" max="2" width="2.7109375" style="2" customWidth="1"/>
    <col min="3" max="3" width="2.7109375" style="964" customWidth="1"/>
    <col min="4" max="4" width="34.5703125" style="2" customWidth="1"/>
    <col min="5" max="5" width="3.28515625" style="7" customWidth="1"/>
    <col min="6" max="6" width="3" style="1001" customWidth="1"/>
    <col min="7" max="7" width="8.85546875" style="3" customWidth="1"/>
    <col min="8" max="10" width="9.85546875" style="2" customWidth="1"/>
    <col min="11" max="11" width="30.42578125" style="2" customWidth="1"/>
    <col min="12" max="13" width="5.7109375" style="2" customWidth="1"/>
    <col min="14" max="14" width="36.140625" style="2" customWidth="1"/>
    <col min="15" max="15" width="40.140625" style="2" customWidth="1"/>
    <col min="16" max="16384" width="9.140625" style="1"/>
  </cols>
  <sheetData>
    <row r="1" spans="1:50" s="31" customFormat="1" ht="15.75" customHeight="1" x14ac:dyDescent="0.2">
      <c r="A1" s="1477" t="s">
        <v>161</v>
      </c>
      <c r="B1" s="1477"/>
      <c r="C1" s="1477"/>
      <c r="D1" s="1477"/>
      <c r="E1" s="1477"/>
      <c r="F1" s="1477"/>
      <c r="G1" s="1477"/>
      <c r="H1" s="1477"/>
      <c r="I1" s="1477"/>
      <c r="J1" s="1477"/>
      <c r="K1" s="1477"/>
      <c r="L1" s="1477"/>
      <c r="M1" s="1477"/>
      <c r="N1" s="1477"/>
      <c r="O1" s="1477"/>
    </row>
    <row r="2" spans="1:50" ht="15.75" customHeight="1" x14ac:dyDescent="0.2">
      <c r="A2" s="1478" t="s">
        <v>162</v>
      </c>
      <c r="B2" s="1478"/>
      <c r="C2" s="1478"/>
      <c r="D2" s="1478"/>
      <c r="E2" s="1478"/>
      <c r="F2" s="1478"/>
      <c r="G2" s="1478"/>
      <c r="H2" s="1478"/>
      <c r="I2" s="1478"/>
      <c r="J2" s="1478"/>
      <c r="K2" s="1478"/>
      <c r="L2" s="1478"/>
      <c r="M2" s="1478"/>
      <c r="N2" s="1478"/>
      <c r="O2" s="1478"/>
    </row>
    <row r="3" spans="1:50" ht="15" customHeight="1" thickBot="1" x14ac:dyDescent="0.25">
      <c r="A3" s="14"/>
      <c r="B3" s="14"/>
      <c r="C3" s="960"/>
      <c r="D3" s="14"/>
      <c r="E3" s="15"/>
      <c r="F3" s="994"/>
      <c r="G3" s="111"/>
      <c r="H3" s="14"/>
      <c r="I3" s="14"/>
      <c r="J3" s="14"/>
      <c r="K3" s="14"/>
      <c r="L3" s="14"/>
      <c r="M3" s="14"/>
      <c r="N3" s="14"/>
      <c r="O3" s="118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row>
    <row r="4" spans="1:50" s="31" customFormat="1" ht="30" customHeight="1" x14ac:dyDescent="0.2">
      <c r="A4" s="1479" t="s">
        <v>15</v>
      </c>
      <c r="B4" s="1482" t="s">
        <v>0</v>
      </c>
      <c r="C4" s="975"/>
      <c r="D4" s="1501" t="s">
        <v>10</v>
      </c>
      <c r="E4" s="1482" t="s">
        <v>1</v>
      </c>
      <c r="F4" s="1504" t="s">
        <v>2</v>
      </c>
      <c r="G4" s="1507" t="s">
        <v>3</v>
      </c>
      <c r="H4" s="1510" t="s">
        <v>803</v>
      </c>
      <c r="I4" s="1511"/>
      <c r="J4" s="1512"/>
      <c r="K4" s="1485" t="s">
        <v>156</v>
      </c>
      <c r="L4" s="1486"/>
      <c r="M4" s="1486"/>
      <c r="N4" s="1487" t="s">
        <v>157</v>
      </c>
      <c r="O4" s="1490" t="s">
        <v>158</v>
      </c>
    </row>
    <row r="5" spans="1:50" s="31" customFormat="1" ht="33.75" customHeight="1" x14ac:dyDescent="0.2">
      <c r="A5" s="1480"/>
      <c r="B5" s="1483"/>
      <c r="C5" s="976"/>
      <c r="D5" s="1502"/>
      <c r="E5" s="1483"/>
      <c r="F5" s="1505"/>
      <c r="G5" s="1508"/>
      <c r="H5" s="1493" t="s">
        <v>247</v>
      </c>
      <c r="I5" s="1495" t="s">
        <v>248</v>
      </c>
      <c r="J5" s="1495" t="s">
        <v>249</v>
      </c>
      <c r="K5" s="1497" t="s">
        <v>159</v>
      </c>
      <c r="L5" s="1499" t="s">
        <v>257</v>
      </c>
      <c r="M5" s="1499" t="s">
        <v>160</v>
      </c>
      <c r="N5" s="1488"/>
      <c r="O5" s="1491"/>
    </row>
    <row r="6" spans="1:50" s="31" customFormat="1" ht="48" customHeight="1" thickBot="1" x14ac:dyDescent="0.25">
      <c r="A6" s="1481"/>
      <c r="B6" s="1484"/>
      <c r="C6" s="977"/>
      <c r="D6" s="1503"/>
      <c r="E6" s="1484"/>
      <c r="F6" s="1506"/>
      <c r="G6" s="1509"/>
      <c r="H6" s="1494"/>
      <c r="I6" s="1496"/>
      <c r="J6" s="1496"/>
      <c r="K6" s="1498"/>
      <c r="L6" s="1500"/>
      <c r="M6" s="1500"/>
      <c r="N6" s="1489"/>
      <c r="O6" s="1492"/>
    </row>
    <row r="7" spans="1:50" s="9" customFormat="1" ht="14.25" customHeight="1" x14ac:dyDescent="0.2">
      <c r="A7" s="1297" t="s">
        <v>52</v>
      </c>
      <c r="B7" s="1298"/>
      <c r="C7" s="1298"/>
      <c r="D7" s="1298"/>
      <c r="E7" s="1298"/>
      <c r="F7" s="1298"/>
      <c r="G7" s="1298"/>
      <c r="H7" s="1298"/>
      <c r="I7" s="1298"/>
      <c r="J7" s="1298"/>
      <c r="K7" s="1298"/>
      <c r="L7" s="1298"/>
      <c r="M7" s="1298"/>
      <c r="N7" s="1298"/>
      <c r="O7" s="1299"/>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row>
    <row r="8" spans="1:50" s="9" customFormat="1" ht="14.25" customHeight="1" x14ac:dyDescent="0.2">
      <c r="A8" s="1300" t="s">
        <v>23</v>
      </c>
      <c r="B8" s="1301"/>
      <c r="C8" s="1301"/>
      <c r="D8" s="1301"/>
      <c r="E8" s="1301"/>
      <c r="F8" s="1301"/>
      <c r="G8" s="1301"/>
      <c r="H8" s="1301"/>
      <c r="I8" s="1301"/>
      <c r="J8" s="1301"/>
      <c r="K8" s="1301"/>
      <c r="L8" s="1301"/>
      <c r="M8" s="1301"/>
      <c r="N8" s="1301"/>
      <c r="O8" s="1302"/>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row>
    <row r="9" spans="1:50" ht="36.75" customHeight="1" x14ac:dyDescent="0.2">
      <c r="A9" s="1132" t="s">
        <v>4</v>
      </c>
      <c r="B9" s="230" t="s">
        <v>26</v>
      </c>
      <c r="C9" s="966"/>
      <c r="D9" s="327"/>
      <c r="E9" s="327"/>
      <c r="F9" s="995"/>
      <c r="G9" s="327"/>
      <c r="H9" s="1303" t="s">
        <v>183</v>
      </c>
      <c r="I9" s="1304"/>
      <c r="J9" s="1305"/>
      <c r="K9" s="246" t="s">
        <v>253</v>
      </c>
      <c r="L9" s="1052">
        <v>85</v>
      </c>
      <c r="M9" s="1053">
        <v>84</v>
      </c>
      <c r="N9" s="1051" t="s">
        <v>777</v>
      </c>
      <c r="O9" s="231"/>
    </row>
    <row r="10" spans="1:50" ht="26.25" customHeight="1" x14ac:dyDescent="0.2">
      <c r="A10" s="1132"/>
      <c r="B10" s="1306"/>
      <c r="C10" s="1307"/>
      <c r="D10" s="1308"/>
      <c r="E10" s="1308"/>
      <c r="F10" s="1308"/>
      <c r="G10" s="1308"/>
      <c r="H10" s="1303" t="s">
        <v>183</v>
      </c>
      <c r="I10" s="1304"/>
      <c r="J10" s="1305"/>
      <c r="K10" s="246" t="s">
        <v>176</v>
      </c>
      <c r="L10" s="1052">
        <v>3.05</v>
      </c>
      <c r="M10" s="1052">
        <v>3</v>
      </c>
      <c r="N10" s="1055"/>
      <c r="O10" s="231"/>
    </row>
    <row r="11" spans="1:50" ht="39" customHeight="1" x14ac:dyDescent="0.2">
      <c r="A11" s="1132"/>
      <c r="B11" s="232"/>
      <c r="C11" s="967"/>
      <c r="D11" s="327"/>
      <c r="E11" s="327"/>
      <c r="F11" s="995"/>
      <c r="G11" s="327"/>
      <c r="H11" s="1303" t="s">
        <v>136</v>
      </c>
      <c r="I11" s="1304"/>
      <c r="J11" s="1305"/>
      <c r="K11" s="246" t="s">
        <v>254</v>
      </c>
      <c r="L11" s="1052">
        <v>67</v>
      </c>
      <c r="M11" s="1054">
        <v>63</v>
      </c>
      <c r="N11" s="233"/>
      <c r="O11" s="234"/>
    </row>
    <row r="12" spans="1:50" ht="25.5" customHeight="1" x14ac:dyDescent="0.2">
      <c r="A12" s="235"/>
      <c r="B12" s="236"/>
      <c r="C12" s="968"/>
      <c r="D12" s="328"/>
      <c r="E12" s="328"/>
      <c r="F12" s="996"/>
      <c r="G12" s="328"/>
      <c r="H12" s="1303" t="s">
        <v>136</v>
      </c>
      <c r="I12" s="1304"/>
      <c r="J12" s="1305"/>
      <c r="K12" s="246" t="s">
        <v>177</v>
      </c>
      <c r="L12" s="1052">
        <v>122</v>
      </c>
      <c r="M12" s="1054">
        <v>122</v>
      </c>
      <c r="N12" s="237"/>
      <c r="O12" s="238"/>
    </row>
    <row r="13" spans="1:50" ht="15" customHeight="1" x14ac:dyDescent="0.2">
      <c r="A13" s="110" t="s">
        <v>4</v>
      </c>
      <c r="B13" s="12" t="s">
        <v>4</v>
      </c>
      <c r="C13" s="1260" t="s">
        <v>27</v>
      </c>
      <c r="D13" s="1261"/>
      <c r="E13" s="1261"/>
      <c r="F13" s="1261"/>
      <c r="G13" s="1261"/>
      <c r="H13" s="1261"/>
      <c r="I13" s="1261"/>
      <c r="J13" s="1261"/>
      <c r="K13" s="1261"/>
      <c r="L13" s="1261"/>
      <c r="M13" s="1261"/>
      <c r="N13" s="1261"/>
      <c r="O13" s="1262"/>
    </row>
    <row r="14" spans="1:50" ht="18" customHeight="1" x14ac:dyDescent="0.2">
      <c r="A14" s="1132" t="s">
        <v>4</v>
      </c>
      <c r="B14" s="1133" t="s">
        <v>4</v>
      </c>
      <c r="C14" s="1128" t="s">
        <v>4</v>
      </c>
      <c r="D14" s="261" t="s">
        <v>186</v>
      </c>
      <c r="E14" s="374" t="s">
        <v>41</v>
      </c>
      <c r="F14" s="1110" t="s">
        <v>37</v>
      </c>
      <c r="G14" s="28"/>
      <c r="H14" s="375"/>
      <c r="I14" s="375"/>
      <c r="J14" s="376"/>
      <c r="K14" s="377"/>
      <c r="L14" s="11"/>
      <c r="M14" s="200"/>
      <c r="N14" s="317"/>
      <c r="O14" s="203"/>
    </row>
    <row r="15" spans="1:50" ht="14.1" customHeight="1" x14ac:dyDescent="0.2">
      <c r="A15" s="1315"/>
      <c r="B15" s="1326"/>
      <c r="C15" s="965" t="s">
        <v>4</v>
      </c>
      <c r="D15" s="1317" t="s">
        <v>187</v>
      </c>
      <c r="E15" s="1322"/>
      <c r="F15" s="1313"/>
      <c r="G15" s="52" t="s">
        <v>73</v>
      </c>
      <c r="H15" s="115">
        <v>755.4</v>
      </c>
      <c r="I15" s="115">
        <v>250</v>
      </c>
      <c r="J15" s="66">
        <v>142.80000000000001</v>
      </c>
      <c r="K15" s="1288"/>
      <c r="L15" s="1072"/>
      <c r="M15" s="1072"/>
      <c r="N15" s="1072"/>
      <c r="O15" s="1074"/>
    </row>
    <row r="16" spans="1:50" ht="14.1" customHeight="1" x14ac:dyDescent="0.2">
      <c r="A16" s="1315"/>
      <c r="B16" s="1326"/>
      <c r="C16" s="969"/>
      <c r="D16" s="1327"/>
      <c r="E16" s="1322"/>
      <c r="F16" s="1313"/>
      <c r="G16" s="49" t="s">
        <v>22</v>
      </c>
      <c r="H16" s="41">
        <v>875.5</v>
      </c>
      <c r="I16" s="41">
        <v>875.5</v>
      </c>
      <c r="J16" s="135">
        <v>0</v>
      </c>
      <c r="K16" s="1320"/>
      <c r="L16" s="1075"/>
      <c r="M16" s="1075"/>
      <c r="N16" s="1075"/>
      <c r="O16" s="1076"/>
    </row>
    <row r="17" spans="1:20" ht="14.1" customHeight="1" x14ac:dyDescent="0.2">
      <c r="A17" s="1315"/>
      <c r="B17" s="1326"/>
      <c r="C17" s="969"/>
      <c r="D17" s="1327"/>
      <c r="E17" s="1322"/>
      <c r="F17" s="1313"/>
      <c r="G17" s="49" t="s">
        <v>154</v>
      </c>
      <c r="H17" s="40">
        <v>1482.2</v>
      </c>
      <c r="I17" s="40">
        <v>250.2</v>
      </c>
      <c r="J17" s="59">
        <v>171.1</v>
      </c>
      <c r="K17" s="1159"/>
      <c r="L17" s="1075"/>
      <c r="M17" s="1075"/>
      <c r="N17" s="1075"/>
      <c r="O17" s="1076"/>
    </row>
    <row r="18" spans="1:20" ht="14.1" customHeight="1" x14ac:dyDescent="0.2">
      <c r="A18" s="1315"/>
      <c r="B18" s="1326"/>
      <c r="C18" s="969"/>
      <c r="D18" s="1163"/>
      <c r="E18" s="1322"/>
      <c r="F18" s="1313"/>
      <c r="G18" s="49" t="s">
        <v>42</v>
      </c>
      <c r="H18" s="40">
        <v>200</v>
      </c>
      <c r="I18" s="40">
        <v>200</v>
      </c>
      <c r="J18" s="59">
        <v>67.5</v>
      </c>
      <c r="K18" s="1159"/>
      <c r="L18" s="1075"/>
      <c r="M18" s="1075"/>
      <c r="N18" s="1075"/>
      <c r="O18" s="1076"/>
    </row>
    <row r="19" spans="1:20" ht="14.1" customHeight="1" x14ac:dyDescent="0.2">
      <c r="A19" s="1315"/>
      <c r="B19" s="1326"/>
      <c r="C19" s="969"/>
      <c r="D19" s="1163"/>
      <c r="E19" s="1322"/>
      <c r="F19" s="1313"/>
      <c r="G19" s="49" t="s">
        <v>39</v>
      </c>
      <c r="H19" s="40">
        <v>104.9</v>
      </c>
      <c r="I19" s="40">
        <v>104.9</v>
      </c>
      <c r="J19" s="59">
        <v>0</v>
      </c>
      <c r="K19" s="1159"/>
      <c r="L19" s="1075"/>
      <c r="M19" s="1075"/>
      <c r="N19" s="1075"/>
      <c r="O19" s="1076"/>
    </row>
    <row r="20" spans="1:20" ht="14.1" customHeight="1" x14ac:dyDescent="0.2">
      <c r="A20" s="1315"/>
      <c r="B20" s="1326"/>
      <c r="C20" s="969"/>
      <c r="D20" s="1163"/>
      <c r="E20" s="1322"/>
      <c r="F20" s="1313"/>
      <c r="G20" s="49" t="s">
        <v>51</v>
      </c>
      <c r="H20" s="40">
        <v>186.9</v>
      </c>
      <c r="I20" s="40">
        <v>186.9</v>
      </c>
      <c r="J20" s="59">
        <v>14.9</v>
      </c>
      <c r="K20" s="1159"/>
      <c r="L20" s="1075"/>
      <c r="M20" s="1075"/>
      <c r="N20" s="1075"/>
      <c r="O20" s="1076"/>
    </row>
    <row r="21" spans="1:20" ht="83.25" customHeight="1" x14ac:dyDescent="0.2">
      <c r="A21" s="1315"/>
      <c r="B21" s="1326"/>
      <c r="C21" s="969"/>
      <c r="D21" s="941" t="s">
        <v>107</v>
      </c>
      <c r="E21" s="1322"/>
      <c r="F21" s="1313"/>
      <c r="G21" s="71"/>
      <c r="H21" s="37"/>
      <c r="I21" s="37"/>
      <c r="J21" s="89"/>
      <c r="K21" s="938" t="s">
        <v>127</v>
      </c>
      <c r="L21" s="939">
        <v>67</v>
      </c>
      <c r="M21" s="939">
        <v>20</v>
      </c>
      <c r="N21" s="942" t="s">
        <v>746</v>
      </c>
      <c r="O21" s="940" t="s">
        <v>735</v>
      </c>
    </row>
    <row r="22" spans="1:20" ht="38.25" customHeight="1" x14ac:dyDescent="0.2">
      <c r="A22" s="1315"/>
      <c r="B22" s="1326"/>
      <c r="C22" s="970"/>
      <c r="D22" s="1102" t="s">
        <v>91</v>
      </c>
      <c r="E22" s="1322"/>
      <c r="F22" s="1294"/>
      <c r="G22" s="208"/>
      <c r="H22" s="39"/>
      <c r="I22" s="39"/>
      <c r="J22" s="79"/>
      <c r="K22" s="1103" t="s">
        <v>128</v>
      </c>
      <c r="L22" s="1078">
        <v>10</v>
      </c>
      <c r="M22" s="1104">
        <v>10</v>
      </c>
      <c r="N22" s="1078"/>
      <c r="O22" s="1105"/>
    </row>
    <row r="23" spans="1:20" ht="15" customHeight="1" x14ac:dyDescent="0.2">
      <c r="A23" s="1119"/>
      <c r="B23" s="1149"/>
      <c r="C23" s="1124" t="s">
        <v>6</v>
      </c>
      <c r="D23" s="1295" t="s">
        <v>50</v>
      </c>
      <c r="E23" s="1322"/>
      <c r="F23" s="1323"/>
      <c r="G23" s="34" t="s">
        <v>42</v>
      </c>
      <c r="H23" s="34">
        <v>1300</v>
      </c>
      <c r="I23" s="34">
        <v>1300</v>
      </c>
      <c r="J23" s="66">
        <v>1275.7</v>
      </c>
      <c r="K23" s="1324" t="s">
        <v>778</v>
      </c>
      <c r="L23" s="360">
        <v>100</v>
      </c>
      <c r="M23" s="358">
        <v>100</v>
      </c>
      <c r="N23" s="360"/>
      <c r="O23" s="1025"/>
    </row>
    <row r="24" spans="1:20" ht="27" customHeight="1" x14ac:dyDescent="0.2">
      <c r="A24" s="1119"/>
      <c r="B24" s="1149"/>
      <c r="C24" s="1124"/>
      <c r="D24" s="1321"/>
      <c r="E24" s="1322"/>
      <c r="F24" s="1323"/>
      <c r="G24" s="39" t="s">
        <v>73</v>
      </c>
      <c r="H24" s="39">
        <v>54.3</v>
      </c>
      <c r="I24" s="39"/>
      <c r="J24" s="79"/>
      <c r="K24" s="1325"/>
      <c r="L24" s="30"/>
      <c r="M24" s="255"/>
      <c r="N24" s="361"/>
      <c r="O24" s="1152"/>
    </row>
    <row r="25" spans="1:20" ht="14.25" customHeight="1" x14ac:dyDescent="0.2">
      <c r="A25" s="1119"/>
      <c r="B25" s="1149"/>
      <c r="C25" s="1121" t="s">
        <v>24</v>
      </c>
      <c r="D25" s="1295" t="s">
        <v>763</v>
      </c>
      <c r="E25" s="239"/>
      <c r="F25" s="1110"/>
      <c r="G25" s="40" t="s">
        <v>73</v>
      </c>
      <c r="H25" s="40">
        <v>845.7</v>
      </c>
      <c r="I25" s="40">
        <v>905.3</v>
      </c>
      <c r="J25" s="59">
        <v>904.8</v>
      </c>
      <c r="K25" s="1273" t="s">
        <v>779</v>
      </c>
      <c r="L25" s="141">
        <v>100</v>
      </c>
      <c r="M25" s="212">
        <v>100</v>
      </c>
      <c r="N25" s="141"/>
      <c r="O25" s="133"/>
    </row>
    <row r="26" spans="1:20" ht="16.5" customHeight="1" x14ac:dyDescent="0.2">
      <c r="A26" s="1119"/>
      <c r="B26" s="1149"/>
      <c r="C26" s="1122"/>
      <c r="D26" s="1321"/>
      <c r="E26" s="1172"/>
      <c r="F26" s="1110"/>
      <c r="G26" s="944" t="s">
        <v>22</v>
      </c>
      <c r="H26" s="40">
        <v>472.5</v>
      </c>
      <c r="I26" s="40">
        <v>74</v>
      </c>
      <c r="J26" s="59">
        <v>37.5</v>
      </c>
      <c r="K26" s="1274"/>
      <c r="L26" s="80"/>
      <c r="M26" s="356"/>
      <c r="N26" s="80"/>
      <c r="O26" s="20"/>
    </row>
    <row r="27" spans="1:20" ht="15.75" customHeight="1" x14ac:dyDescent="0.2">
      <c r="A27" s="1315"/>
      <c r="B27" s="1310"/>
      <c r="C27" s="1316" t="s">
        <v>29</v>
      </c>
      <c r="D27" s="1317" t="s">
        <v>140</v>
      </c>
      <c r="E27" s="1148"/>
      <c r="F27" s="1294"/>
      <c r="G27" s="34" t="s">
        <v>22</v>
      </c>
      <c r="H27" s="34">
        <v>814.8</v>
      </c>
      <c r="I27" s="34">
        <f>226.3+688.5</f>
        <v>914.8</v>
      </c>
      <c r="J27" s="66">
        <f>18.9+476.7</f>
        <v>495.6</v>
      </c>
      <c r="K27" s="1288" t="s">
        <v>117</v>
      </c>
      <c r="L27" s="1072">
        <v>100</v>
      </c>
      <c r="M27" s="1101">
        <v>75</v>
      </c>
      <c r="N27" s="1246" t="s">
        <v>761</v>
      </c>
      <c r="O27" s="1208" t="s">
        <v>780</v>
      </c>
    </row>
    <row r="28" spans="1:20" ht="15" customHeight="1" x14ac:dyDescent="0.2">
      <c r="A28" s="1315"/>
      <c r="B28" s="1310"/>
      <c r="C28" s="1316"/>
      <c r="D28" s="1318"/>
      <c r="E28" s="1148"/>
      <c r="F28" s="1294"/>
      <c r="G28" s="40" t="s">
        <v>73</v>
      </c>
      <c r="H28" s="40">
        <v>1100</v>
      </c>
      <c r="I28" s="40">
        <v>878.8</v>
      </c>
      <c r="J28" s="59">
        <v>878.8</v>
      </c>
      <c r="K28" s="1289"/>
      <c r="L28" s="1075"/>
      <c r="M28" s="1058"/>
      <c r="N28" s="1247"/>
      <c r="O28" s="1209"/>
    </row>
    <row r="29" spans="1:20" ht="15" customHeight="1" x14ac:dyDescent="0.2">
      <c r="A29" s="1315"/>
      <c r="B29" s="1310"/>
      <c r="C29" s="1316"/>
      <c r="D29" s="1318"/>
      <c r="E29" s="1148"/>
      <c r="F29" s="1294"/>
      <c r="G29" s="40" t="s">
        <v>42</v>
      </c>
      <c r="H29" s="40">
        <v>162.4</v>
      </c>
      <c r="I29" s="40">
        <v>162.4</v>
      </c>
      <c r="J29" s="59">
        <v>162.4</v>
      </c>
      <c r="K29" s="1129"/>
      <c r="L29" s="1075"/>
      <c r="M29" s="1058"/>
      <c r="N29" s="1247"/>
      <c r="O29" s="1209"/>
    </row>
    <row r="30" spans="1:20" ht="15" customHeight="1" x14ac:dyDescent="0.2">
      <c r="A30" s="1315"/>
      <c r="B30" s="1310"/>
      <c r="C30" s="1316"/>
      <c r="D30" s="1318"/>
      <c r="E30" s="1148"/>
      <c r="F30" s="1294"/>
      <c r="G30" s="40" t="s">
        <v>72</v>
      </c>
      <c r="H30" s="40">
        <v>151.9</v>
      </c>
      <c r="I30" s="40">
        <v>151.9</v>
      </c>
      <c r="J30" s="59">
        <v>151.9</v>
      </c>
      <c r="K30" s="1129"/>
      <c r="L30" s="1075"/>
      <c r="M30" s="1058"/>
      <c r="N30" s="1247"/>
      <c r="O30" s="1209"/>
      <c r="P30" s="1071"/>
    </row>
    <row r="31" spans="1:20" ht="42.75" customHeight="1" x14ac:dyDescent="0.2">
      <c r="A31" s="1315"/>
      <c r="B31" s="1310"/>
      <c r="C31" s="1316"/>
      <c r="D31" s="1319"/>
      <c r="E31" s="263"/>
      <c r="F31" s="1294"/>
      <c r="G31" s="36" t="s">
        <v>51</v>
      </c>
      <c r="H31" s="39">
        <v>100</v>
      </c>
      <c r="I31" s="39">
        <v>100</v>
      </c>
      <c r="J31" s="79">
        <v>100</v>
      </c>
      <c r="K31" s="1099"/>
      <c r="L31" s="1100"/>
      <c r="M31" s="1100"/>
      <c r="N31" s="1248"/>
      <c r="O31" s="1259"/>
    </row>
    <row r="32" spans="1:20" ht="16.5" customHeight="1" x14ac:dyDescent="0.2">
      <c r="A32" s="1309"/>
      <c r="B32" s="1310"/>
      <c r="C32" s="1316" t="s">
        <v>628</v>
      </c>
      <c r="D32" s="1292" t="s">
        <v>138</v>
      </c>
      <c r="E32" s="1148"/>
      <c r="F32" s="1294"/>
      <c r="G32" s="34" t="s">
        <v>73</v>
      </c>
      <c r="H32" s="34">
        <v>200</v>
      </c>
      <c r="I32" s="34">
        <v>200</v>
      </c>
      <c r="J32" s="66">
        <v>0</v>
      </c>
      <c r="K32" s="1250" t="s">
        <v>126</v>
      </c>
      <c r="L32" s="1067">
        <v>100</v>
      </c>
      <c r="M32" s="1068">
        <v>100</v>
      </c>
      <c r="N32" s="1275"/>
      <c r="O32" s="1278" t="s">
        <v>748</v>
      </c>
      <c r="S32" s="31"/>
      <c r="T32" s="31"/>
    </row>
    <row r="33" spans="1:16" ht="36.75" customHeight="1" x14ac:dyDescent="0.2">
      <c r="A33" s="1309"/>
      <c r="B33" s="1310"/>
      <c r="C33" s="1316"/>
      <c r="D33" s="1292"/>
      <c r="E33" s="1148"/>
      <c r="F33" s="1294"/>
      <c r="G33" s="40" t="s">
        <v>22</v>
      </c>
      <c r="H33" s="40">
        <f>500-143.4</f>
        <v>356.6</v>
      </c>
      <c r="I33" s="40">
        <v>356.6</v>
      </c>
      <c r="J33" s="59">
        <v>323.89999999999998</v>
      </c>
      <c r="K33" s="1263"/>
      <c r="L33" s="141"/>
      <c r="M33" s="212"/>
      <c r="N33" s="1202"/>
      <c r="O33" s="1279"/>
      <c r="P33" s="1071"/>
    </row>
    <row r="34" spans="1:16" ht="105.75" customHeight="1" x14ac:dyDescent="0.2">
      <c r="A34" s="1309"/>
      <c r="B34" s="1310"/>
      <c r="C34" s="1316"/>
      <c r="D34" s="1292"/>
      <c r="E34" s="1148"/>
      <c r="F34" s="1294"/>
      <c r="G34" s="364"/>
      <c r="H34" s="40"/>
      <c r="I34" s="40"/>
      <c r="J34" s="51"/>
      <c r="K34" s="1095" t="s">
        <v>109</v>
      </c>
      <c r="L34" s="1069" t="s">
        <v>46</v>
      </c>
      <c r="M34" s="1069">
        <v>0</v>
      </c>
      <c r="N34" s="1070" t="s">
        <v>761</v>
      </c>
      <c r="O34" s="1181" t="s">
        <v>781</v>
      </c>
    </row>
    <row r="35" spans="1:16" ht="17.25" customHeight="1" x14ac:dyDescent="0.2">
      <c r="A35" s="1119"/>
      <c r="B35" s="1149"/>
      <c r="C35" s="1121" t="s">
        <v>30</v>
      </c>
      <c r="D35" s="1264" t="s">
        <v>94</v>
      </c>
      <c r="E35" s="1266" t="s">
        <v>188</v>
      </c>
      <c r="F35" s="1110"/>
      <c r="G35" s="115" t="s">
        <v>22</v>
      </c>
      <c r="H35" s="34"/>
      <c r="I35" s="34">
        <v>105</v>
      </c>
      <c r="J35" s="49">
        <v>54.7</v>
      </c>
      <c r="K35" s="1096" t="s">
        <v>40</v>
      </c>
      <c r="L35" s="1056" t="s">
        <v>46</v>
      </c>
      <c r="M35" s="1057" t="s">
        <v>721</v>
      </c>
      <c r="N35" s="1276" t="s">
        <v>747</v>
      </c>
      <c r="O35" s="1283" t="s">
        <v>720</v>
      </c>
    </row>
    <row r="36" spans="1:16" ht="33.75" customHeight="1" x14ac:dyDescent="0.2">
      <c r="A36" s="1119"/>
      <c r="B36" s="1149"/>
      <c r="C36" s="1124"/>
      <c r="D36" s="1265"/>
      <c r="E36" s="1267"/>
      <c r="F36" s="1110"/>
      <c r="G36" s="41" t="s">
        <v>73</v>
      </c>
      <c r="H36" s="40">
        <v>243.1</v>
      </c>
      <c r="I36" s="40">
        <v>221.2</v>
      </c>
      <c r="J36" s="49">
        <v>221.2</v>
      </c>
      <c r="K36" s="1097"/>
      <c r="L36" s="1098"/>
      <c r="M36" s="1079"/>
      <c r="N36" s="1277"/>
      <c r="O36" s="1284"/>
    </row>
    <row r="37" spans="1:16" ht="45.75" customHeight="1" x14ac:dyDescent="0.2">
      <c r="A37" s="1132"/>
      <c r="B37" s="1133"/>
      <c r="C37" s="1268" t="s">
        <v>635</v>
      </c>
      <c r="D37" s="1270" t="s">
        <v>152</v>
      </c>
      <c r="E37" s="266" t="s">
        <v>41</v>
      </c>
      <c r="F37" s="1128"/>
      <c r="G37" s="34" t="s">
        <v>22</v>
      </c>
      <c r="H37" s="34">
        <v>100</v>
      </c>
      <c r="I37" s="34">
        <v>100</v>
      </c>
      <c r="J37" s="34">
        <v>40.799999999999997</v>
      </c>
      <c r="K37" s="1272" t="s">
        <v>782</v>
      </c>
      <c r="L37" s="1121" t="s">
        <v>255</v>
      </c>
      <c r="M37" s="245" t="s">
        <v>255</v>
      </c>
      <c r="N37" s="1213" t="s">
        <v>783</v>
      </c>
      <c r="O37" s="146"/>
    </row>
    <row r="38" spans="1:16" ht="90" customHeight="1" x14ac:dyDescent="0.2">
      <c r="A38" s="1132"/>
      <c r="B38" s="1133"/>
      <c r="C38" s="1269"/>
      <c r="D38" s="1271"/>
      <c r="E38" s="1131" t="s">
        <v>182</v>
      </c>
      <c r="F38" s="1110"/>
      <c r="G38" s="40"/>
      <c r="H38" s="40"/>
      <c r="I38" s="40"/>
      <c r="J38" s="40"/>
      <c r="K38" s="1218"/>
      <c r="L38" s="1124"/>
      <c r="M38" s="159"/>
      <c r="N38" s="1280"/>
      <c r="O38" s="137"/>
    </row>
    <row r="39" spans="1:16" ht="55.5" customHeight="1" x14ac:dyDescent="0.2">
      <c r="A39" s="1315"/>
      <c r="B39" s="1326"/>
      <c r="C39" s="978" t="s">
        <v>638</v>
      </c>
      <c r="D39" s="1285" t="s">
        <v>190</v>
      </c>
      <c r="E39" s="1286" t="s">
        <v>81</v>
      </c>
      <c r="F39" s="1313"/>
      <c r="G39" s="126" t="s">
        <v>72</v>
      </c>
      <c r="H39" s="115">
        <v>328.7</v>
      </c>
      <c r="I39" s="115">
        <v>328.7</v>
      </c>
      <c r="J39" s="66">
        <v>0</v>
      </c>
      <c r="K39" s="948" t="s">
        <v>155</v>
      </c>
      <c r="L39" s="949">
        <v>1</v>
      </c>
      <c r="M39" s="950" t="s">
        <v>255</v>
      </c>
      <c r="N39" s="951" t="s">
        <v>745</v>
      </c>
      <c r="O39" s="952" t="s">
        <v>749</v>
      </c>
    </row>
    <row r="40" spans="1:16" ht="42.75" customHeight="1" x14ac:dyDescent="0.2">
      <c r="A40" s="1315"/>
      <c r="B40" s="1326"/>
      <c r="C40" s="979"/>
      <c r="D40" s="1276"/>
      <c r="E40" s="1287"/>
      <c r="F40" s="1313"/>
      <c r="G40" s="29"/>
      <c r="H40" s="41"/>
      <c r="I40" s="41"/>
      <c r="J40" s="59"/>
      <c r="K40" s="945" t="s">
        <v>101</v>
      </c>
      <c r="L40" s="946">
        <v>2</v>
      </c>
      <c r="M40" s="947" t="s">
        <v>255</v>
      </c>
      <c r="N40" s="1066" t="s">
        <v>750</v>
      </c>
      <c r="O40" s="1059" t="s">
        <v>751</v>
      </c>
    </row>
    <row r="41" spans="1:16" ht="13.5" customHeight="1" x14ac:dyDescent="0.2">
      <c r="A41" s="1119"/>
      <c r="B41" s="1120"/>
      <c r="C41" s="978" t="s">
        <v>640</v>
      </c>
      <c r="D41" s="1291" t="s">
        <v>250</v>
      </c>
      <c r="E41" s="1286" t="s">
        <v>81</v>
      </c>
      <c r="F41" s="385"/>
      <c r="G41" s="52" t="s">
        <v>51</v>
      </c>
      <c r="H41" s="34">
        <v>1.5</v>
      </c>
      <c r="I41" s="34">
        <v>1.5</v>
      </c>
      <c r="J41" s="66">
        <v>1.5</v>
      </c>
      <c r="K41" s="1250" t="s">
        <v>191</v>
      </c>
      <c r="L41" s="360">
        <v>1</v>
      </c>
      <c r="M41" s="360">
        <v>1</v>
      </c>
      <c r="N41" s="211"/>
      <c r="O41" s="257"/>
    </row>
    <row r="42" spans="1:16" ht="30" customHeight="1" x14ac:dyDescent="0.2">
      <c r="A42" s="1119"/>
      <c r="B42" s="1120"/>
      <c r="C42" s="979"/>
      <c r="D42" s="1292"/>
      <c r="E42" s="1314"/>
      <c r="F42" s="385"/>
      <c r="G42" s="51"/>
      <c r="H42" s="39"/>
      <c r="I42" s="39"/>
      <c r="J42" s="79"/>
      <c r="K42" s="1274"/>
      <c r="L42" s="30"/>
      <c r="M42" s="30"/>
      <c r="N42" s="356"/>
      <c r="O42" s="133"/>
    </row>
    <row r="43" spans="1:16" ht="18" customHeight="1" x14ac:dyDescent="0.2">
      <c r="A43" s="1119"/>
      <c r="B43" s="1149"/>
      <c r="C43" s="1121" t="s">
        <v>642</v>
      </c>
      <c r="D43" s="1291" t="s">
        <v>142</v>
      </c>
      <c r="E43" s="239"/>
      <c r="F43" s="1110"/>
      <c r="G43" s="49" t="s">
        <v>22</v>
      </c>
      <c r="H43" s="40">
        <v>43.3</v>
      </c>
      <c r="I43" s="40">
        <v>143.30000000000001</v>
      </c>
      <c r="J43" s="59">
        <v>105.3</v>
      </c>
      <c r="K43" s="1273" t="s">
        <v>145</v>
      </c>
      <c r="L43" s="212">
        <v>10</v>
      </c>
      <c r="M43" s="184">
        <v>10</v>
      </c>
      <c r="N43" s="1281" t="s">
        <v>722</v>
      </c>
      <c r="O43" s="953"/>
    </row>
    <row r="44" spans="1:16" ht="20.25" customHeight="1" x14ac:dyDescent="0.2">
      <c r="A44" s="1119"/>
      <c r="B44" s="1149"/>
      <c r="C44" s="1124"/>
      <c r="D44" s="1312"/>
      <c r="E44" s="193"/>
      <c r="F44" s="1110"/>
      <c r="G44" s="39" t="s">
        <v>73</v>
      </c>
      <c r="H44" s="39"/>
      <c r="I44" s="39">
        <v>462.8</v>
      </c>
      <c r="J44" s="79">
        <v>323.5</v>
      </c>
      <c r="K44" s="1274"/>
      <c r="L44" s="356"/>
      <c r="M44" s="183"/>
      <c r="N44" s="1282"/>
      <c r="O44" s="20"/>
    </row>
    <row r="45" spans="1:16" ht="18.75" customHeight="1" x14ac:dyDescent="0.2">
      <c r="A45" s="1309"/>
      <c r="B45" s="1310"/>
      <c r="C45" s="965" t="s">
        <v>644</v>
      </c>
      <c r="D45" s="1291" t="s">
        <v>49</v>
      </c>
      <c r="E45" s="1169"/>
      <c r="F45" s="1294"/>
      <c r="G45" s="52" t="s">
        <v>22</v>
      </c>
      <c r="H45" s="34">
        <v>50</v>
      </c>
      <c r="I45" s="34">
        <v>50</v>
      </c>
      <c r="J45" s="66">
        <v>3.2</v>
      </c>
      <c r="K45" s="1197" t="s">
        <v>105</v>
      </c>
      <c r="L45" s="211">
        <v>5</v>
      </c>
      <c r="M45" s="182">
        <v>5</v>
      </c>
      <c r="N45" s="1201" t="s">
        <v>752</v>
      </c>
      <c r="O45" s="257"/>
    </row>
    <row r="46" spans="1:16" ht="12" customHeight="1" x14ac:dyDescent="0.2">
      <c r="A46" s="1309"/>
      <c r="B46" s="1310"/>
      <c r="C46" s="969"/>
      <c r="D46" s="1292"/>
      <c r="E46" s="1169"/>
      <c r="F46" s="1294"/>
      <c r="G46" s="49"/>
      <c r="H46" s="40"/>
      <c r="I46" s="40"/>
      <c r="J46" s="59"/>
      <c r="K46" s="1263"/>
      <c r="L46" s="212"/>
      <c r="M46" s="184"/>
      <c r="N46" s="1202"/>
      <c r="O46" s="133"/>
    </row>
    <row r="47" spans="1:16" ht="50.25" customHeight="1" x14ac:dyDescent="0.2">
      <c r="A47" s="1309"/>
      <c r="B47" s="1310"/>
      <c r="C47" s="969"/>
      <c r="D47" s="1311"/>
      <c r="E47" s="1169"/>
      <c r="F47" s="1294"/>
      <c r="G47" s="67"/>
      <c r="H47" s="39"/>
      <c r="I47" s="39"/>
      <c r="J47" s="79"/>
      <c r="K47" s="112"/>
      <c r="L47" s="356"/>
      <c r="M47" s="183"/>
      <c r="N47" s="1202"/>
      <c r="O47" s="133"/>
    </row>
    <row r="48" spans="1:16" ht="15" customHeight="1" x14ac:dyDescent="0.2">
      <c r="A48" s="1119"/>
      <c r="B48" s="1149"/>
      <c r="C48" s="1121" t="s">
        <v>645</v>
      </c>
      <c r="D48" s="1295" t="s">
        <v>192</v>
      </c>
      <c r="E48" s="353" t="s">
        <v>41</v>
      </c>
      <c r="F48" s="1294"/>
      <c r="G48" s="49" t="s">
        <v>51</v>
      </c>
      <c r="H48" s="40">
        <v>11.8</v>
      </c>
      <c r="I48" s="40">
        <v>11.8</v>
      </c>
      <c r="J48" s="59">
        <v>10.9</v>
      </c>
      <c r="K48" s="1114" t="s">
        <v>40</v>
      </c>
      <c r="L48" s="358">
        <v>1</v>
      </c>
      <c r="M48" s="928">
        <v>1</v>
      </c>
      <c r="N48" s="1201" t="s">
        <v>564</v>
      </c>
      <c r="O48" s="1025"/>
    </row>
    <row r="49" spans="1:19" ht="36" customHeight="1" x14ac:dyDescent="0.2">
      <c r="A49" s="1119"/>
      <c r="B49" s="1149"/>
      <c r="C49" s="93"/>
      <c r="D49" s="1296"/>
      <c r="E49" s="1150"/>
      <c r="F49" s="1294"/>
      <c r="G49" s="67"/>
      <c r="H49" s="39"/>
      <c r="I49" s="39"/>
      <c r="J49" s="39"/>
      <c r="K49" s="1179"/>
      <c r="L49" s="255"/>
      <c r="M49" s="929"/>
      <c r="N49" s="1202"/>
      <c r="O49" s="1152"/>
    </row>
    <row r="50" spans="1:19" ht="16.5" customHeight="1" x14ac:dyDescent="0.2">
      <c r="A50" s="1119"/>
      <c r="B50" s="1149"/>
      <c r="C50" s="1121" t="s">
        <v>647</v>
      </c>
      <c r="D50" s="1291" t="s">
        <v>96</v>
      </c>
      <c r="E50" s="1266" t="s">
        <v>188</v>
      </c>
      <c r="F50" s="1110"/>
      <c r="G50" s="49" t="s">
        <v>51</v>
      </c>
      <c r="H50" s="40">
        <v>18.2</v>
      </c>
      <c r="I50" s="40">
        <v>18.2</v>
      </c>
      <c r="J50" s="34">
        <v>18.2</v>
      </c>
      <c r="K50" s="1165" t="s">
        <v>40</v>
      </c>
      <c r="L50" s="211">
        <v>1</v>
      </c>
      <c r="M50" s="182">
        <v>1</v>
      </c>
      <c r="N50" s="1201" t="s">
        <v>564</v>
      </c>
      <c r="O50" s="257"/>
    </row>
    <row r="51" spans="1:19" ht="21" customHeight="1" x14ac:dyDescent="0.2">
      <c r="A51" s="1119"/>
      <c r="B51" s="1149"/>
      <c r="C51" s="93"/>
      <c r="D51" s="1292"/>
      <c r="E51" s="1267"/>
      <c r="F51" s="1110"/>
      <c r="G51" s="49"/>
      <c r="H51" s="40"/>
      <c r="I51" s="40"/>
      <c r="J51" s="40"/>
      <c r="K51" s="372"/>
      <c r="L51" s="212"/>
      <c r="M51" s="184"/>
      <c r="N51" s="1202"/>
      <c r="O51" s="133"/>
    </row>
    <row r="52" spans="1:19" ht="16.5" customHeight="1" x14ac:dyDescent="0.2">
      <c r="A52" s="1119"/>
      <c r="B52" s="1149"/>
      <c r="C52" s="93"/>
      <c r="D52" s="1312"/>
      <c r="E52" s="1328"/>
      <c r="F52" s="1110"/>
      <c r="G52" s="51"/>
      <c r="H52" s="39"/>
      <c r="I52" s="39"/>
      <c r="J52" s="39"/>
      <c r="K52" s="1179"/>
      <c r="L52" s="255"/>
      <c r="M52" s="929"/>
      <c r="N52" s="361"/>
      <c r="O52" s="1152"/>
    </row>
    <row r="53" spans="1:19" ht="21.75" customHeight="1" x14ac:dyDescent="0.2">
      <c r="A53" s="1119"/>
      <c r="B53" s="1149"/>
      <c r="C53" s="1121" t="s">
        <v>648</v>
      </c>
      <c r="D53" s="1292" t="s">
        <v>193</v>
      </c>
      <c r="E53" s="1322" t="s">
        <v>178</v>
      </c>
      <c r="F53" s="1294"/>
      <c r="G53" s="269" t="s">
        <v>51</v>
      </c>
      <c r="H53" s="40">
        <v>100</v>
      </c>
      <c r="I53" s="40">
        <v>100</v>
      </c>
      <c r="J53" s="40">
        <v>97.6</v>
      </c>
      <c r="K53" s="1290" t="s">
        <v>40</v>
      </c>
      <c r="L53" s="359">
        <v>1</v>
      </c>
      <c r="M53" s="1151">
        <v>1</v>
      </c>
      <c r="N53" s="1201" t="s">
        <v>784</v>
      </c>
      <c r="O53" s="1025"/>
    </row>
    <row r="54" spans="1:19" ht="45" customHeight="1" x14ac:dyDescent="0.2">
      <c r="A54" s="1119"/>
      <c r="B54" s="1149"/>
      <c r="C54" s="93"/>
      <c r="D54" s="1311"/>
      <c r="E54" s="1293"/>
      <c r="F54" s="1294"/>
      <c r="G54" s="67"/>
      <c r="H54" s="39"/>
      <c r="I54" s="39"/>
      <c r="J54" s="79"/>
      <c r="K54" s="1274"/>
      <c r="L54" s="255"/>
      <c r="M54" s="929"/>
      <c r="N54" s="1203"/>
      <c r="O54" s="1026"/>
    </row>
    <row r="55" spans="1:19" ht="17.25" customHeight="1" x14ac:dyDescent="0.2">
      <c r="A55" s="1119"/>
      <c r="B55" s="1120"/>
      <c r="C55" s="1121" t="s">
        <v>649</v>
      </c>
      <c r="D55" s="1291" t="s">
        <v>141</v>
      </c>
      <c r="E55" s="1266"/>
      <c r="F55" s="1294"/>
      <c r="G55" s="52" t="s">
        <v>51</v>
      </c>
      <c r="H55" s="115">
        <v>0.8</v>
      </c>
      <c r="I55" s="115">
        <v>0.8</v>
      </c>
      <c r="J55" s="270">
        <v>0.8</v>
      </c>
      <c r="K55" s="1161" t="s">
        <v>69</v>
      </c>
      <c r="L55" s="358">
        <v>1</v>
      </c>
      <c r="M55" s="928">
        <v>1</v>
      </c>
      <c r="N55" s="361"/>
      <c r="O55" s="1152"/>
    </row>
    <row r="56" spans="1:19" ht="26.25" customHeight="1" x14ac:dyDescent="0.2">
      <c r="A56" s="1119"/>
      <c r="B56" s="1120"/>
      <c r="C56" s="159"/>
      <c r="D56" s="1292"/>
      <c r="E56" s="1293"/>
      <c r="F56" s="1294"/>
      <c r="G56" s="51"/>
      <c r="H56" s="271"/>
      <c r="I56" s="271"/>
      <c r="J56" s="272"/>
      <c r="K56" s="1162"/>
      <c r="L56" s="255"/>
      <c r="M56" s="929"/>
      <c r="N56" s="30"/>
      <c r="O56" s="1026"/>
    </row>
    <row r="57" spans="1:19" ht="14.25" customHeight="1" x14ac:dyDescent="0.2">
      <c r="A57" s="1315"/>
      <c r="B57" s="1326"/>
      <c r="C57" s="1330" t="s">
        <v>650</v>
      </c>
      <c r="D57" s="1331" t="s">
        <v>194</v>
      </c>
      <c r="E57" s="1266"/>
      <c r="F57" s="1294"/>
      <c r="G57" s="29" t="s">
        <v>22</v>
      </c>
      <c r="H57" s="40">
        <v>10</v>
      </c>
      <c r="I57" s="40">
        <v>10</v>
      </c>
      <c r="J57" s="59">
        <v>0</v>
      </c>
      <c r="K57" s="955" t="s">
        <v>40</v>
      </c>
      <c r="L57" s="956">
        <v>1</v>
      </c>
      <c r="M57" s="956">
        <v>0</v>
      </c>
      <c r="N57" s="1204" t="s">
        <v>785</v>
      </c>
      <c r="O57" s="1206" t="s">
        <v>786</v>
      </c>
    </row>
    <row r="58" spans="1:19" ht="255.75" customHeight="1" x14ac:dyDescent="0.2">
      <c r="A58" s="1315"/>
      <c r="B58" s="1326"/>
      <c r="C58" s="1316"/>
      <c r="D58" s="1332"/>
      <c r="E58" s="1293"/>
      <c r="F58" s="1294"/>
      <c r="G58" s="67"/>
      <c r="H58" s="39"/>
      <c r="I58" s="39"/>
      <c r="J58" s="39"/>
      <c r="K58" s="958"/>
      <c r="L58" s="959"/>
      <c r="M58" s="959"/>
      <c r="N58" s="1205"/>
      <c r="O58" s="1207"/>
      <c r="S58" s="31"/>
    </row>
    <row r="59" spans="1:19" ht="17.25" customHeight="1" x14ac:dyDescent="0.2">
      <c r="A59" s="1119"/>
      <c r="B59" s="1120"/>
      <c r="C59" s="965" t="s">
        <v>652</v>
      </c>
      <c r="D59" s="1271" t="s">
        <v>143</v>
      </c>
      <c r="E59" s="273" t="s">
        <v>178</v>
      </c>
      <c r="F59" s="1110"/>
      <c r="G59" s="49" t="s">
        <v>39</v>
      </c>
      <c r="H59" s="40">
        <v>21.5</v>
      </c>
      <c r="I59" s="40">
        <v>21.5</v>
      </c>
      <c r="J59" s="40">
        <v>0</v>
      </c>
      <c r="K59" s="372" t="s">
        <v>40</v>
      </c>
      <c r="L59" s="361">
        <v>1</v>
      </c>
      <c r="M59" s="93" t="s">
        <v>721</v>
      </c>
      <c r="N59" s="1201" t="s">
        <v>743</v>
      </c>
      <c r="O59" s="1152"/>
    </row>
    <row r="60" spans="1:19" ht="15" customHeight="1" x14ac:dyDescent="0.2">
      <c r="A60" s="1119"/>
      <c r="B60" s="1120"/>
      <c r="C60" s="969"/>
      <c r="D60" s="1329"/>
      <c r="E60" s="241"/>
      <c r="F60" s="1110"/>
      <c r="G60" s="51"/>
      <c r="H60" s="32"/>
      <c r="I60" s="32"/>
      <c r="J60" s="39"/>
      <c r="K60" s="318"/>
      <c r="L60" s="30"/>
      <c r="M60" s="30"/>
      <c r="N60" s="1203"/>
      <c r="O60" s="1026"/>
    </row>
    <row r="61" spans="1:19" ht="17.25" customHeight="1" x14ac:dyDescent="0.2">
      <c r="A61" s="1119"/>
      <c r="B61" s="1149"/>
      <c r="C61" s="1121" t="s">
        <v>653</v>
      </c>
      <c r="D61" s="1295" t="s">
        <v>195</v>
      </c>
      <c r="E61" s="1266"/>
      <c r="F61" s="1110"/>
      <c r="G61" s="52" t="s">
        <v>51</v>
      </c>
      <c r="H61" s="34">
        <v>0</v>
      </c>
      <c r="I61" s="34">
        <v>10</v>
      </c>
      <c r="J61" s="115">
        <v>0</v>
      </c>
      <c r="K61" s="326" t="s">
        <v>69</v>
      </c>
      <c r="L61" s="329"/>
      <c r="M61" s="330"/>
      <c r="N61" s="1523" t="s">
        <v>787</v>
      </c>
      <c r="O61" s="1152"/>
    </row>
    <row r="62" spans="1:19" ht="19.5" customHeight="1" x14ac:dyDescent="0.2">
      <c r="A62" s="1119"/>
      <c r="B62" s="1149"/>
      <c r="C62" s="1124"/>
      <c r="D62" s="1343"/>
      <c r="E62" s="1293"/>
      <c r="F62" s="1110"/>
      <c r="G62" s="67"/>
      <c r="H62" s="39"/>
      <c r="I62" s="39"/>
      <c r="J62" s="39"/>
      <c r="K62" s="324"/>
      <c r="L62" s="359"/>
      <c r="M62" s="1151"/>
      <c r="N62" s="1524"/>
      <c r="O62" s="1152"/>
    </row>
    <row r="63" spans="1:19" ht="21" customHeight="1" x14ac:dyDescent="0.2">
      <c r="A63" s="1119"/>
      <c r="B63" s="1149"/>
      <c r="C63" s="965" t="s">
        <v>654</v>
      </c>
      <c r="D63" s="1270" t="s">
        <v>196</v>
      </c>
      <c r="E63" s="1125"/>
      <c r="F63" s="1128"/>
      <c r="G63" s="49" t="s">
        <v>22</v>
      </c>
      <c r="H63" s="40">
        <v>28</v>
      </c>
      <c r="I63" s="40">
        <v>28</v>
      </c>
      <c r="J63" s="40">
        <f>8+1.8</f>
        <v>9.8000000000000007</v>
      </c>
      <c r="K63" s="1197" t="s">
        <v>99</v>
      </c>
      <c r="L63" s="358">
        <v>100</v>
      </c>
      <c r="M63" s="928">
        <v>100</v>
      </c>
      <c r="N63" s="954" t="s">
        <v>753</v>
      </c>
      <c r="O63" s="1025"/>
    </row>
    <row r="64" spans="1:19" s="8" customFormat="1" ht="44.25" customHeight="1" x14ac:dyDescent="0.2">
      <c r="A64" s="1119"/>
      <c r="B64" s="1149"/>
      <c r="C64" s="1124"/>
      <c r="D64" s="1340"/>
      <c r="E64" s="1126"/>
      <c r="F64" s="1110"/>
      <c r="G64" s="379"/>
      <c r="H64" s="136"/>
      <c r="I64" s="136"/>
      <c r="J64" s="136"/>
      <c r="K64" s="1344"/>
      <c r="L64" s="381"/>
      <c r="M64" s="382"/>
      <c r="N64" s="331"/>
      <c r="O64" s="383"/>
    </row>
    <row r="65" spans="1:15" ht="16.5" customHeight="1" thickBot="1" x14ac:dyDescent="0.25">
      <c r="A65" s="1119"/>
      <c r="B65" s="1149"/>
      <c r="C65" s="981"/>
      <c r="D65" s="252"/>
      <c r="E65" s="243"/>
      <c r="F65" s="385"/>
      <c r="G65" s="85" t="s">
        <v>5</v>
      </c>
      <c r="H65" s="54">
        <f>SUM(H15:H64)</f>
        <v>10120</v>
      </c>
      <c r="I65" s="54">
        <f>SUM(I15:I64)</f>
        <v>8524.1</v>
      </c>
      <c r="J65" s="54">
        <f>SUM(J15:J64)</f>
        <v>5614.4</v>
      </c>
      <c r="K65" s="205"/>
      <c r="L65" s="88"/>
      <c r="M65" s="185"/>
      <c r="N65" s="88"/>
      <c r="O65" s="167"/>
    </row>
    <row r="66" spans="1:15" ht="14.25" customHeight="1" thickBot="1" x14ac:dyDescent="0.25">
      <c r="A66" s="47" t="s">
        <v>4</v>
      </c>
      <c r="B66" s="118" t="s">
        <v>4</v>
      </c>
      <c r="C66" s="1345" t="s">
        <v>7</v>
      </c>
      <c r="D66" s="1346"/>
      <c r="E66" s="1346"/>
      <c r="F66" s="1346"/>
      <c r="G66" s="1347"/>
      <c r="H66" s="74">
        <f>H65</f>
        <v>10120</v>
      </c>
      <c r="I66" s="74">
        <f t="shared" ref="I66:J66" si="0">I65</f>
        <v>8524.1</v>
      </c>
      <c r="J66" s="74">
        <f t="shared" si="0"/>
        <v>5614.4</v>
      </c>
      <c r="K66" s="1115"/>
      <c r="L66" s="1118"/>
      <c r="M66" s="1118"/>
      <c r="N66" s="1118"/>
      <c r="O66" s="1116"/>
    </row>
    <row r="67" spans="1:15" ht="14.25" customHeight="1" thickBot="1" x14ac:dyDescent="0.25">
      <c r="A67" s="47" t="s">
        <v>4</v>
      </c>
      <c r="B67" s="118" t="s">
        <v>6</v>
      </c>
      <c r="C67" s="1333" t="s">
        <v>28</v>
      </c>
      <c r="D67" s="1333"/>
      <c r="E67" s="1333"/>
      <c r="F67" s="1333"/>
      <c r="G67" s="1333"/>
      <c r="H67" s="1334"/>
      <c r="I67" s="1334"/>
      <c r="J67" s="1334"/>
      <c r="K67" s="1333"/>
      <c r="L67" s="1335"/>
      <c r="M67" s="1335"/>
      <c r="N67" s="1335"/>
      <c r="O67" s="1336"/>
    </row>
    <row r="68" spans="1:15" ht="14.25" customHeight="1" x14ac:dyDescent="0.2">
      <c r="A68" s="1139" t="s">
        <v>4</v>
      </c>
      <c r="B68" s="117" t="s">
        <v>6</v>
      </c>
      <c r="C68" s="1142" t="s">
        <v>4</v>
      </c>
      <c r="D68" s="373" t="s">
        <v>47</v>
      </c>
      <c r="E68" s="1348" t="s">
        <v>85</v>
      </c>
      <c r="F68" s="1143" t="s">
        <v>31</v>
      </c>
      <c r="G68" s="102"/>
      <c r="H68" s="87"/>
      <c r="I68" s="87"/>
      <c r="J68" s="336"/>
      <c r="K68" s="336"/>
      <c r="L68" s="339"/>
      <c r="M68" s="339"/>
      <c r="N68" s="340"/>
      <c r="O68" s="341"/>
    </row>
    <row r="69" spans="1:15" ht="15" customHeight="1" x14ac:dyDescent="0.2">
      <c r="A69" s="1119"/>
      <c r="B69" s="1149"/>
      <c r="C69" s="1124"/>
      <c r="D69" s="138"/>
      <c r="E69" s="1349"/>
      <c r="F69" s="1167"/>
      <c r="G69" s="51"/>
      <c r="H69" s="39"/>
      <c r="I69" s="39"/>
      <c r="J69" s="96"/>
      <c r="K69" s="96"/>
      <c r="L69" s="95"/>
      <c r="M69" s="95"/>
      <c r="N69" s="165"/>
      <c r="O69" s="342"/>
    </row>
    <row r="70" spans="1:15" ht="14.25" customHeight="1" x14ac:dyDescent="0.2">
      <c r="A70" s="1119"/>
      <c r="B70" s="1149"/>
      <c r="C70" s="1121" t="s">
        <v>4</v>
      </c>
      <c r="D70" s="1135" t="s">
        <v>43</v>
      </c>
      <c r="E70" s="1154"/>
      <c r="F70" s="1167"/>
      <c r="G70" s="49" t="s">
        <v>22</v>
      </c>
      <c r="H70" s="69">
        <v>2932.2</v>
      </c>
      <c r="I70" s="40">
        <v>3046</v>
      </c>
      <c r="J70" s="244">
        <v>3043.1</v>
      </c>
      <c r="K70" s="337"/>
      <c r="L70" s="82"/>
      <c r="M70" s="82"/>
      <c r="N70" s="164"/>
      <c r="O70" s="338"/>
    </row>
    <row r="71" spans="1:15" ht="14.25" customHeight="1" x14ac:dyDescent="0.2">
      <c r="A71" s="1119"/>
      <c r="B71" s="1149"/>
      <c r="C71" s="1124"/>
      <c r="D71" s="1135"/>
      <c r="E71" s="1154"/>
      <c r="F71" s="1167"/>
      <c r="G71" s="49" t="s">
        <v>51</v>
      </c>
      <c r="H71" s="69">
        <v>2062.6</v>
      </c>
      <c r="I71" s="40">
        <v>2062.6</v>
      </c>
      <c r="J71" s="69">
        <v>2062.6</v>
      </c>
      <c r="K71" s="337"/>
      <c r="L71" s="82"/>
      <c r="M71" s="82"/>
      <c r="N71" s="164"/>
      <c r="O71" s="338"/>
    </row>
    <row r="72" spans="1:15" ht="14.25" customHeight="1" x14ac:dyDescent="0.2">
      <c r="A72" s="1119"/>
      <c r="B72" s="1149"/>
      <c r="C72" s="1124"/>
      <c r="D72" s="1135"/>
      <c r="E72" s="1154"/>
      <c r="F72" s="1167"/>
      <c r="G72" s="49" t="s">
        <v>59</v>
      </c>
      <c r="H72" s="69">
        <v>97</v>
      </c>
      <c r="I72" s="40">
        <f>97+75.2+63.9</f>
        <v>236.1</v>
      </c>
      <c r="J72" s="40">
        <v>236.1</v>
      </c>
      <c r="K72" s="337"/>
      <c r="L72" s="82"/>
      <c r="M72" s="82"/>
      <c r="N72" s="164"/>
      <c r="O72" s="338"/>
    </row>
    <row r="73" spans="1:15" ht="14.25" customHeight="1" x14ac:dyDescent="0.2">
      <c r="A73" s="1119"/>
      <c r="B73" s="1149"/>
      <c r="C73" s="1124"/>
      <c r="D73" s="1135"/>
      <c r="E73" s="1154"/>
      <c r="F73" s="1167"/>
      <c r="G73" s="49" t="s">
        <v>57</v>
      </c>
      <c r="H73" s="40">
        <v>10</v>
      </c>
      <c r="I73" s="40">
        <v>10</v>
      </c>
      <c r="J73" s="40">
        <v>10</v>
      </c>
      <c r="K73" s="337"/>
      <c r="L73" s="82"/>
      <c r="M73" s="82"/>
      <c r="N73" s="164"/>
      <c r="O73" s="338"/>
    </row>
    <row r="74" spans="1:15" ht="18" customHeight="1" x14ac:dyDescent="0.2">
      <c r="A74" s="1119"/>
      <c r="B74" s="1149"/>
      <c r="C74" s="1124"/>
      <c r="D74" s="1337" t="s">
        <v>61</v>
      </c>
      <c r="E74" s="983"/>
      <c r="F74" s="1167"/>
      <c r="G74" s="284"/>
      <c r="H74" s="984"/>
      <c r="I74" s="46"/>
      <c r="J74" s="984"/>
      <c r="K74" s="50" t="s">
        <v>35</v>
      </c>
      <c r="L74" s="986">
        <v>6</v>
      </c>
      <c r="M74" s="986">
        <v>4.9000000000000004</v>
      </c>
      <c r="N74" s="987" t="s">
        <v>736</v>
      </c>
      <c r="O74" s="23"/>
    </row>
    <row r="75" spans="1:15" ht="12.75" customHeight="1" x14ac:dyDescent="0.2">
      <c r="A75" s="1119"/>
      <c r="B75" s="1149"/>
      <c r="C75" s="1124"/>
      <c r="D75" s="1337"/>
      <c r="E75" s="1154"/>
      <c r="F75" s="1167"/>
      <c r="G75" s="49"/>
      <c r="H75" s="40"/>
      <c r="I75" s="40"/>
      <c r="J75" s="40"/>
      <c r="K75" s="1273" t="s">
        <v>788</v>
      </c>
      <c r="L75" s="21">
        <v>2</v>
      </c>
      <c r="M75" s="107">
        <v>2.4</v>
      </c>
      <c r="N75" s="1350" t="s">
        <v>737</v>
      </c>
      <c r="O75" s="23"/>
    </row>
    <row r="76" spans="1:15" ht="14.25" customHeight="1" x14ac:dyDescent="0.2">
      <c r="A76" s="1119"/>
      <c r="B76" s="1149"/>
      <c r="C76" s="1124"/>
      <c r="D76" s="1337"/>
      <c r="E76" s="1148"/>
      <c r="F76" s="1167"/>
      <c r="G76" s="49"/>
      <c r="H76" s="40"/>
      <c r="I76" s="40"/>
      <c r="J76" s="40"/>
      <c r="K76" s="1338"/>
      <c r="L76" s="191"/>
      <c r="M76" s="191"/>
      <c r="N76" s="1351"/>
      <c r="O76" s="1152"/>
    </row>
    <row r="77" spans="1:15" ht="24.75" customHeight="1" x14ac:dyDescent="0.2">
      <c r="A77" s="1119"/>
      <c r="B77" s="1149"/>
      <c r="C77" s="1124"/>
      <c r="D77" s="794" t="s">
        <v>62</v>
      </c>
      <c r="E77" s="985"/>
      <c r="F77" s="1167"/>
      <c r="G77" s="71"/>
      <c r="H77" s="37"/>
      <c r="I77" s="37"/>
      <c r="J77" s="37"/>
      <c r="K77" s="50" t="s">
        <v>102</v>
      </c>
      <c r="L77" s="21">
        <v>4</v>
      </c>
      <c r="M77" s="21">
        <v>3.3</v>
      </c>
      <c r="N77" s="22"/>
      <c r="O77" s="23"/>
    </row>
    <row r="78" spans="1:15" ht="26.25" customHeight="1" x14ac:dyDescent="0.2">
      <c r="A78" s="1119"/>
      <c r="B78" s="1149"/>
      <c r="C78" s="1124"/>
      <c r="D78" s="125" t="s">
        <v>63</v>
      </c>
      <c r="E78" s="985"/>
      <c r="F78" s="1167"/>
      <c r="G78" s="71"/>
      <c r="H78" s="37"/>
      <c r="I78" s="37"/>
      <c r="J78" s="37"/>
      <c r="K78" s="50" t="s">
        <v>103</v>
      </c>
      <c r="L78" s="90">
        <v>22</v>
      </c>
      <c r="M78" s="90">
        <v>19.600000000000001</v>
      </c>
      <c r="N78" s="982"/>
      <c r="O78" s="23"/>
    </row>
    <row r="79" spans="1:15" ht="15.75" customHeight="1" x14ac:dyDescent="0.2">
      <c r="A79" s="1119"/>
      <c r="B79" s="1149"/>
      <c r="C79" s="1124"/>
      <c r="D79" s="1339" t="s">
        <v>95</v>
      </c>
      <c r="E79" s="992"/>
      <c r="F79" s="1167"/>
      <c r="G79" s="284"/>
      <c r="H79" s="46"/>
      <c r="I79" s="46"/>
      <c r="J79" s="984"/>
      <c r="K79" s="1341" t="s">
        <v>197</v>
      </c>
      <c r="L79" s="163">
        <v>6</v>
      </c>
      <c r="M79" s="162">
        <v>6</v>
      </c>
      <c r="N79" s="1202" t="s">
        <v>789</v>
      </c>
      <c r="O79" s="1152"/>
    </row>
    <row r="80" spans="1:15" ht="160.5" customHeight="1" x14ac:dyDescent="0.2">
      <c r="A80" s="1119"/>
      <c r="B80" s="1149"/>
      <c r="C80" s="1124"/>
      <c r="D80" s="1340"/>
      <c r="E80" s="993"/>
      <c r="F80" s="1167"/>
      <c r="G80" s="51"/>
      <c r="H80" s="39"/>
      <c r="I80" s="39"/>
      <c r="J80" s="51"/>
      <c r="K80" s="1342"/>
      <c r="L80" s="30"/>
      <c r="M80" s="255"/>
      <c r="N80" s="1202"/>
      <c r="O80" s="1152"/>
    </row>
    <row r="81" spans="1:16" ht="16.5" customHeight="1" x14ac:dyDescent="0.2">
      <c r="A81" s="1119"/>
      <c r="B81" s="1149"/>
      <c r="C81" s="1121" t="s">
        <v>6</v>
      </c>
      <c r="D81" s="1156" t="s">
        <v>114</v>
      </c>
      <c r="E81" s="1154"/>
      <c r="F81" s="1167"/>
      <c r="G81" s="49" t="s">
        <v>22</v>
      </c>
      <c r="H81" s="40"/>
      <c r="I81" s="40">
        <v>31.2</v>
      </c>
      <c r="J81" s="69">
        <v>30.8</v>
      </c>
      <c r="K81" s="1112"/>
      <c r="L81" s="93"/>
      <c r="M81" s="1124"/>
      <c r="N81" s="1038"/>
      <c r="O81" s="338"/>
    </row>
    <row r="82" spans="1:16" ht="52.5" customHeight="1" x14ac:dyDescent="0.2">
      <c r="A82" s="1119"/>
      <c r="B82" s="1149"/>
      <c r="C82" s="1124"/>
      <c r="D82" s="800" t="s">
        <v>251</v>
      </c>
      <c r="E82" s="988"/>
      <c r="F82" s="1167"/>
      <c r="G82" s="71"/>
      <c r="H82" s="37"/>
      <c r="I82" s="37"/>
      <c r="J82" s="989"/>
      <c r="K82" s="538" t="s">
        <v>111</v>
      </c>
      <c r="L82" s="990">
        <v>21</v>
      </c>
      <c r="M82" s="991">
        <v>21</v>
      </c>
      <c r="N82" s="361"/>
      <c r="O82" s="1152"/>
      <c r="P82" s="31"/>
    </row>
    <row r="83" spans="1:16" ht="22.5" customHeight="1" x14ac:dyDescent="0.2">
      <c r="A83" s="1119"/>
      <c r="B83" s="1149"/>
      <c r="C83" s="1124"/>
      <c r="D83" s="1352" t="s">
        <v>115</v>
      </c>
      <c r="E83" s="1154"/>
      <c r="F83" s="1128"/>
      <c r="G83" s="49"/>
      <c r="H83" s="40"/>
      <c r="I83" s="40"/>
      <c r="J83" s="69"/>
      <c r="K83" s="1251" t="s">
        <v>146</v>
      </c>
      <c r="L83" s="128">
        <v>18</v>
      </c>
      <c r="M83" s="213">
        <v>18</v>
      </c>
      <c r="N83" s="361"/>
      <c r="O83" s="802"/>
    </row>
    <row r="84" spans="1:16" ht="21" customHeight="1" x14ac:dyDescent="0.2">
      <c r="A84" s="1119"/>
      <c r="B84" s="1149"/>
      <c r="C84" s="1124"/>
      <c r="D84" s="1353"/>
      <c r="E84" s="1154"/>
      <c r="F84" s="1128"/>
      <c r="G84" s="51"/>
      <c r="H84" s="39"/>
      <c r="I84" s="39"/>
      <c r="J84" s="70"/>
      <c r="K84" s="1342"/>
      <c r="L84" s="354"/>
      <c r="M84" s="1122"/>
      <c r="N84" s="30"/>
      <c r="O84" s="1152"/>
    </row>
    <row r="85" spans="1:16" ht="18" customHeight="1" x14ac:dyDescent="0.2">
      <c r="A85" s="1315"/>
      <c r="B85" s="1310"/>
      <c r="C85" s="1330" t="s">
        <v>24</v>
      </c>
      <c r="D85" s="1270" t="s">
        <v>36</v>
      </c>
      <c r="E85" s="1322"/>
      <c r="F85" s="1313"/>
      <c r="G85" s="49" t="s">
        <v>22</v>
      </c>
      <c r="H85" s="40">
        <v>59.5</v>
      </c>
      <c r="I85" s="40">
        <v>59.5</v>
      </c>
      <c r="J85" s="69">
        <v>59.5</v>
      </c>
      <c r="K85" s="1354" t="s">
        <v>45</v>
      </c>
      <c r="L85" s="1356">
        <v>7</v>
      </c>
      <c r="M85" s="1121" t="s">
        <v>723</v>
      </c>
      <c r="N85" s="1358"/>
      <c r="O85" s="1359"/>
    </row>
    <row r="86" spans="1:16" ht="18" customHeight="1" x14ac:dyDescent="0.2">
      <c r="A86" s="1315"/>
      <c r="B86" s="1310"/>
      <c r="C86" s="1316"/>
      <c r="D86" s="1329"/>
      <c r="E86" s="1322"/>
      <c r="F86" s="1313"/>
      <c r="G86" s="51"/>
      <c r="H86" s="39"/>
      <c r="I86" s="39"/>
      <c r="J86" s="70"/>
      <c r="K86" s="1355"/>
      <c r="L86" s="1357"/>
      <c r="M86" s="255"/>
      <c r="N86" s="1358"/>
      <c r="O86" s="1359"/>
      <c r="P86" s="31"/>
    </row>
    <row r="87" spans="1:16" ht="14.25" customHeight="1" x14ac:dyDescent="0.2">
      <c r="A87" s="1315"/>
      <c r="B87" s="1326"/>
      <c r="C87" s="1330" t="s">
        <v>29</v>
      </c>
      <c r="D87" s="1360" t="s">
        <v>198</v>
      </c>
      <c r="E87" s="1362"/>
      <c r="F87" s="1294"/>
      <c r="G87" s="49" t="s">
        <v>22</v>
      </c>
      <c r="H87" s="40">
        <v>44</v>
      </c>
      <c r="I87" s="40">
        <v>44</v>
      </c>
      <c r="J87" s="68">
        <v>44</v>
      </c>
      <c r="K87" s="1114" t="s">
        <v>125</v>
      </c>
      <c r="L87" s="928">
        <v>4</v>
      </c>
      <c r="M87" s="358">
        <v>4</v>
      </c>
      <c r="N87" s="954" t="s">
        <v>738</v>
      </c>
      <c r="O87" s="1152"/>
    </row>
    <row r="88" spans="1:16" ht="15.75" customHeight="1" x14ac:dyDescent="0.2">
      <c r="A88" s="1315"/>
      <c r="B88" s="1326"/>
      <c r="C88" s="1316"/>
      <c r="D88" s="1361"/>
      <c r="E88" s="1362"/>
      <c r="F88" s="1294"/>
      <c r="G88" s="49" t="s">
        <v>59</v>
      </c>
      <c r="H88" s="40">
        <v>55</v>
      </c>
      <c r="I88" s="40">
        <v>55</v>
      </c>
      <c r="J88" s="69">
        <v>55</v>
      </c>
      <c r="K88" s="50" t="s">
        <v>144</v>
      </c>
      <c r="L88" s="1151"/>
      <c r="M88" s="359"/>
      <c r="N88" s="361"/>
      <c r="O88" s="1152"/>
    </row>
    <row r="89" spans="1:16" ht="27" customHeight="1" x14ac:dyDescent="0.2">
      <c r="A89" s="1315"/>
      <c r="B89" s="1326"/>
      <c r="C89" s="1316"/>
      <c r="D89" s="1361"/>
      <c r="E89" s="1362"/>
      <c r="F89" s="1294"/>
      <c r="G89" s="49"/>
      <c r="H89" s="40"/>
      <c r="I89" s="40"/>
      <c r="J89" s="49"/>
      <c r="K89" s="50" t="s">
        <v>790</v>
      </c>
      <c r="L89" s="1151"/>
      <c r="M89" s="359"/>
      <c r="N89" s="361"/>
      <c r="O89" s="1152"/>
    </row>
    <row r="90" spans="1:16" ht="13.5" customHeight="1" x14ac:dyDescent="0.2">
      <c r="A90" s="1119"/>
      <c r="B90" s="1149"/>
      <c r="C90" s="1124"/>
      <c r="D90" s="1135"/>
      <c r="E90" s="1148"/>
      <c r="F90" s="1110"/>
      <c r="G90" s="49"/>
      <c r="H90" s="40"/>
      <c r="I90" s="40"/>
      <c r="J90" s="38"/>
      <c r="K90" s="50" t="s">
        <v>199</v>
      </c>
      <c r="L90" s="1151"/>
      <c r="M90" s="359"/>
      <c r="N90" s="361"/>
      <c r="O90" s="1152"/>
    </row>
    <row r="91" spans="1:16" ht="15" customHeight="1" x14ac:dyDescent="0.2">
      <c r="A91" s="1119"/>
      <c r="B91" s="1149"/>
      <c r="C91" s="1124"/>
      <c r="D91" s="1135"/>
      <c r="E91" s="1154"/>
      <c r="F91" s="1110"/>
      <c r="G91" s="49"/>
      <c r="H91" s="40"/>
      <c r="I91" s="40"/>
      <c r="J91" s="59"/>
      <c r="K91" s="350" t="s">
        <v>200</v>
      </c>
      <c r="L91" s="130"/>
      <c r="M91" s="191"/>
      <c r="N91" s="30"/>
      <c r="O91" s="1152"/>
    </row>
    <row r="92" spans="1:16" ht="27.75" customHeight="1" x14ac:dyDescent="0.2">
      <c r="A92" s="1315"/>
      <c r="B92" s="1326"/>
      <c r="C92" s="1330" t="s">
        <v>628</v>
      </c>
      <c r="D92" s="1270" t="s">
        <v>93</v>
      </c>
      <c r="E92" s="1266" t="s">
        <v>201</v>
      </c>
      <c r="F92" s="1294"/>
      <c r="G92" s="52" t="s">
        <v>57</v>
      </c>
      <c r="H92" s="34">
        <v>188.7</v>
      </c>
      <c r="I92" s="34">
        <v>188.7</v>
      </c>
      <c r="J92" s="66">
        <v>188.6</v>
      </c>
      <c r="K92" s="1002" t="s">
        <v>202</v>
      </c>
      <c r="L92" s="1003">
        <v>205</v>
      </c>
      <c r="M92" s="1004">
        <v>205</v>
      </c>
      <c r="N92" s="1037"/>
      <c r="O92" s="1036"/>
    </row>
    <row r="93" spans="1:16" ht="26.25" customHeight="1" x14ac:dyDescent="0.2">
      <c r="A93" s="1315"/>
      <c r="B93" s="1326"/>
      <c r="C93" s="1316"/>
      <c r="D93" s="1329"/>
      <c r="E93" s="1293"/>
      <c r="F93" s="1294"/>
      <c r="G93" s="51" t="s">
        <v>59</v>
      </c>
      <c r="H93" s="39">
        <v>250</v>
      </c>
      <c r="I93" s="39">
        <v>250</v>
      </c>
      <c r="J93" s="51">
        <v>250</v>
      </c>
      <c r="K93" s="1123" t="s">
        <v>203</v>
      </c>
      <c r="L93" s="277">
        <f>65+18</f>
        <v>83</v>
      </c>
      <c r="M93" s="276">
        <v>83</v>
      </c>
      <c r="N93" s="323"/>
      <c r="O93" s="1036"/>
    </row>
    <row r="94" spans="1:16" ht="16.5" customHeight="1" x14ac:dyDescent="0.2">
      <c r="A94" s="1164"/>
      <c r="B94" s="1149"/>
      <c r="C94" s="965" t="s">
        <v>30</v>
      </c>
      <c r="D94" s="1361" t="s">
        <v>134</v>
      </c>
      <c r="E94" s="1144"/>
      <c r="F94" s="1110"/>
      <c r="G94" s="49" t="s">
        <v>59</v>
      </c>
      <c r="H94" s="40">
        <v>3</v>
      </c>
      <c r="I94" s="40">
        <v>3</v>
      </c>
      <c r="J94" s="49">
        <v>3</v>
      </c>
      <c r="K94" s="1197" t="s">
        <v>135</v>
      </c>
      <c r="L94" s="204">
        <v>1</v>
      </c>
      <c r="M94" s="114">
        <v>1</v>
      </c>
      <c r="N94" s="145"/>
      <c r="O94" s="1175"/>
    </row>
    <row r="95" spans="1:16" ht="15" customHeight="1" x14ac:dyDescent="0.2">
      <c r="A95" s="1164"/>
      <c r="B95" s="1149"/>
      <c r="C95" s="970"/>
      <c r="D95" s="1363"/>
      <c r="E95" s="63"/>
      <c r="F95" s="1111"/>
      <c r="G95" s="51"/>
      <c r="H95" s="39"/>
      <c r="I95" s="39"/>
      <c r="J95" s="70"/>
      <c r="K95" s="1198"/>
      <c r="L95" s="929"/>
      <c r="M95" s="255"/>
      <c r="N95" s="929"/>
      <c r="O95" s="1026"/>
    </row>
    <row r="96" spans="1:16" ht="16.5" customHeight="1" thickBot="1" x14ac:dyDescent="0.25">
      <c r="A96" s="1119"/>
      <c r="B96" s="1149"/>
      <c r="C96" s="93"/>
      <c r="D96" s="252"/>
      <c r="E96" s="243"/>
      <c r="F96" s="385"/>
      <c r="G96" s="98" t="s">
        <v>5</v>
      </c>
      <c r="H96" s="72">
        <f>SUM(H70:H95)</f>
        <v>5702</v>
      </c>
      <c r="I96" s="72">
        <f>SUM(I70:I95)</f>
        <v>5986.1</v>
      </c>
      <c r="J96" s="72">
        <f>SUM(J70:J95)</f>
        <v>5982.7</v>
      </c>
      <c r="K96" s="205"/>
      <c r="L96" s="88"/>
      <c r="M96" s="185"/>
      <c r="N96" s="88"/>
      <c r="O96" s="167"/>
    </row>
    <row r="97" spans="1:18" ht="27.75" customHeight="1" x14ac:dyDescent="0.2">
      <c r="A97" s="1145" t="s">
        <v>4</v>
      </c>
      <c r="B97" s="1146" t="s">
        <v>6</v>
      </c>
      <c r="C97" s="1142" t="s">
        <v>6</v>
      </c>
      <c r="D97" s="278" t="s">
        <v>204</v>
      </c>
      <c r="E97" s="279"/>
      <c r="F97" s="997"/>
      <c r="G97" s="44"/>
      <c r="H97" s="56"/>
      <c r="I97" s="56"/>
      <c r="J97" s="281"/>
      <c r="K97" s="282"/>
      <c r="L97" s="283"/>
      <c r="M97" s="274"/>
      <c r="N97" s="283"/>
      <c r="O97" s="1063"/>
    </row>
    <row r="98" spans="1:18" ht="29.25" customHeight="1" x14ac:dyDescent="0.2">
      <c r="A98" s="1164"/>
      <c r="B98" s="1149"/>
      <c r="C98" s="965" t="s">
        <v>4</v>
      </c>
      <c r="D98" s="1295" t="s">
        <v>88</v>
      </c>
      <c r="E98" s="1266" t="s">
        <v>179</v>
      </c>
      <c r="F98" s="1110">
        <v>6</v>
      </c>
      <c r="G98" s="284" t="s">
        <v>57</v>
      </c>
      <c r="H98" s="46">
        <v>81.400000000000006</v>
      </c>
      <c r="I98" s="46">
        <v>53.8</v>
      </c>
      <c r="J98" s="46">
        <v>53.8</v>
      </c>
      <c r="K98" s="804" t="s">
        <v>137</v>
      </c>
      <c r="L98" s="1005">
        <v>9</v>
      </c>
      <c r="M98" s="1006">
        <v>9</v>
      </c>
      <c r="N98" s="1007"/>
      <c r="O98" s="1152"/>
    </row>
    <row r="99" spans="1:18" ht="40.5" customHeight="1" x14ac:dyDescent="0.2">
      <c r="A99" s="1164"/>
      <c r="B99" s="1149"/>
      <c r="C99" s="971"/>
      <c r="D99" s="1321"/>
      <c r="E99" s="1322"/>
      <c r="F99" s="1168"/>
      <c r="G99" s="49" t="s">
        <v>59</v>
      </c>
      <c r="H99" s="40">
        <v>6.8</v>
      </c>
      <c r="I99" s="40">
        <v>6.8</v>
      </c>
      <c r="J99" s="40">
        <v>6.8</v>
      </c>
      <c r="K99" s="348" t="s">
        <v>89</v>
      </c>
      <c r="L99" s="361">
        <v>8</v>
      </c>
      <c r="M99" s="359">
        <v>7</v>
      </c>
      <c r="N99" s="1107" t="s">
        <v>791</v>
      </c>
      <c r="O99" s="1152"/>
    </row>
    <row r="100" spans="1:18" ht="16.5" customHeight="1" x14ac:dyDescent="0.2">
      <c r="A100" s="132"/>
      <c r="B100" s="1147"/>
      <c r="C100" s="1121" t="s">
        <v>6</v>
      </c>
      <c r="D100" s="1270" t="s">
        <v>147</v>
      </c>
      <c r="E100" s="273" t="s">
        <v>41</v>
      </c>
      <c r="F100" s="1113" t="s">
        <v>37</v>
      </c>
      <c r="G100" s="352" t="s">
        <v>57</v>
      </c>
      <c r="H100" s="34">
        <v>462.4</v>
      </c>
      <c r="I100" s="34">
        <v>462.4</v>
      </c>
      <c r="J100" s="34">
        <v>462.4</v>
      </c>
      <c r="K100" s="1114"/>
      <c r="L100" s="245"/>
      <c r="M100" s="1121"/>
      <c r="N100" s="1010"/>
      <c r="O100" s="146"/>
    </row>
    <row r="101" spans="1:18" ht="16.5" customHeight="1" x14ac:dyDescent="0.2">
      <c r="A101" s="132"/>
      <c r="B101" s="1147"/>
      <c r="C101" s="93"/>
      <c r="D101" s="1271"/>
      <c r="E101" s="240"/>
      <c r="F101" s="1110"/>
      <c r="G101" s="547" t="s">
        <v>51</v>
      </c>
      <c r="H101" s="547">
        <v>0.4</v>
      </c>
      <c r="I101" s="547">
        <v>0.4</v>
      </c>
      <c r="J101" s="547">
        <v>0.4</v>
      </c>
      <c r="K101" s="350"/>
      <c r="L101" s="1008"/>
      <c r="M101" s="267"/>
      <c r="N101" s="1009"/>
      <c r="O101" s="137"/>
    </row>
    <row r="102" spans="1:18" ht="120" customHeight="1" x14ac:dyDescent="0.2">
      <c r="A102" s="132"/>
      <c r="B102" s="1147"/>
      <c r="C102" s="93"/>
      <c r="D102" s="1271"/>
      <c r="E102" s="240"/>
      <c r="F102" s="1110"/>
      <c r="G102" s="285"/>
      <c r="H102" s="40"/>
      <c r="I102" s="40"/>
      <c r="J102" s="40"/>
      <c r="K102" s="350" t="s">
        <v>205</v>
      </c>
      <c r="L102" s="1008" t="s">
        <v>206</v>
      </c>
      <c r="M102" s="267" t="s">
        <v>206</v>
      </c>
      <c r="N102" s="1060" t="s">
        <v>754</v>
      </c>
      <c r="O102" s="268"/>
    </row>
    <row r="103" spans="1:18" ht="34.5" customHeight="1" x14ac:dyDescent="0.2">
      <c r="A103" s="132"/>
      <c r="B103" s="1147"/>
      <c r="C103" s="354"/>
      <c r="D103" s="1340"/>
      <c r="E103" s="1150"/>
      <c r="F103" s="1111"/>
      <c r="G103" s="286"/>
      <c r="H103" s="39"/>
      <c r="I103" s="39"/>
      <c r="J103" s="39"/>
      <c r="K103" s="1011" t="s">
        <v>148</v>
      </c>
      <c r="L103" s="1012" t="s">
        <v>46</v>
      </c>
      <c r="M103" s="1013" t="s">
        <v>255</v>
      </c>
      <c r="N103" s="1014" t="s">
        <v>747</v>
      </c>
      <c r="O103" s="1064" t="s">
        <v>724</v>
      </c>
    </row>
    <row r="104" spans="1:18" ht="18.75" customHeight="1" x14ac:dyDescent="0.2">
      <c r="A104" s="132"/>
      <c r="B104" s="1147"/>
      <c r="C104" s="1124" t="s">
        <v>24</v>
      </c>
      <c r="D104" s="1271" t="s">
        <v>764</v>
      </c>
      <c r="E104" s="1148"/>
      <c r="F104" s="1110"/>
      <c r="G104" s="285" t="s">
        <v>22</v>
      </c>
      <c r="H104" s="40"/>
      <c r="I104" s="40">
        <v>60</v>
      </c>
      <c r="J104" s="40">
        <v>58.2</v>
      </c>
      <c r="K104" s="372" t="s">
        <v>208</v>
      </c>
      <c r="L104" s="159"/>
      <c r="M104" s="1124"/>
      <c r="N104" s="1213" t="s">
        <v>725</v>
      </c>
      <c r="O104" s="137"/>
    </row>
    <row r="105" spans="1:18" ht="19.5" customHeight="1" x14ac:dyDescent="0.2">
      <c r="A105" s="132"/>
      <c r="B105" s="1147"/>
      <c r="C105" s="1122"/>
      <c r="D105" s="1340"/>
      <c r="E105" s="1150"/>
      <c r="F105" s="1111"/>
      <c r="G105" s="286"/>
      <c r="H105" s="45"/>
      <c r="I105" s="45"/>
      <c r="J105" s="45"/>
      <c r="K105" s="287"/>
      <c r="L105" s="160"/>
      <c r="M105" s="1122"/>
      <c r="N105" s="1214"/>
      <c r="O105" s="148"/>
    </row>
    <row r="106" spans="1:18" ht="16.5" customHeight="1" thickBot="1" x14ac:dyDescent="0.25">
      <c r="A106" s="1119"/>
      <c r="B106" s="1149"/>
      <c r="C106" s="93"/>
      <c r="D106" s="252"/>
      <c r="E106" s="243"/>
      <c r="F106" s="385"/>
      <c r="G106" s="98" t="s">
        <v>5</v>
      </c>
      <c r="H106" s="72">
        <f>SUM(H98:H105)</f>
        <v>551</v>
      </c>
      <c r="I106" s="72">
        <f>SUM(I98:I105)</f>
        <v>583.4</v>
      </c>
      <c r="J106" s="72">
        <f>SUM(J98:J105)</f>
        <v>581.6</v>
      </c>
      <c r="K106" s="205"/>
      <c r="L106" s="88"/>
      <c r="M106" s="185"/>
      <c r="N106" s="88"/>
      <c r="O106" s="167"/>
    </row>
    <row r="107" spans="1:18" ht="14.25" customHeight="1" x14ac:dyDescent="0.2">
      <c r="A107" s="1364" t="s">
        <v>4</v>
      </c>
      <c r="B107" s="1367" t="s">
        <v>6</v>
      </c>
      <c r="C107" s="1370" t="s">
        <v>24</v>
      </c>
      <c r="D107" s="1374" t="s">
        <v>87</v>
      </c>
      <c r="E107" s="242" t="s">
        <v>41</v>
      </c>
      <c r="F107" s="1370">
        <v>5</v>
      </c>
      <c r="G107" s="49" t="s">
        <v>51</v>
      </c>
      <c r="H107" s="87">
        <v>113</v>
      </c>
      <c r="I107" s="22">
        <f>344.9+113</f>
        <v>457.9</v>
      </c>
      <c r="J107" s="40">
        <v>457.9</v>
      </c>
      <c r="K107" s="1216" t="s">
        <v>149</v>
      </c>
      <c r="L107" s="119">
        <v>18</v>
      </c>
      <c r="M107" s="201">
        <v>18</v>
      </c>
      <c r="N107" s="1215" t="s">
        <v>755</v>
      </c>
      <c r="O107" s="169"/>
      <c r="R107" s="31"/>
    </row>
    <row r="108" spans="1:18" ht="14.25" customHeight="1" x14ac:dyDescent="0.2">
      <c r="A108" s="1365"/>
      <c r="B108" s="1368"/>
      <c r="C108" s="1313"/>
      <c r="D108" s="1271"/>
      <c r="E108" s="240" t="s">
        <v>178</v>
      </c>
      <c r="F108" s="1313"/>
      <c r="G108" s="49" t="s">
        <v>22</v>
      </c>
      <c r="H108" s="40"/>
      <c r="I108" s="22">
        <f>294.6-19.8</f>
        <v>274.8</v>
      </c>
      <c r="J108" s="40">
        <v>274.8</v>
      </c>
      <c r="K108" s="1217"/>
      <c r="L108" s="359"/>
      <c r="M108" s="1151"/>
      <c r="N108" s="1202"/>
      <c r="O108" s="1152"/>
    </row>
    <row r="109" spans="1:18" ht="15" customHeight="1" x14ac:dyDescent="0.2">
      <c r="A109" s="1365"/>
      <c r="B109" s="1368"/>
      <c r="C109" s="1313"/>
      <c r="D109" s="1271"/>
      <c r="E109" s="240"/>
      <c r="F109" s="1313"/>
      <c r="G109" s="49" t="s">
        <v>154</v>
      </c>
      <c r="H109" s="40">
        <v>4264.5</v>
      </c>
      <c r="I109" s="22">
        <f>4264.5-112.8</f>
        <v>4151.7</v>
      </c>
      <c r="J109" s="40">
        <v>4151.7</v>
      </c>
      <c r="K109" s="1218"/>
      <c r="L109" s="359"/>
      <c r="M109" s="1151"/>
      <c r="N109" s="359"/>
      <c r="O109" s="1152"/>
    </row>
    <row r="110" spans="1:18" ht="16.5" customHeight="1" thickBot="1" x14ac:dyDescent="0.25">
      <c r="A110" s="1366"/>
      <c r="B110" s="1369"/>
      <c r="C110" s="1371"/>
      <c r="D110" s="252"/>
      <c r="E110" s="243"/>
      <c r="F110" s="1371"/>
      <c r="G110" s="85" t="s">
        <v>5</v>
      </c>
      <c r="H110" s="54">
        <f>SUM(H107:H109)</f>
        <v>4377.5</v>
      </c>
      <c r="I110" s="54">
        <f>SUM(I107:I109)</f>
        <v>4884.3999999999996</v>
      </c>
      <c r="J110" s="54">
        <f>SUM(J107:J109)</f>
        <v>4884.3999999999996</v>
      </c>
      <c r="K110" s="205"/>
      <c r="L110" s="88"/>
      <c r="M110" s="185"/>
      <c r="N110" s="88"/>
      <c r="O110" s="167"/>
    </row>
    <row r="111" spans="1:18" ht="14.25" customHeight="1" x14ac:dyDescent="0.2">
      <c r="A111" s="1364" t="s">
        <v>4</v>
      </c>
      <c r="B111" s="1367" t="s">
        <v>6</v>
      </c>
      <c r="C111" s="1370" t="s">
        <v>29</v>
      </c>
      <c r="D111" s="1375" t="s">
        <v>256</v>
      </c>
      <c r="E111" s="240" t="s">
        <v>178</v>
      </c>
      <c r="F111" s="1370" t="s">
        <v>46</v>
      </c>
      <c r="G111" s="49" t="s">
        <v>51</v>
      </c>
      <c r="H111" s="40"/>
      <c r="I111" s="40">
        <v>665</v>
      </c>
      <c r="J111" s="40">
        <v>665</v>
      </c>
      <c r="K111" s="1372" t="s">
        <v>726</v>
      </c>
      <c r="L111" s="119">
        <v>100</v>
      </c>
      <c r="M111" s="201">
        <v>100</v>
      </c>
      <c r="N111" s="119"/>
      <c r="O111" s="169"/>
    </row>
    <row r="112" spans="1:18" ht="14.25" customHeight="1" x14ac:dyDescent="0.2">
      <c r="A112" s="1365"/>
      <c r="B112" s="1368"/>
      <c r="C112" s="1313"/>
      <c r="D112" s="1321"/>
      <c r="E112" s="240"/>
      <c r="F112" s="1313"/>
      <c r="G112" s="49"/>
      <c r="H112" s="40"/>
      <c r="I112" s="40"/>
      <c r="J112" s="40"/>
      <c r="K112" s="1373"/>
      <c r="L112" s="359"/>
      <c r="M112" s="1151"/>
      <c r="N112" s="359"/>
      <c r="O112" s="1152"/>
    </row>
    <row r="113" spans="1:15" ht="16.5" customHeight="1" thickBot="1" x14ac:dyDescent="0.25">
      <c r="A113" s="1366"/>
      <c r="B113" s="1369"/>
      <c r="C113" s="1371"/>
      <c r="D113" s="1376"/>
      <c r="E113" s="243"/>
      <c r="F113" s="1371"/>
      <c r="G113" s="85" t="s">
        <v>5</v>
      </c>
      <c r="H113" s="54">
        <f>SUM(H111:H112)</f>
        <v>0</v>
      </c>
      <c r="I113" s="54">
        <f>SUM(I111:I112)</f>
        <v>665</v>
      </c>
      <c r="J113" s="54">
        <f>SUM(J111:J112)</f>
        <v>665</v>
      </c>
      <c r="K113" s="205"/>
      <c r="L113" s="88"/>
      <c r="M113" s="185"/>
      <c r="N113" s="88"/>
      <c r="O113" s="167"/>
    </row>
    <row r="114" spans="1:15" ht="14.25" customHeight="1" thickBot="1" x14ac:dyDescent="0.25">
      <c r="A114" s="55" t="s">
        <v>4</v>
      </c>
      <c r="B114" s="118" t="s">
        <v>6</v>
      </c>
      <c r="C114" s="1345" t="s">
        <v>7</v>
      </c>
      <c r="D114" s="1346"/>
      <c r="E114" s="1346"/>
      <c r="F114" s="1346"/>
      <c r="G114" s="1346"/>
      <c r="H114" s="74">
        <f>H113+H110+H106+H96</f>
        <v>10630.5</v>
      </c>
      <c r="I114" s="74">
        <f>I113+I110+I106+I96</f>
        <v>12118.9</v>
      </c>
      <c r="J114" s="74">
        <f>J113+J110+J106+J96</f>
        <v>12113.7</v>
      </c>
      <c r="K114" s="1379"/>
      <c r="L114" s="1379"/>
      <c r="M114" s="1379"/>
      <c r="N114" s="1379"/>
      <c r="O114" s="1380"/>
    </row>
    <row r="115" spans="1:15" ht="18" customHeight="1" thickBot="1" x14ac:dyDescent="0.25">
      <c r="A115" s="47" t="s">
        <v>4</v>
      </c>
      <c r="B115" s="118" t="s">
        <v>24</v>
      </c>
      <c r="C115" s="1335" t="s">
        <v>83</v>
      </c>
      <c r="D115" s="1381"/>
      <c r="E115" s="1381"/>
      <c r="F115" s="1381"/>
      <c r="G115" s="1381"/>
      <c r="H115" s="1381"/>
      <c r="I115" s="1381"/>
      <c r="J115" s="1381"/>
      <c r="K115" s="1381"/>
      <c r="L115" s="1381"/>
      <c r="M115" s="1381"/>
      <c r="N115" s="1381"/>
      <c r="O115" s="1382"/>
    </row>
    <row r="116" spans="1:15" ht="14.25" customHeight="1" x14ac:dyDescent="0.2">
      <c r="A116" s="1139" t="s">
        <v>4</v>
      </c>
      <c r="B116" s="117" t="s">
        <v>24</v>
      </c>
      <c r="C116" s="1142" t="s">
        <v>4</v>
      </c>
      <c r="D116" s="1393" t="s">
        <v>80</v>
      </c>
      <c r="E116" s="62" t="s">
        <v>178</v>
      </c>
      <c r="F116" s="1143"/>
      <c r="G116" s="87"/>
      <c r="H116" s="343"/>
      <c r="I116" s="343"/>
      <c r="J116" s="343"/>
      <c r="K116" s="134"/>
      <c r="L116" s="105"/>
      <c r="M116" s="105"/>
      <c r="N116" s="105"/>
      <c r="O116" s="106"/>
    </row>
    <row r="117" spans="1:15" ht="14.25" customHeight="1" x14ac:dyDescent="0.2">
      <c r="A117" s="1119"/>
      <c r="B117" s="1149"/>
      <c r="C117" s="1124"/>
      <c r="D117" s="1394"/>
      <c r="E117" s="158"/>
      <c r="F117" s="1110"/>
      <c r="G117" s="39"/>
      <c r="H117" s="70"/>
      <c r="I117" s="70"/>
      <c r="J117" s="51"/>
      <c r="K117" s="1117"/>
      <c r="L117" s="24"/>
      <c r="M117" s="24"/>
      <c r="N117" s="24"/>
      <c r="O117" s="26"/>
    </row>
    <row r="118" spans="1:15" ht="14.25" customHeight="1" x14ac:dyDescent="0.2">
      <c r="A118" s="1119"/>
      <c r="B118" s="1149"/>
      <c r="C118" s="1121" t="s">
        <v>4</v>
      </c>
      <c r="D118" s="1295" t="s">
        <v>78</v>
      </c>
      <c r="E118" s="1383" t="s">
        <v>60</v>
      </c>
      <c r="F118" s="1113" t="s">
        <v>31</v>
      </c>
      <c r="G118" s="34" t="s">
        <v>73</v>
      </c>
      <c r="H118" s="34">
        <v>224</v>
      </c>
      <c r="I118" s="34">
        <f>224-125+1.7</f>
        <v>100.7</v>
      </c>
      <c r="J118" s="34">
        <v>100.6</v>
      </c>
      <c r="K118" s="1177"/>
      <c r="L118" s="107"/>
      <c r="M118" s="22"/>
      <c r="N118" s="22"/>
      <c r="O118" s="23"/>
    </row>
    <row r="119" spans="1:15" ht="14.25" customHeight="1" x14ac:dyDescent="0.2">
      <c r="A119" s="1119"/>
      <c r="B119" s="1149"/>
      <c r="C119" s="1124"/>
      <c r="D119" s="1321"/>
      <c r="E119" s="1384"/>
      <c r="F119" s="1110"/>
      <c r="G119" s="40" t="s">
        <v>57</v>
      </c>
      <c r="H119" s="40">
        <v>254.1</v>
      </c>
      <c r="I119" s="40">
        <f>254.1</f>
        <v>254.1</v>
      </c>
      <c r="J119" s="40">
        <v>254.1</v>
      </c>
      <c r="K119" s="1177"/>
      <c r="L119" s="107"/>
      <c r="M119" s="22"/>
      <c r="N119" s="22"/>
      <c r="O119" s="23"/>
    </row>
    <row r="120" spans="1:15" ht="14.25" customHeight="1" x14ac:dyDescent="0.2">
      <c r="A120" s="1119"/>
      <c r="B120" s="1149"/>
      <c r="C120" s="1124"/>
      <c r="D120" s="1321"/>
      <c r="E120" s="1384"/>
      <c r="F120" s="1110"/>
      <c r="G120" s="40" t="s">
        <v>59</v>
      </c>
      <c r="H120" s="40">
        <v>38</v>
      </c>
      <c r="I120" s="40">
        <v>33.299999999999997</v>
      </c>
      <c r="J120" s="40">
        <v>33.299999999999997</v>
      </c>
      <c r="K120" s="1177"/>
      <c r="L120" s="107"/>
      <c r="M120" s="22"/>
      <c r="N120" s="22"/>
      <c r="O120" s="23"/>
    </row>
    <row r="121" spans="1:15" ht="14.25" customHeight="1" x14ac:dyDescent="0.2">
      <c r="A121" s="1119"/>
      <c r="B121" s="1149"/>
      <c r="C121" s="1124"/>
      <c r="D121" s="1321"/>
      <c r="E121" s="1384"/>
      <c r="F121" s="1110"/>
      <c r="G121" s="40" t="s">
        <v>51</v>
      </c>
      <c r="H121" s="40">
        <v>31.9</v>
      </c>
      <c r="I121" s="40">
        <v>0</v>
      </c>
      <c r="J121" s="40"/>
      <c r="K121" s="1177"/>
      <c r="L121" s="107"/>
      <c r="M121" s="22"/>
      <c r="N121" s="22"/>
      <c r="O121" s="23"/>
    </row>
    <row r="122" spans="1:15" ht="14.25" customHeight="1" x14ac:dyDescent="0.2">
      <c r="A122" s="1119"/>
      <c r="B122" s="1149"/>
      <c r="C122" s="1124"/>
      <c r="D122" s="1321"/>
      <c r="E122" s="1384"/>
      <c r="F122" s="1110"/>
      <c r="G122" s="547" t="s">
        <v>22</v>
      </c>
      <c r="H122" s="547"/>
      <c r="I122" s="547">
        <v>68.599999999999994</v>
      </c>
      <c r="J122" s="547">
        <v>68.599999999999994</v>
      </c>
      <c r="K122" s="1177"/>
      <c r="L122" s="107"/>
      <c r="M122" s="22"/>
      <c r="N122" s="22"/>
      <c r="O122" s="23"/>
    </row>
    <row r="123" spans="1:15" ht="146.25" customHeight="1" x14ac:dyDescent="0.2">
      <c r="A123" s="1119"/>
      <c r="B123" s="1149"/>
      <c r="C123" s="1124"/>
      <c r="D123" s="1321"/>
      <c r="E123" s="1384"/>
      <c r="F123" s="1110"/>
      <c r="G123" s="40"/>
      <c r="H123" s="40"/>
      <c r="I123" s="40"/>
      <c r="J123" s="40"/>
      <c r="K123" s="291" t="s">
        <v>84</v>
      </c>
      <c r="L123" s="986">
        <v>14.5</v>
      </c>
      <c r="M123" s="289">
        <v>15.2</v>
      </c>
      <c r="N123" s="1155" t="s">
        <v>792</v>
      </c>
      <c r="O123" s="23"/>
    </row>
    <row r="124" spans="1:15" ht="17.25" customHeight="1" x14ac:dyDescent="0.2">
      <c r="A124" s="1119"/>
      <c r="B124" s="1149"/>
      <c r="C124" s="1124"/>
      <c r="D124" s="1321"/>
      <c r="E124" s="1385"/>
      <c r="F124" s="1110"/>
      <c r="G124" s="40"/>
      <c r="H124" s="40"/>
      <c r="I124" s="40"/>
      <c r="J124" s="40"/>
      <c r="K124" s="1177" t="s">
        <v>32</v>
      </c>
      <c r="L124" s="359">
        <f>66+5</f>
        <v>71</v>
      </c>
      <c r="M124" s="361">
        <v>71</v>
      </c>
      <c r="N124" s="1015" t="s">
        <v>727</v>
      </c>
      <c r="O124" s="1152"/>
    </row>
    <row r="125" spans="1:15" ht="53.25" customHeight="1" x14ac:dyDescent="0.2">
      <c r="A125" s="1119"/>
      <c r="B125" s="1149"/>
      <c r="C125" s="1124"/>
      <c r="D125" s="1321"/>
      <c r="E125" s="1386"/>
      <c r="F125" s="1110"/>
      <c r="G125" s="40"/>
      <c r="H125" s="40"/>
      <c r="I125" s="40"/>
      <c r="J125" s="40"/>
      <c r="K125" s="1176" t="s">
        <v>209</v>
      </c>
      <c r="L125" s="18">
        <v>100</v>
      </c>
      <c r="M125" s="81">
        <v>107</v>
      </c>
      <c r="N125" s="1155" t="s">
        <v>793</v>
      </c>
      <c r="O125" s="23"/>
    </row>
    <row r="126" spans="1:15" ht="42.75" customHeight="1" x14ac:dyDescent="0.2">
      <c r="A126" s="1119"/>
      <c r="B126" s="1149"/>
      <c r="C126" s="1124"/>
      <c r="D126" s="1321"/>
      <c r="E126" s="1144"/>
      <c r="F126" s="1110"/>
      <c r="G126" s="40"/>
      <c r="H126" s="40"/>
      <c r="I126" s="40"/>
      <c r="J126" s="40"/>
      <c r="K126" s="1176" t="s">
        <v>794</v>
      </c>
      <c r="L126" s="1124" t="s">
        <v>642</v>
      </c>
      <c r="M126" s="139" t="s">
        <v>642</v>
      </c>
      <c r="N126" s="1016" t="s">
        <v>728</v>
      </c>
      <c r="O126" s="23"/>
    </row>
    <row r="127" spans="1:15" ht="27.75" customHeight="1" x14ac:dyDescent="0.2">
      <c r="A127" s="1119"/>
      <c r="B127" s="1149"/>
      <c r="C127" s="1124"/>
      <c r="D127" s="1321"/>
      <c r="E127" s="1144"/>
      <c r="F127" s="1110"/>
      <c r="G127" s="40"/>
      <c r="H127" s="69"/>
      <c r="I127" s="69"/>
      <c r="J127" s="40"/>
      <c r="K127" s="291" t="s">
        <v>212</v>
      </c>
      <c r="L127" s="18">
        <v>1</v>
      </c>
      <c r="M127" s="18">
        <v>1</v>
      </c>
      <c r="N127" s="321"/>
      <c r="O127" s="292"/>
    </row>
    <row r="128" spans="1:15" ht="13.5" customHeight="1" x14ac:dyDescent="0.2">
      <c r="A128" s="1119"/>
      <c r="B128" s="1149"/>
      <c r="C128" s="1124"/>
      <c r="D128" s="1321"/>
      <c r="E128" s="1144"/>
      <c r="F128" s="1110"/>
      <c r="G128" s="40"/>
      <c r="H128" s="69"/>
      <c r="I128" s="69"/>
      <c r="J128" s="113"/>
      <c r="K128" s="1387" t="s">
        <v>795</v>
      </c>
      <c r="L128" s="359">
        <v>5</v>
      </c>
      <c r="M128" s="359">
        <v>5</v>
      </c>
      <c r="N128" s="1395" t="s">
        <v>436</v>
      </c>
      <c r="O128" s="292"/>
    </row>
    <row r="129" spans="1:15" ht="42" customHeight="1" x14ac:dyDescent="0.2">
      <c r="A129" s="1119"/>
      <c r="B129" s="1149"/>
      <c r="C129" s="1124"/>
      <c r="D129" s="1321"/>
      <c r="E129" s="1144"/>
      <c r="F129" s="1110"/>
      <c r="G129" s="40"/>
      <c r="H129" s="69"/>
      <c r="I129" s="69"/>
      <c r="J129" s="113"/>
      <c r="K129" s="1388"/>
      <c r="L129" s="359"/>
      <c r="M129" s="359"/>
      <c r="N129" s="1202"/>
      <c r="O129" s="292"/>
    </row>
    <row r="130" spans="1:15" ht="26.25" customHeight="1" x14ac:dyDescent="0.2">
      <c r="A130" s="1119"/>
      <c r="B130" s="1149"/>
      <c r="C130" s="1124"/>
      <c r="D130" s="1108"/>
      <c r="E130" s="293"/>
      <c r="F130" s="1110"/>
      <c r="G130" s="39"/>
      <c r="H130" s="69"/>
      <c r="I130" s="69"/>
      <c r="J130" s="40"/>
      <c r="K130" s="1389"/>
      <c r="L130" s="359"/>
      <c r="M130" s="359"/>
      <c r="N130" s="294"/>
      <c r="O130" s="292"/>
    </row>
    <row r="131" spans="1:15" ht="15" customHeight="1" x14ac:dyDescent="0.2">
      <c r="A131" s="1119"/>
      <c r="B131" s="1149"/>
      <c r="C131" s="1121" t="s">
        <v>6</v>
      </c>
      <c r="D131" s="1109" t="s">
        <v>53</v>
      </c>
      <c r="E131" s="131"/>
      <c r="F131" s="1128"/>
      <c r="G131" s="40" t="s">
        <v>73</v>
      </c>
      <c r="H131" s="68">
        <v>120</v>
      </c>
      <c r="I131" s="68">
        <v>100</v>
      </c>
      <c r="J131" s="34">
        <v>100</v>
      </c>
      <c r="K131" s="295" t="s">
        <v>64</v>
      </c>
      <c r="L131" s="358">
        <v>1</v>
      </c>
      <c r="M131" s="358">
        <v>1</v>
      </c>
      <c r="N131" s="366" t="s">
        <v>739</v>
      </c>
      <c r="O131" s="1152"/>
    </row>
    <row r="132" spans="1:15" ht="13.5" customHeight="1" x14ac:dyDescent="0.2">
      <c r="A132" s="1119"/>
      <c r="B132" s="1149"/>
      <c r="C132" s="1124"/>
      <c r="D132" s="1108"/>
      <c r="E132" s="293"/>
      <c r="F132" s="1128"/>
      <c r="G132" s="40" t="s">
        <v>57</v>
      </c>
      <c r="H132" s="69">
        <v>15</v>
      </c>
      <c r="I132" s="69">
        <v>15</v>
      </c>
      <c r="J132" s="49">
        <v>15</v>
      </c>
      <c r="K132" s="1177"/>
      <c r="L132" s="359"/>
      <c r="M132" s="359"/>
      <c r="N132" s="365"/>
      <c r="O132" s="1152"/>
    </row>
    <row r="133" spans="1:15" ht="13.5" customHeight="1" x14ac:dyDescent="0.2">
      <c r="A133" s="1119"/>
      <c r="B133" s="1149"/>
      <c r="C133" s="1121" t="s">
        <v>24</v>
      </c>
      <c r="D133" s="1377" t="s">
        <v>86</v>
      </c>
      <c r="E133" s="207"/>
      <c r="F133" s="998"/>
      <c r="G133" s="34" t="s">
        <v>57</v>
      </c>
      <c r="H133" s="68">
        <v>8</v>
      </c>
      <c r="I133" s="68">
        <v>8</v>
      </c>
      <c r="J133" s="68">
        <v>8</v>
      </c>
      <c r="K133" s="1197" t="s">
        <v>153</v>
      </c>
      <c r="L133" s="358">
        <v>14</v>
      </c>
      <c r="M133" s="358">
        <v>11</v>
      </c>
      <c r="N133" s="928"/>
      <c r="O133" s="1152"/>
    </row>
    <row r="134" spans="1:15" ht="15.75" customHeight="1" x14ac:dyDescent="0.2">
      <c r="A134" s="1119"/>
      <c r="B134" s="1149"/>
      <c r="C134" s="1124"/>
      <c r="D134" s="1378"/>
      <c r="E134" s="174"/>
      <c r="F134" s="998"/>
      <c r="G134" s="39"/>
      <c r="H134" s="51"/>
      <c r="I134" s="51"/>
      <c r="J134" s="51"/>
      <c r="K134" s="1198"/>
      <c r="L134" s="255"/>
      <c r="M134" s="255"/>
      <c r="N134" s="929"/>
      <c r="O134" s="1152"/>
    </row>
    <row r="135" spans="1:15" ht="29.25" customHeight="1" x14ac:dyDescent="0.2">
      <c r="A135" s="1119"/>
      <c r="B135" s="1149"/>
      <c r="C135" s="1121" t="s">
        <v>29</v>
      </c>
      <c r="D135" s="1136" t="s">
        <v>79</v>
      </c>
      <c r="E135" s="1173"/>
      <c r="F135" s="1160"/>
      <c r="G135" s="39" t="s">
        <v>57</v>
      </c>
      <c r="H135" s="202">
        <v>544</v>
      </c>
      <c r="I135" s="202">
        <v>544</v>
      </c>
      <c r="J135" s="202">
        <v>544</v>
      </c>
      <c r="K135" s="100" t="s">
        <v>100</v>
      </c>
      <c r="L135" s="33">
        <v>172</v>
      </c>
      <c r="M135" s="6">
        <v>172</v>
      </c>
      <c r="N135" s="322"/>
      <c r="O135" s="1061"/>
    </row>
    <row r="136" spans="1:15" ht="18.75" customHeight="1" x14ac:dyDescent="0.2">
      <c r="A136" s="1164"/>
      <c r="B136" s="1149"/>
      <c r="C136" s="965" t="s">
        <v>628</v>
      </c>
      <c r="D136" s="1361" t="s">
        <v>108</v>
      </c>
      <c r="E136" s="1170" t="s">
        <v>41</v>
      </c>
      <c r="F136" s="1110"/>
      <c r="G136" s="40" t="s">
        <v>22</v>
      </c>
      <c r="H136" s="49">
        <v>76.5</v>
      </c>
      <c r="I136" s="49">
        <v>47.9</v>
      </c>
      <c r="J136" s="49">
        <v>47.9</v>
      </c>
      <c r="K136" s="1402" t="s">
        <v>97</v>
      </c>
      <c r="L136" s="150">
        <v>13</v>
      </c>
      <c r="M136" s="150">
        <v>13</v>
      </c>
      <c r="N136" s="1201" t="s">
        <v>796</v>
      </c>
      <c r="O136" s="99"/>
    </row>
    <row r="137" spans="1:15" ht="177.75" customHeight="1" x14ac:dyDescent="0.2">
      <c r="A137" s="1164"/>
      <c r="B137" s="1149"/>
      <c r="C137" s="970"/>
      <c r="D137" s="1363"/>
      <c r="E137" s="64"/>
      <c r="F137" s="1111"/>
      <c r="G137" s="39"/>
      <c r="H137" s="70"/>
      <c r="I137" s="70"/>
      <c r="J137" s="70"/>
      <c r="K137" s="1403"/>
      <c r="L137" s="151"/>
      <c r="M137" s="151"/>
      <c r="N137" s="1203"/>
      <c r="O137" s="206"/>
    </row>
    <row r="138" spans="1:15" ht="16.5" customHeight="1" thickBot="1" x14ac:dyDescent="0.25">
      <c r="A138" s="1164"/>
      <c r="B138" s="1149"/>
      <c r="C138" s="972"/>
      <c r="D138" s="252"/>
      <c r="E138" s="243"/>
      <c r="F138" s="385"/>
      <c r="G138" s="85" t="s">
        <v>5</v>
      </c>
      <c r="H138" s="54">
        <f>SUM(H118:H137)</f>
        <v>1311.5</v>
      </c>
      <c r="I138" s="54">
        <f>SUM(I118:I137)</f>
        <v>1171.5999999999999</v>
      </c>
      <c r="J138" s="54">
        <f>SUM(J118:J137)</f>
        <v>1171.5</v>
      </c>
      <c r="K138" s="205"/>
      <c r="L138" s="88"/>
      <c r="M138" s="185"/>
      <c r="N138" s="88"/>
      <c r="O138" s="167"/>
    </row>
    <row r="139" spans="1:15" ht="15.75" customHeight="1" x14ac:dyDescent="0.2">
      <c r="A139" s="1404" t="s">
        <v>4</v>
      </c>
      <c r="B139" s="1406" t="s">
        <v>24</v>
      </c>
      <c r="C139" s="1370" t="s">
        <v>6</v>
      </c>
      <c r="D139" s="1408" t="s">
        <v>213</v>
      </c>
      <c r="E139" s="1410" t="s">
        <v>178</v>
      </c>
      <c r="F139" s="1413" t="s">
        <v>46</v>
      </c>
      <c r="G139" s="58" t="s">
        <v>22</v>
      </c>
      <c r="H139" s="87">
        <v>136.80000000000001</v>
      </c>
      <c r="I139" s="87">
        <v>136.80000000000001</v>
      </c>
      <c r="J139" s="102">
        <v>83.4</v>
      </c>
      <c r="K139" s="109" t="s">
        <v>56</v>
      </c>
      <c r="L139" s="116">
        <v>18</v>
      </c>
      <c r="M139" s="116">
        <v>18</v>
      </c>
      <c r="N139" s="181"/>
      <c r="O139" s="187"/>
    </row>
    <row r="140" spans="1:15" ht="13.5" customHeight="1" x14ac:dyDescent="0.2">
      <c r="A140" s="1315"/>
      <c r="B140" s="1310"/>
      <c r="C140" s="1313"/>
      <c r="D140" s="1361"/>
      <c r="E140" s="1411"/>
      <c r="F140" s="1294"/>
      <c r="G140" s="45"/>
      <c r="H140" s="35"/>
      <c r="I140" s="35"/>
      <c r="J140" s="77"/>
      <c r="K140" s="1137" t="s">
        <v>65</v>
      </c>
      <c r="L140" s="359">
        <v>7</v>
      </c>
      <c r="M140" s="359">
        <v>7</v>
      </c>
      <c r="N140" s="1151"/>
      <c r="O140" s="1152"/>
    </row>
    <row r="141" spans="1:15" ht="16.5" customHeight="1" thickBot="1" x14ac:dyDescent="0.25">
      <c r="A141" s="1405"/>
      <c r="B141" s="1407"/>
      <c r="C141" s="1371"/>
      <c r="D141" s="1409"/>
      <c r="E141" s="1412"/>
      <c r="F141" s="1414"/>
      <c r="G141" s="72" t="s">
        <v>5</v>
      </c>
      <c r="H141" s="78">
        <f>SUM(H139:H140)</f>
        <v>136.80000000000001</v>
      </c>
      <c r="I141" s="78">
        <f>SUM(I139:I140)</f>
        <v>136.80000000000001</v>
      </c>
      <c r="J141" s="98">
        <f>SUM(J139:J140)</f>
        <v>83.4</v>
      </c>
      <c r="K141" s="253"/>
      <c r="L141" s="88"/>
      <c r="M141" s="88"/>
      <c r="N141" s="185"/>
      <c r="O141" s="167"/>
    </row>
    <row r="142" spans="1:15" ht="19.5" customHeight="1" x14ac:dyDescent="0.2">
      <c r="A142" s="1145" t="s">
        <v>4</v>
      </c>
      <c r="B142" s="171" t="s">
        <v>24</v>
      </c>
      <c r="C142" s="1142" t="s">
        <v>24</v>
      </c>
      <c r="D142" s="1390" t="s">
        <v>121</v>
      </c>
      <c r="E142" s="1391" t="s">
        <v>179</v>
      </c>
      <c r="F142" s="1143"/>
      <c r="G142" s="161"/>
      <c r="H142" s="161"/>
      <c r="I142" s="161"/>
      <c r="J142" s="172"/>
      <c r="K142" s="173"/>
      <c r="L142" s="86"/>
      <c r="M142" s="86"/>
      <c r="N142" s="103"/>
      <c r="O142" s="106"/>
    </row>
    <row r="143" spans="1:15" ht="20.25" customHeight="1" x14ac:dyDescent="0.2">
      <c r="A143" s="1132"/>
      <c r="B143" s="1133"/>
      <c r="C143" s="1124"/>
      <c r="D143" s="1340"/>
      <c r="E143" s="1392"/>
      <c r="F143" s="1111"/>
      <c r="G143" s="154"/>
      <c r="H143" s="154"/>
      <c r="I143" s="154"/>
      <c r="J143" s="155"/>
      <c r="K143" s="1138"/>
      <c r="L143" s="25"/>
      <c r="M143" s="25"/>
      <c r="N143" s="79"/>
      <c r="O143" s="26"/>
    </row>
    <row r="144" spans="1:15" ht="15.75" customHeight="1" x14ac:dyDescent="0.2">
      <c r="A144" s="1365"/>
      <c r="B144" s="1396"/>
      <c r="C144" s="1330" t="s">
        <v>4</v>
      </c>
      <c r="D144" s="1397" t="s">
        <v>252</v>
      </c>
      <c r="E144" s="1383" t="s">
        <v>180</v>
      </c>
      <c r="F144" s="1417">
        <v>5</v>
      </c>
      <c r="G144" s="34" t="s">
        <v>38</v>
      </c>
      <c r="H144" s="34">
        <v>420</v>
      </c>
      <c r="I144" s="34">
        <v>420</v>
      </c>
      <c r="J144" s="52">
        <v>0</v>
      </c>
      <c r="K144" s="1415" t="s">
        <v>133</v>
      </c>
      <c r="L144" s="1017">
        <v>1</v>
      </c>
      <c r="M144" s="956">
        <v>0</v>
      </c>
      <c r="N144" s="1062" t="s">
        <v>750</v>
      </c>
      <c r="O144" s="1206" t="s">
        <v>756</v>
      </c>
    </row>
    <row r="145" spans="1:17" ht="17.25" customHeight="1" x14ac:dyDescent="0.2">
      <c r="A145" s="1365"/>
      <c r="B145" s="1396"/>
      <c r="C145" s="1316"/>
      <c r="D145" s="1398"/>
      <c r="E145" s="1400"/>
      <c r="F145" s="1418"/>
      <c r="G145" s="40" t="s">
        <v>22</v>
      </c>
      <c r="H145" s="40">
        <v>207</v>
      </c>
      <c r="I145" s="40">
        <v>207</v>
      </c>
      <c r="J145" s="49">
        <v>0</v>
      </c>
      <c r="K145" s="1416"/>
      <c r="L145" s="1018"/>
      <c r="M145" s="1019"/>
      <c r="N145" s="1020"/>
      <c r="O145" s="1212"/>
    </row>
    <row r="146" spans="1:17" ht="20.25" customHeight="1" x14ac:dyDescent="0.2">
      <c r="A146" s="1365"/>
      <c r="B146" s="1396"/>
      <c r="C146" s="1316"/>
      <c r="D146" s="1399"/>
      <c r="E146" s="1401"/>
      <c r="F146" s="1418"/>
      <c r="G146" s="39" t="s">
        <v>51</v>
      </c>
      <c r="H146" s="39">
        <v>277.3</v>
      </c>
      <c r="I146" s="39">
        <v>277.3</v>
      </c>
      <c r="J146" s="51">
        <v>0</v>
      </c>
      <c r="K146" s="1021"/>
      <c r="L146" s="1022"/>
      <c r="M146" s="959"/>
      <c r="N146" s="1023"/>
      <c r="O146" s="1207"/>
    </row>
    <row r="147" spans="1:17" ht="15.75" customHeight="1" x14ac:dyDescent="0.2">
      <c r="A147" s="1365"/>
      <c r="B147" s="1396"/>
      <c r="C147" s="1330" t="s">
        <v>6</v>
      </c>
      <c r="D147" s="1421" t="s">
        <v>131</v>
      </c>
      <c r="E147" s="1384" t="s">
        <v>181</v>
      </c>
      <c r="F147" s="1418"/>
      <c r="G147" s="40" t="s">
        <v>22</v>
      </c>
      <c r="H147" s="40">
        <v>42.2</v>
      </c>
      <c r="I147" s="40">
        <v>42.2</v>
      </c>
      <c r="J147" s="49">
        <v>4.7</v>
      </c>
      <c r="K147" s="1252" t="s">
        <v>116</v>
      </c>
      <c r="L147" s="1072">
        <v>1</v>
      </c>
      <c r="M147" s="1073" t="s">
        <v>721</v>
      </c>
      <c r="N147" s="1246" t="s">
        <v>747</v>
      </c>
      <c r="O147" s="1208" t="s">
        <v>797</v>
      </c>
      <c r="P147" s="1071"/>
    </row>
    <row r="148" spans="1:17" ht="18" customHeight="1" x14ac:dyDescent="0.2">
      <c r="A148" s="1365"/>
      <c r="B148" s="1396"/>
      <c r="C148" s="1316"/>
      <c r="D148" s="1422"/>
      <c r="E148" s="1423"/>
      <c r="F148" s="1418"/>
      <c r="G148" s="40" t="s">
        <v>51</v>
      </c>
      <c r="H148" s="40">
        <v>12.3</v>
      </c>
      <c r="I148" s="40">
        <f>12.3+152</f>
        <v>164.3</v>
      </c>
      <c r="J148" s="49">
        <v>0</v>
      </c>
      <c r="K148" s="1253"/>
      <c r="L148" s="1075"/>
      <c r="M148" s="1058"/>
      <c r="N148" s="1247"/>
      <c r="O148" s="1209"/>
    </row>
    <row r="149" spans="1:17" ht="71.25" customHeight="1" x14ac:dyDescent="0.2">
      <c r="A149" s="132"/>
      <c r="B149" s="1133"/>
      <c r="C149" s="159"/>
      <c r="D149" s="1422"/>
      <c r="E149" s="1424"/>
      <c r="F149" s="1418"/>
      <c r="G149" s="40" t="s">
        <v>38</v>
      </c>
      <c r="H149" s="40">
        <v>499.1</v>
      </c>
      <c r="I149" s="40">
        <v>499.1</v>
      </c>
      <c r="J149" s="49">
        <v>0</v>
      </c>
      <c r="K149" s="1077"/>
      <c r="L149" s="1078"/>
      <c r="M149" s="1079"/>
      <c r="N149" s="1248"/>
      <c r="O149" s="1259"/>
    </row>
    <row r="150" spans="1:17" ht="14.25" customHeight="1" x14ac:dyDescent="0.2">
      <c r="A150" s="1315"/>
      <c r="B150" s="1310"/>
      <c r="C150" s="1330" t="s">
        <v>24</v>
      </c>
      <c r="D150" s="1270" t="s">
        <v>113</v>
      </c>
      <c r="E150" s="1383" t="s">
        <v>90</v>
      </c>
      <c r="F150" s="1418"/>
      <c r="G150" s="92" t="s">
        <v>22</v>
      </c>
      <c r="H150" s="34">
        <v>14.7</v>
      </c>
      <c r="I150" s="34">
        <v>14.7</v>
      </c>
      <c r="J150" s="52">
        <v>11.5</v>
      </c>
      <c r="K150" s="1250" t="s">
        <v>132</v>
      </c>
      <c r="L150" s="141">
        <v>6</v>
      </c>
      <c r="M150" s="141">
        <v>6</v>
      </c>
      <c r="N150" s="1199" t="s">
        <v>757</v>
      </c>
      <c r="O150" s="259"/>
    </row>
    <row r="151" spans="1:17" ht="13.5" customHeight="1" x14ac:dyDescent="0.2">
      <c r="A151" s="1315"/>
      <c r="B151" s="1310"/>
      <c r="C151" s="1316"/>
      <c r="D151" s="1420"/>
      <c r="E151" s="1400"/>
      <c r="F151" s="1418"/>
      <c r="G151" s="40" t="s">
        <v>154</v>
      </c>
      <c r="H151" s="40">
        <v>83.3</v>
      </c>
      <c r="I151" s="40">
        <v>83.3</v>
      </c>
      <c r="J151" s="49">
        <v>65.099999999999994</v>
      </c>
      <c r="K151" s="1251"/>
      <c r="L151" s="141"/>
      <c r="M151" s="141"/>
      <c r="N151" s="1249"/>
      <c r="O151" s="1152"/>
    </row>
    <row r="152" spans="1:17" ht="64.5" customHeight="1" x14ac:dyDescent="0.2">
      <c r="A152" s="1315"/>
      <c r="B152" s="1310"/>
      <c r="C152" s="1316"/>
      <c r="D152" s="1340"/>
      <c r="E152" s="1401"/>
      <c r="F152" s="1418"/>
      <c r="G152" s="45"/>
      <c r="H152" s="39"/>
      <c r="I152" s="39"/>
      <c r="J152" s="51"/>
      <c r="K152" s="1162"/>
      <c r="L152" s="33"/>
      <c r="M152" s="33"/>
      <c r="N152" s="1200"/>
      <c r="O152" s="1026"/>
    </row>
    <row r="153" spans="1:17" ht="14.25" customHeight="1" x14ac:dyDescent="0.2">
      <c r="A153" s="1315"/>
      <c r="B153" s="1310"/>
      <c r="C153" s="1330" t="s">
        <v>29</v>
      </c>
      <c r="D153" s="1270" t="s">
        <v>214</v>
      </c>
      <c r="E153" s="1429" t="s">
        <v>90</v>
      </c>
      <c r="F153" s="1418"/>
      <c r="G153" s="92" t="s">
        <v>22</v>
      </c>
      <c r="H153" s="34"/>
      <c r="I153" s="34">
        <v>2.8</v>
      </c>
      <c r="J153" s="52">
        <v>2</v>
      </c>
      <c r="K153" s="1171" t="s">
        <v>216</v>
      </c>
      <c r="L153" s="141"/>
      <c r="M153" s="141"/>
      <c r="N153" s="1199" t="s">
        <v>758</v>
      </c>
      <c r="O153" s="137"/>
    </row>
    <row r="154" spans="1:17" ht="14.25" customHeight="1" x14ac:dyDescent="0.2">
      <c r="A154" s="1315"/>
      <c r="B154" s="1310"/>
      <c r="C154" s="1316"/>
      <c r="D154" s="1340"/>
      <c r="E154" s="1430"/>
      <c r="F154" s="1419"/>
      <c r="G154" s="45"/>
      <c r="H154" s="39"/>
      <c r="I154" s="39"/>
      <c r="J154" s="51"/>
      <c r="K154" s="1162"/>
      <c r="L154" s="33"/>
      <c r="M154" s="33"/>
      <c r="N154" s="1200"/>
      <c r="O154" s="1026"/>
    </row>
    <row r="155" spans="1:17" ht="37.5" customHeight="1" x14ac:dyDescent="0.2">
      <c r="A155" s="1119"/>
      <c r="B155" s="1120"/>
      <c r="C155" s="1121" t="s">
        <v>628</v>
      </c>
      <c r="D155" s="1153" t="s">
        <v>92</v>
      </c>
      <c r="E155" s="1024" t="s">
        <v>118</v>
      </c>
      <c r="F155" s="999" t="s">
        <v>31</v>
      </c>
      <c r="G155" s="156" t="s">
        <v>59</v>
      </c>
      <c r="H155" s="156">
        <v>24.2</v>
      </c>
      <c r="I155" s="156">
        <v>24.2</v>
      </c>
      <c r="J155" s="178">
        <v>24.2</v>
      </c>
      <c r="K155" s="43" t="s">
        <v>66</v>
      </c>
      <c r="L155" s="175">
        <v>1</v>
      </c>
      <c r="M155" s="175">
        <v>1</v>
      </c>
      <c r="N155" s="175"/>
      <c r="O155" s="176"/>
    </row>
    <row r="156" spans="1:17" ht="15.75" customHeight="1" x14ac:dyDescent="0.2">
      <c r="A156" s="1315"/>
      <c r="B156" s="1310"/>
      <c r="C156" s="1330" t="s">
        <v>30</v>
      </c>
      <c r="D156" s="1270" t="s">
        <v>151</v>
      </c>
      <c r="E156" s="1426" t="s">
        <v>90</v>
      </c>
      <c r="F156" s="1526" t="s">
        <v>31</v>
      </c>
      <c r="G156" s="34" t="s">
        <v>57</v>
      </c>
      <c r="H156" s="34">
        <v>12</v>
      </c>
      <c r="I156" s="34">
        <v>12</v>
      </c>
      <c r="J156" s="52">
        <v>12</v>
      </c>
      <c r="K156" s="1197" t="s">
        <v>217</v>
      </c>
      <c r="L156" s="258">
        <v>11</v>
      </c>
      <c r="M156" s="258">
        <v>7</v>
      </c>
      <c r="N156" s="1201" t="s">
        <v>740</v>
      </c>
      <c r="O156" s="1025"/>
    </row>
    <row r="157" spans="1:17" ht="11.25" customHeight="1" x14ac:dyDescent="0.2">
      <c r="A157" s="1315"/>
      <c r="B157" s="1310"/>
      <c r="C157" s="1316"/>
      <c r="D157" s="1271"/>
      <c r="E157" s="1427"/>
      <c r="F157" s="1294"/>
      <c r="G157" s="40"/>
      <c r="H157" s="41"/>
      <c r="I157" s="41"/>
      <c r="J157" s="49"/>
      <c r="K157" s="1338"/>
      <c r="L157" s="141"/>
      <c r="M157" s="141"/>
      <c r="N157" s="1202"/>
      <c r="O157" s="1152"/>
      <c r="Q157" s="31"/>
    </row>
    <row r="158" spans="1:17" ht="39.75" customHeight="1" x14ac:dyDescent="0.2">
      <c r="A158" s="1315"/>
      <c r="B158" s="1310"/>
      <c r="C158" s="1425"/>
      <c r="D158" s="1340"/>
      <c r="E158" s="1428"/>
      <c r="F158" s="1522"/>
      <c r="G158" s="39"/>
      <c r="H158" s="39"/>
      <c r="I158" s="39"/>
      <c r="J158" s="51"/>
      <c r="K158" s="1162"/>
      <c r="L158" s="80"/>
      <c r="M158" s="80"/>
      <c r="N158" s="1203"/>
      <c r="O158" s="1026"/>
    </row>
    <row r="159" spans="1:17" ht="16.5" customHeight="1" thickBot="1" x14ac:dyDescent="0.25">
      <c r="A159" s="1164"/>
      <c r="B159" s="1120"/>
      <c r="C159" s="159"/>
      <c r="D159" s="386"/>
      <c r="E159" s="387"/>
      <c r="F159" s="385"/>
      <c r="G159" s="72" t="s">
        <v>5</v>
      </c>
      <c r="H159" s="78">
        <f>SUM(H144:H158)</f>
        <v>1592.1</v>
      </c>
      <c r="I159" s="78">
        <f>SUM(I144:I158)</f>
        <v>1746.9</v>
      </c>
      <c r="J159" s="78">
        <f>SUM(J144:J158)</f>
        <v>119.5</v>
      </c>
      <c r="K159" s="253"/>
      <c r="L159" s="88"/>
      <c r="M159" s="88"/>
      <c r="N159" s="185"/>
      <c r="O159" s="167"/>
    </row>
    <row r="160" spans="1:17" ht="14.25" customHeight="1" thickBot="1" x14ac:dyDescent="0.25">
      <c r="A160" s="55" t="s">
        <v>4</v>
      </c>
      <c r="B160" s="48" t="s">
        <v>24</v>
      </c>
      <c r="C160" s="1346" t="s">
        <v>7</v>
      </c>
      <c r="D160" s="1346"/>
      <c r="E160" s="1346"/>
      <c r="F160" s="1346"/>
      <c r="G160" s="1347"/>
      <c r="H160" s="101">
        <f>H159+H141+H138</f>
        <v>3040.4</v>
      </c>
      <c r="I160" s="101">
        <f>I159+I141+I138</f>
        <v>3055.3</v>
      </c>
      <c r="J160" s="101">
        <f>J159+J141+J138</f>
        <v>1374.4</v>
      </c>
      <c r="K160" s="1379"/>
      <c r="L160" s="1379"/>
      <c r="M160" s="1379"/>
      <c r="N160" s="1379"/>
      <c r="O160" s="1380"/>
    </row>
    <row r="161" spans="1:16" ht="14.25" customHeight="1" thickBot="1" x14ac:dyDescent="0.25">
      <c r="A161" s="1139" t="s">
        <v>4</v>
      </c>
      <c r="B161" s="1140" t="s">
        <v>29</v>
      </c>
      <c r="C161" s="1527" t="s">
        <v>120</v>
      </c>
      <c r="D161" s="1528"/>
      <c r="E161" s="1528"/>
      <c r="F161" s="1528"/>
      <c r="G161" s="1528"/>
      <c r="H161" s="1528"/>
      <c r="I161" s="1528"/>
      <c r="J161" s="1528"/>
      <c r="K161" s="1528"/>
      <c r="L161" s="1528"/>
      <c r="M161" s="1528"/>
      <c r="N161" s="1528"/>
      <c r="O161" s="1529"/>
    </row>
    <row r="162" spans="1:16" ht="13.5" customHeight="1" x14ac:dyDescent="0.2">
      <c r="A162" s="1139" t="s">
        <v>4</v>
      </c>
      <c r="B162" s="1140" t="s">
        <v>29</v>
      </c>
      <c r="C162" s="1041" t="s">
        <v>4</v>
      </c>
      <c r="D162" s="1390" t="s">
        <v>77</v>
      </c>
      <c r="E162" s="346"/>
      <c r="F162" s="1000"/>
      <c r="G162" s="87"/>
      <c r="H162" s="87"/>
      <c r="I162" s="86"/>
      <c r="J162" s="344"/>
      <c r="K162" s="347"/>
      <c r="L162" s="86"/>
      <c r="M162" s="103"/>
      <c r="N162" s="86"/>
      <c r="O162" s="106"/>
    </row>
    <row r="163" spans="1:16" ht="13.5" customHeight="1" x14ac:dyDescent="0.2">
      <c r="A163" s="1119"/>
      <c r="B163" s="1120"/>
      <c r="C163" s="970"/>
      <c r="D163" s="1431"/>
      <c r="E163" s="1126"/>
      <c r="F163" s="1167"/>
      <c r="G163" s="40"/>
      <c r="H163" s="40"/>
      <c r="I163" s="107"/>
      <c r="J163" s="345"/>
      <c r="K163" s="372"/>
      <c r="L163" s="107"/>
      <c r="M163" s="59"/>
      <c r="N163" s="107"/>
      <c r="O163" s="23"/>
    </row>
    <row r="164" spans="1:16" ht="15.75" customHeight="1" x14ac:dyDescent="0.2">
      <c r="A164" s="1119"/>
      <c r="B164" s="1120"/>
      <c r="C164" s="971" t="s">
        <v>4</v>
      </c>
      <c r="D164" s="1084" t="s">
        <v>74</v>
      </c>
      <c r="E164" s="1126"/>
      <c r="F164" s="1110">
        <v>6</v>
      </c>
      <c r="G164" s="34"/>
      <c r="H164" s="34"/>
      <c r="I164" s="34"/>
      <c r="J164" s="34"/>
      <c r="K164" s="1158"/>
      <c r="L164" s="1092"/>
      <c r="M164" s="1093"/>
      <c r="N164" s="1092"/>
      <c r="O164" s="1094"/>
    </row>
    <row r="165" spans="1:16" ht="14.25" customHeight="1" x14ac:dyDescent="0.2">
      <c r="A165" s="1119"/>
      <c r="B165" s="1120"/>
      <c r="C165" s="971"/>
      <c r="D165" s="1085" t="s">
        <v>218</v>
      </c>
      <c r="E165" s="1126"/>
      <c r="F165" s="1110"/>
      <c r="G165" s="40" t="s">
        <v>73</v>
      </c>
      <c r="H165" s="40">
        <v>1000</v>
      </c>
      <c r="I165" s="40">
        <v>1020</v>
      </c>
      <c r="J165" s="40">
        <v>1020</v>
      </c>
      <c r="K165" s="1435" t="s">
        <v>55</v>
      </c>
      <c r="L165" s="1080">
        <v>5.9</v>
      </c>
      <c r="M165" s="1081">
        <v>2.7</v>
      </c>
      <c r="N165" s="1134" t="s">
        <v>747</v>
      </c>
      <c r="O165" s="1258"/>
      <c r="P165" s="1071"/>
    </row>
    <row r="166" spans="1:16" ht="23.25" customHeight="1" x14ac:dyDescent="0.2">
      <c r="A166" s="1119"/>
      <c r="B166" s="1120"/>
      <c r="C166" s="971"/>
      <c r="D166" s="1085" t="s">
        <v>765</v>
      </c>
      <c r="E166" s="1126"/>
      <c r="F166" s="1110"/>
      <c r="G166" s="40" t="s">
        <v>51</v>
      </c>
      <c r="H166" s="40">
        <v>38.200000000000003</v>
      </c>
      <c r="I166" s="40">
        <v>38.200000000000003</v>
      </c>
      <c r="J166" s="40">
        <v>38.200000000000003</v>
      </c>
      <c r="K166" s="1435"/>
      <c r="L166" s="1080"/>
      <c r="M166" s="1081"/>
      <c r="N166" s="1318" t="s">
        <v>762</v>
      </c>
      <c r="O166" s="1258"/>
    </row>
    <row r="167" spans="1:16" ht="14.25" customHeight="1" x14ac:dyDescent="0.2">
      <c r="A167" s="1119"/>
      <c r="B167" s="1120"/>
      <c r="C167" s="971"/>
      <c r="D167" s="1086" t="s">
        <v>122</v>
      </c>
      <c r="E167" s="1126"/>
      <c r="F167" s="1110"/>
      <c r="G167" s="40" t="s">
        <v>22</v>
      </c>
      <c r="H167" s="40"/>
      <c r="I167" s="40">
        <v>7.5</v>
      </c>
      <c r="J167" s="40">
        <v>7.5</v>
      </c>
      <c r="K167" s="1435"/>
      <c r="L167" s="1080"/>
      <c r="M167" s="1081"/>
      <c r="N167" s="1318"/>
      <c r="O167" s="1258"/>
    </row>
    <row r="168" spans="1:16" ht="17.25" customHeight="1" x14ac:dyDescent="0.2">
      <c r="A168" s="1119"/>
      <c r="B168" s="1120"/>
      <c r="C168" s="971"/>
      <c r="D168" s="1087" t="s">
        <v>124</v>
      </c>
      <c r="E168" s="1126"/>
      <c r="F168" s="1110"/>
      <c r="G168" s="40" t="s">
        <v>57</v>
      </c>
      <c r="H168" s="40"/>
      <c r="I168" s="40">
        <v>27.6</v>
      </c>
      <c r="J168" s="40">
        <v>27.6</v>
      </c>
      <c r="K168" s="1129"/>
      <c r="L168" s="1080"/>
      <c r="M168" s="1081"/>
      <c r="N168" s="1318"/>
      <c r="O168" s="1258"/>
    </row>
    <row r="169" spans="1:16" ht="29.25" customHeight="1" x14ac:dyDescent="0.2">
      <c r="A169" s="1119"/>
      <c r="B169" s="1120"/>
      <c r="C169" s="971"/>
      <c r="D169" s="1086" t="s">
        <v>766</v>
      </c>
      <c r="E169" s="1126"/>
      <c r="F169" s="1110"/>
      <c r="G169" s="40"/>
      <c r="H169" s="40"/>
      <c r="I169" s="40"/>
      <c r="J169" s="40"/>
      <c r="K169" s="1129"/>
      <c r="L169" s="1080"/>
      <c r="M169" s="1081"/>
      <c r="N169" s="1134"/>
      <c r="O169" s="1082"/>
    </row>
    <row r="170" spans="1:16" ht="26.25" customHeight="1" x14ac:dyDescent="0.2">
      <c r="A170" s="1119"/>
      <c r="B170" s="1120"/>
      <c r="C170" s="971"/>
      <c r="D170" s="1088" t="s">
        <v>767</v>
      </c>
      <c r="E170" s="1126"/>
      <c r="F170" s="1110"/>
      <c r="G170" s="40"/>
      <c r="H170" s="40"/>
      <c r="I170" s="40"/>
      <c r="J170" s="40"/>
      <c r="K170" s="1129"/>
      <c r="L170" s="1080"/>
      <c r="M170" s="1081"/>
      <c r="N170" s="1080"/>
      <c r="O170" s="1082"/>
    </row>
    <row r="171" spans="1:16" ht="27" customHeight="1" x14ac:dyDescent="0.2">
      <c r="A171" s="1119"/>
      <c r="B171" s="1120"/>
      <c r="C171" s="971"/>
      <c r="D171" s="1085" t="s">
        <v>768</v>
      </c>
      <c r="E171" s="1126"/>
      <c r="F171" s="1110"/>
      <c r="G171" s="40"/>
      <c r="H171" s="40"/>
      <c r="I171" s="40"/>
      <c r="J171" s="40"/>
      <c r="K171" s="1129"/>
      <c r="L171" s="1080"/>
      <c r="M171" s="1081"/>
      <c r="N171" s="1080"/>
      <c r="O171" s="1082"/>
    </row>
    <row r="172" spans="1:16" ht="17.25" customHeight="1" x14ac:dyDescent="0.2">
      <c r="A172" s="1119"/>
      <c r="B172" s="1120"/>
      <c r="C172" s="970"/>
      <c r="D172" s="1085" t="s">
        <v>123</v>
      </c>
      <c r="E172" s="1126"/>
      <c r="F172" s="1110"/>
      <c r="G172" s="40"/>
      <c r="H172" s="40"/>
      <c r="I172" s="40"/>
      <c r="J172" s="40"/>
      <c r="K172" s="1129"/>
      <c r="L172" s="1080"/>
      <c r="M172" s="1081"/>
      <c r="N172" s="1090"/>
      <c r="O172" s="1091"/>
    </row>
    <row r="173" spans="1:16" ht="26.25" customHeight="1" x14ac:dyDescent="0.2">
      <c r="A173" s="1119"/>
      <c r="B173" s="1120"/>
      <c r="C173" s="971" t="s">
        <v>6</v>
      </c>
      <c r="D173" s="1291" t="s">
        <v>76</v>
      </c>
      <c r="E173" s="1125"/>
      <c r="F173" s="1110"/>
      <c r="G173" s="34" t="s">
        <v>73</v>
      </c>
      <c r="H173" s="140">
        <v>110.3</v>
      </c>
      <c r="I173" s="34">
        <f>110.3+152+110.5+4.7</f>
        <v>377.5</v>
      </c>
      <c r="J173" s="34">
        <v>365.2</v>
      </c>
      <c r="K173" s="804" t="s">
        <v>34</v>
      </c>
      <c r="L173" s="1028" t="s">
        <v>718</v>
      </c>
      <c r="M173" s="1029" t="s">
        <v>591</v>
      </c>
      <c r="N173" s="1089"/>
      <c r="O173" s="137"/>
    </row>
    <row r="174" spans="1:16" ht="26.25" customHeight="1" x14ac:dyDescent="0.2">
      <c r="A174" s="1119"/>
      <c r="B174" s="1120"/>
      <c r="C174" s="971"/>
      <c r="D174" s="1292"/>
      <c r="E174" s="1126"/>
      <c r="F174" s="1110"/>
      <c r="G174" s="40" t="s">
        <v>22</v>
      </c>
      <c r="H174" s="22">
        <v>706.7</v>
      </c>
      <c r="I174" s="40">
        <f>835.2+43.8+18</f>
        <v>897</v>
      </c>
      <c r="J174" s="40">
        <v>897</v>
      </c>
      <c r="K174" s="50" t="s">
        <v>54</v>
      </c>
      <c r="L174" s="91" t="s">
        <v>225</v>
      </c>
      <c r="M174" s="170" t="s">
        <v>225</v>
      </c>
      <c r="N174" s="123"/>
      <c r="O174" s="137"/>
    </row>
    <row r="175" spans="1:16" ht="30" customHeight="1" x14ac:dyDescent="0.2">
      <c r="A175" s="1119"/>
      <c r="B175" s="1120"/>
      <c r="C175" s="971"/>
      <c r="D175" s="1292"/>
      <c r="E175" s="1126"/>
      <c r="F175" s="1110"/>
      <c r="G175" s="40" t="s">
        <v>57</v>
      </c>
      <c r="H175" s="59"/>
      <c r="I175" s="40">
        <v>105</v>
      </c>
      <c r="J175" s="40">
        <v>105</v>
      </c>
      <c r="K175" s="50" t="s">
        <v>226</v>
      </c>
      <c r="L175" s="91" t="s">
        <v>227</v>
      </c>
      <c r="M175" s="1030" t="s">
        <v>729</v>
      </c>
      <c r="N175" s="1436" t="s">
        <v>741</v>
      </c>
      <c r="O175" s="137"/>
    </row>
    <row r="176" spans="1:16" ht="30" customHeight="1" x14ac:dyDescent="0.2">
      <c r="A176" s="1119"/>
      <c r="B176" s="1120"/>
      <c r="C176" s="970"/>
      <c r="D176" s="1311"/>
      <c r="E176" s="1127"/>
      <c r="F176" s="1110"/>
      <c r="G176" s="39"/>
      <c r="H176" s="51"/>
      <c r="I176" s="39"/>
      <c r="J176" s="39"/>
      <c r="K176" s="1174" t="s">
        <v>223</v>
      </c>
      <c r="L176" s="1124" t="s">
        <v>224</v>
      </c>
      <c r="M176" s="159" t="s">
        <v>593</v>
      </c>
      <c r="N176" s="1437"/>
      <c r="O176" s="137"/>
    </row>
    <row r="177" spans="1:15" ht="15.75" customHeight="1" x14ac:dyDescent="0.2">
      <c r="A177" s="1315"/>
      <c r="B177" s="1310"/>
      <c r="C177" s="1330" t="s">
        <v>24</v>
      </c>
      <c r="D177" s="1295" t="s">
        <v>44</v>
      </c>
      <c r="E177" s="1126"/>
      <c r="F177" s="1110"/>
      <c r="G177" s="40" t="s">
        <v>22</v>
      </c>
      <c r="H177" s="49">
        <v>400</v>
      </c>
      <c r="I177" s="40">
        <v>400</v>
      </c>
      <c r="J177" s="40">
        <v>399.9</v>
      </c>
      <c r="K177" s="1197" t="s">
        <v>228</v>
      </c>
      <c r="L177" s="1121" t="s">
        <v>229</v>
      </c>
      <c r="M177" s="245" t="s">
        <v>730</v>
      </c>
      <c r="N177" s="1156" t="s">
        <v>742</v>
      </c>
      <c r="O177" s="137"/>
    </row>
    <row r="178" spans="1:15" ht="18" customHeight="1" x14ac:dyDescent="0.2">
      <c r="A178" s="1315"/>
      <c r="B178" s="1310"/>
      <c r="C178" s="1425"/>
      <c r="D178" s="1343"/>
      <c r="E178" s="1127"/>
      <c r="F178" s="1110"/>
      <c r="G178" s="209"/>
      <c r="H178" s="320"/>
      <c r="I178" s="209"/>
      <c r="J178" s="209"/>
      <c r="K178" s="1198"/>
      <c r="L178" s="25"/>
      <c r="M178" s="160"/>
      <c r="N178" s="107"/>
      <c r="O178" s="23"/>
    </row>
    <row r="179" spans="1:15" ht="15.75" customHeight="1" x14ac:dyDescent="0.2">
      <c r="A179" s="1315"/>
      <c r="B179" s="1310"/>
      <c r="C179" s="1330" t="s">
        <v>29</v>
      </c>
      <c r="D179" s="1270" t="s">
        <v>230</v>
      </c>
      <c r="E179" s="1383"/>
      <c r="F179" s="1313"/>
      <c r="G179" s="40" t="s">
        <v>57</v>
      </c>
      <c r="H179" s="49">
        <f>268-48-30+5</f>
        <v>195</v>
      </c>
      <c r="I179" s="40">
        <f>268-48-30+5-105</f>
        <v>90</v>
      </c>
      <c r="J179" s="34">
        <v>87.1</v>
      </c>
      <c r="K179" s="1114"/>
      <c r="L179" s="300"/>
      <c r="M179" s="301"/>
      <c r="N179" s="1433"/>
      <c r="O179" s="146"/>
    </row>
    <row r="180" spans="1:15" ht="12" customHeight="1" x14ac:dyDescent="0.2">
      <c r="A180" s="1315"/>
      <c r="B180" s="1310"/>
      <c r="C180" s="1316"/>
      <c r="D180" s="1271"/>
      <c r="E180" s="1384"/>
      <c r="F180" s="1313"/>
      <c r="G180" s="40" t="s">
        <v>59</v>
      </c>
      <c r="H180" s="49">
        <f>270+17.9</f>
        <v>287.89999999999998</v>
      </c>
      <c r="I180" s="40">
        <f>270+17.9</f>
        <v>287.89999999999998</v>
      </c>
      <c r="J180" s="40">
        <v>287.89999999999998</v>
      </c>
      <c r="K180" s="1273"/>
      <c r="L180" s="1124"/>
      <c r="M180" s="159"/>
      <c r="N180" s="1434"/>
      <c r="O180" s="137"/>
    </row>
    <row r="181" spans="1:15" ht="15" customHeight="1" x14ac:dyDescent="0.2">
      <c r="A181" s="1315"/>
      <c r="B181" s="1310"/>
      <c r="C181" s="1316"/>
      <c r="D181" s="1420"/>
      <c r="E181" s="1384"/>
      <c r="F181" s="1313"/>
      <c r="G181" s="40" t="s">
        <v>73</v>
      </c>
      <c r="H181" s="49">
        <v>120</v>
      </c>
      <c r="I181" s="40">
        <v>267.8</v>
      </c>
      <c r="J181" s="40">
        <v>267.8</v>
      </c>
      <c r="K181" s="1388"/>
      <c r="L181" s="1124"/>
      <c r="M181" s="159"/>
      <c r="N181" s="1434"/>
      <c r="O181" s="137"/>
    </row>
    <row r="182" spans="1:15" ht="27" customHeight="1" x14ac:dyDescent="0.2">
      <c r="A182" s="1315"/>
      <c r="B182" s="1310"/>
      <c r="C182" s="1316"/>
      <c r="D182" s="1178"/>
      <c r="E182" s="1384"/>
      <c r="F182" s="1313"/>
      <c r="G182" s="46"/>
      <c r="H182" s="46"/>
      <c r="I182" s="46"/>
      <c r="J182" s="46"/>
      <c r="K182" s="50" t="s">
        <v>231</v>
      </c>
      <c r="L182" s="91" t="s">
        <v>232</v>
      </c>
      <c r="M182" s="1031" t="s">
        <v>601</v>
      </c>
      <c r="N182" s="1032" t="s">
        <v>602</v>
      </c>
      <c r="O182" s="137"/>
    </row>
    <row r="183" spans="1:15" ht="42" customHeight="1" x14ac:dyDescent="0.2">
      <c r="A183" s="1315"/>
      <c r="B183" s="1310"/>
      <c r="C183" s="1316"/>
      <c r="D183" s="1178"/>
      <c r="E183" s="1384"/>
      <c r="F183" s="1313"/>
      <c r="G183" s="40"/>
      <c r="H183" s="40"/>
      <c r="I183" s="40"/>
      <c r="J183" s="40"/>
      <c r="K183" s="50" t="s">
        <v>233</v>
      </c>
      <c r="L183" s="91" t="s">
        <v>234</v>
      </c>
      <c r="M183" s="1031" t="s">
        <v>604</v>
      </c>
      <c r="N183" s="1033" t="s">
        <v>731</v>
      </c>
      <c r="O183" s="268"/>
    </row>
    <row r="184" spans="1:15" ht="54.75" customHeight="1" x14ac:dyDescent="0.2">
      <c r="A184" s="1315"/>
      <c r="B184" s="1310"/>
      <c r="C184" s="1425"/>
      <c r="D184" s="1130"/>
      <c r="E184" s="1432"/>
      <c r="F184" s="1313"/>
      <c r="G184" s="39"/>
      <c r="H184" s="39"/>
      <c r="I184" s="39"/>
      <c r="J184" s="39"/>
      <c r="K184" s="1034" t="s">
        <v>712</v>
      </c>
      <c r="L184" s="1013" t="s">
        <v>46</v>
      </c>
      <c r="M184" s="1012" t="s">
        <v>255</v>
      </c>
      <c r="N184" s="1035" t="s">
        <v>759</v>
      </c>
      <c r="O184" s="1064" t="s">
        <v>516</v>
      </c>
    </row>
    <row r="185" spans="1:15" ht="22.5" customHeight="1" x14ac:dyDescent="0.2">
      <c r="A185" s="1119"/>
      <c r="B185" s="1120"/>
      <c r="C185" s="93" t="s">
        <v>628</v>
      </c>
      <c r="D185" s="1271" t="s">
        <v>75</v>
      </c>
      <c r="E185" s="1126"/>
      <c r="F185" s="1110"/>
      <c r="G185" s="40" t="s">
        <v>22</v>
      </c>
      <c r="H185" s="40">
        <f>631-100</f>
        <v>531</v>
      </c>
      <c r="I185" s="40">
        <f>631-100-43.8</f>
        <v>487.2</v>
      </c>
      <c r="J185" s="40">
        <v>487.2</v>
      </c>
      <c r="K185" s="1273" t="s">
        <v>106</v>
      </c>
      <c r="L185" s="359">
        <v>14</v>
      </c>
      <c r="M185" s="159" t="s">
        <v>732</v>
      </c>
      <c r="N185" s="1199" t="s">
        <v>798</v>
      </c>
      <c r="O185" s="1175"/>
    </row>
    <row r="186" spans="1:15" ht="123.75" customHeight="1" x14ac:dyDescent="0.2">
      <c r="A186" s="1119"/>
      <c r="B186" s="1120"/>
      <c r="C186" s="1122"/>
      <c r="D186" s="1525"/>
      <c r="E186" s="1127"/>
      <c r="F186" s="1110"/>
      <c r="G186" s="39" t="s">
        <v>51</v>
      </c>
      <c r="H186" s="39">
        <v>61.7</v>
      </c>
      <c r="I186" s="39">
        <v>61.7</v>
      </c>
      <c r="J186" s="39">
        <v>61.7</v>
      </c>
      <c r="K186" s="1344"/>
      <c r="L186" s="255"/>
      <c r="M186" s="929"/>
      <c r="N186" s="1200"/>
      <c r="O186" s="1026"/>
    </row>
    <row r="187" spans="1:15" ht="15.75" customHeight="1" x14ac:dyDescent="0.2">
      <c r="A187" s="1164"/>
      <c r="B187" s="1120"/>
      <c r="C187" s="93" t="s">
        <v>30</v>
      </c>
      <c r="D187" s="1295" t="s">
        <v>33</v>
      </c>
      <c r="E187" s="1125"/>
      <c r="F187" s="1110"/>
      <c r="G187" s="40" t="s">
        <v>73</v>
      </c>
      <c r="H187" s="40">
        <v>70</v>
      </c>
      <c r="I187" s="40">
        <v>61</v>
      </c>
      <c r="J187" s="40">
        <v>60.4</v>
      </c>
      <c r="K187" s="1114" t="s">
        <v>236</v>
      </c>
      <c r="L187" s="358">
        <v>14</v>
      </c>
      <c r="M187" s="928">
        <v>14</v>
      </c>
      <c r="N187" s="1201" t="s">
        <v>799</v>
      </c>
      <c r="O187" s="1025"/>
    </row>
    <row r="188" spans="1:15" ht="13.5" customHeight="1" x14ac:dyDescent="0.2">
      <c r="A188" s="1164"/>
      <c r="B188" s="1120"/>
      <c r="C188" s="93"/>
      <c r="D188" s="1321"/>
      <c r="E188" s="1126"/>
      <c r="F188" s="1110"/>
      <c r="G188" s="40" t="s">
        <v>22</v>
      </c>
      <c r="H188" s="40">
        <v>93</v>
      </c>
      <c r="I188" s="40">
        <v>114.4</v>
      </c>
      <c r="J188" s="40">
        <v>114.4</v>
      </c>
      <c r="K188" s="1112"/>
      <c r="L188" s="359"/>
      <c r="M188" s="1151"/>
      <c r="N188" s="1202"/>
      <c r="O188" s="1152"/>
    </row>
    <row r="189" spans="1:15" ht="13.5" customHeight="1" x14ac:dyDescent="0.2">
      <c r="A189" s="1164"/>
      <c r="B189" s="1120"/>
      <c r="C189" s="93"/>
      <c r="D189" s="1321"/>
      <c r="E189" s="1126"/>
      <c r="F189" s="1110"/>
      <c r="G189" s="40" t="s">
        <v>59</v>
      </c>
      <c r="H189" s="40"/>
      <c r="I189" s="40">
        <v>4.7</v>
      </c>
      <c r="J189" s="40">
        <v>4.7</v>
      </c>
      <c r="K189" s="1112"/>
      <c r="L189" s="359"/>
      <c r="M189" s="1151"/>
      <c r="N189" s="1202"/>
      <c r="O189" s="1152"/>
    </row>
    <row r="190" spans="1:15" ht="25.5" customHeight="1" x14ac:dyDescent="0.2">
      <c r="A190" s="1164"/>
      <c r="B190" s="1120"/>
      <c r="C190" s="1122"/>
      <c r="D190" s="1343"/>
      <c r="E190" s="1127"/>
      <c r="F190" s="1110"/>
      <c r="G190" s="39" t="s">
        <v>51</v>
      </c>
      <c r="H190" s="39">
        <v>35</v>
      </c>
      <c r="I190" s="39">
        <f>30+5+31.9</f>
        <v>66.900000000000006</v>
      </c>
      <c r="J190" s="39">
        <v>66.900000000000006</v>
      </c>
      <c r="K190" s="1112"/>
      <c r="L190" s="255"/>
      <c r="M190" s="929"/>
      <c r="N190" s="1203"/>
      <c r="O190" s="1026"/>
    </row>
    <row r="191" spans="1:15" ht="15" customHeight="1" x14ac:dyDescent="0.2">
      <c r="A191" s="1164"/>
      <c r="B191" s="1120"/>
      <c r="C191" s="93" t="s">
        <v>635</v>
      </c>
      <c r="D191" s="1518" t="s">
        <v>769</v>
      </c>
      <c r="E191" s="1126"/>
      <c r="F191" s="1110"/>
      <c r="G191" s="115" t="s">
        <v>73</v>
      </c>
      <c r="H191" s="34">
        <v>15</v>
      </c>
      <c r="I191" s="34">
        <v>13.3</v>
      </c>
      <c r="J191" s="34">
        <v>0</v>
      </c>
      <c r="K191" s="1254" t="s">
        <v>69</v>
      </c>
      <c r="L191" s="956">
        <v>1</v>
      </c>
      <c r="M191" s="957">
        <v>0</v>
      </c>
      <c r="N191" s="1204" t="s">
        <v>759</v>
      </c>
      <c r="O191" s="1206" t="s">
        <v>611</v>
      </c>
    </row>
    <row r="192" spans="1:15" ht="33" customHeight="1" x14ac:dyDescent="0.2">
      <c r="A192" s="1164"/>
      <c r="B192" s="1120"/>
      <c r="C192" s="1122"/>
      <c r="D192" s="1519"/>
      <c r="E192" s="1126"/>
      <c r="F192" s="1110"/>
      <c r="G192" s="36"/>
      <c r="H192" s="39"/>
      <c r="I192" s="39"/>
      <c r="J192" s="39"/>
      <c r="K192" s="1255"/>
      <c r="L192" s="1039"/>
      <c r="M192" s="1040"/>
      <c r="N192" s="1205"/>
      <c r="O192" s="1207"/>
    </row>
    <row r="193" spans="1:15" ht="17.25" customHeight="1" x14ac:dyDescent="0.2">
      <c r="A193" s="1164"/>
      <c r="B193" s="1120"/>
      <c r="C193" s="93" t="s">
        <v>638</v>
      </c>
      <c r="D193" s="1157" t="s">
        <v>770</v>
      </c>
      <c r="E193" s="73"/>
      <c r="F193" s="1110"/>
      <c r="G193" s="303" t="s">
        <v>73</v>
      </c>
      <c r="H193" s="46"/>
      <c r="I193" s="46">
        <v>8</v>
      </c>
      <c r="J193" s="332">
        <v>3.1</v>
      </c>
      <c r="K193" s="1042" t="s">
        <v>40</v>
      </c>
      <c r="L193" s="1043">
        <v>3</v>
      </c>
      <c r="M193" s="1083">
        <v>0.4</v>
      </c>
      <c r="N193" s="1065" t="s">
        <v>747</v>
      </c>
      <c r="O193" s="1208" t="s">
        <v>800</v>
      </c>
    </row>
    <row r="194" spans="1:15" ht="26.25" customHeight="1" x14ac:dyDescent="0.2">
      <c r="A194" s="1132"/>
      <c r="B194" s="1133"/>
      <c r="C194" s="93"/>
      <c r="D194" s="1049" t="s">
        <v>771</v>
      </c>
      <c r="E194" s="1520"/>
      <c r="F194" s="1294"/>
      <c r="G194" s="305"/>
      <c r="H194" s="41"/>
      <c r="I194" s="41"/>
      <c r="J194" s="59"/>
      <c r="K194" s="1044"/>
      <c r="L194" s="1045"/>
      <c r="M194" s="1046"/>
      <c r="N194" s="1045"/>
      <c r="O194" s="1209"/>
    </row>
    <row r="195" spans="1:15" ht="17.25" customHeight="1" x14ac:dyDescent="0.2">
      <c r="A195" s="1132"/>
      <c r="B195" s="1133"/>
      <c r="C195" s="93"/>
      <c r="D195" s="1049" t="s">
        <v>772</v>
      </c>
      <c r="E195" s="1520"/>
      <c r="F195" s="1294"/>
      <c r="G195" s="305"/>
      <c r="H195" s="41"/>
      <c r="I195" s="41"/>
      <c r="J195" s="311"/>
      <c r="K195" s="1044"/>
      <c r="L195" s="1045"/>
      <c r="M195" s="1046"/>
      <c r="N195" s="1045"/>
      <c r="O195" s="1209"/>
    </row>
    <row r="196" spans="1:15" ht="15.75" customHeight="1" x14ac:dyDescent="0.2">
      <c r="A196" s="1132"/>
      <c r="B196" s="1133"/>
      <c r="C196" s="1122"/>
      <c r="D196" s="1166" t="s">
        <v>773</v>
      </c>
      <c r="E196" s="1521"/>
      <c r="F196" s="1522"/>
      <c r="G196" s="306"/>
      <c r="H196" s="36"/>
      <c r="I196" s="36"/>
      <c r="J196" s="79"/>
      <c r="K196" s="1047"/>
      <c r="L196" s="1045"/>
      <c r="M196" s="1046"/>
      <c r="N196" s="1045"/>
      <c r="O196" s="1048"/>
    </row>
    <row r="197" spans="1:15" ht="13.5" customHeight="1" x14ac:dyDescent="0.2">
      <c r="A197" s="1164"/>
      <c r="B197" s="1149"/>
      <c r="C197" s="969" t="s">
        <v>640</v>
      </c>
      <c r="D197" s="1295" t="s">
        <v>774</v>
      </c>
      <c r="E197" s="307" t="s">
        <v>41</v>
      </c>
      <c r="F197" s="1110"/>
      <c r="G197" s="308" t="s">
        <v>73</v>
      </c>
      <c r="H197" s="34">
        <v>20</v>
      </c>
      <c r="I197" s="34">
        <v>0</v>
      </c>
      <c r="J197" s="34">
        <v>0</v>
      </c>
      <c r="K197" s="1256" t="s">
        <v>69</v>
      </c>
      <c r="L197" s="367">
        <v>0</v>
      </c>
      <c r="M197" s="367">
        <v>0</v>
      </c>
      <c r="N197" s="1210" t="s">
        <v>760</v>
      </c>
      <c r="O197" s="368"/>
    </row>
    <row r="198" spans="1:15" ht="25.5" customHeight="1" x14ac:dyDescent="0.2">
      <c r="A198" s="1164"/>
      <c r="B198" s="1149"/>
      <c r="C198" s="969"/>
      <c r="D198" s="1343"/>
      <c r="E198" s="309"/>
      <c r="F198" s="1111"/>
      <c r="G198" s="166"/>
      <c r="H198" s="39"/>
      <c r="I198" s="39"/>
      <c r="J198" s="39"/>
      <c r="K198" s="1257"/>
      <c r="L198" s="302"/>
      <c r="M198" s="319"/>
      <c r="N198" s="1211"/>
      <c r="O198" s="310"/>
    </row>
    <row r="199" spans="1:15" ht="17.25" customHeight="1" thickBot="1" x14ac:dyDescent="0.25">
      <c r="A199" s="42"/>
      <c r="B199" s="1141"/>
      <c r="C199" s="973"/>
      <c r="D199" s="388"/>
      <c r="E199" s="389"/>
      <c r="F199" s="961"/>
      <c r="G199" s="72" t="s">
        <v>5</v>
      </c>
      <c r="H199" s="72">
        <f>SUM(H165:H198)</f>
        <v>3683.8</v>
      </c>
      <c r="I199" s="72">
        <f>SUM(I165:I198)</f>
        <v>4335.7</v>
      </c>
      <c r="J199" s="72">
        <f>SUM(J165:J198)</f>
        <v>4301.6000000000004</v>
      </c>
      <c r="K199" s="333"/>
      <c r="L199" s="94"/>
      <c r="M199" s="94"/>
      <c r="N199" s="186"/>
      <c r="O199" s="188"/>
    </row>
    <row r="200" spans="1:15" ht="44.25" customHeight="1" x14ac:dyDescent="0.2">
      <c r="A200" s="1164" t="s">
        <v>4</v>
      </c>
      <c r="B200" s="1120" t="s">
        <v>29</v>
      </c>
      <c r="C200" s="971" t="s">
        <v>6</v>
      </c>
      <c r="D200" s="1321" t="s">
        <v>98</v>
      </c>
      <c r="E200" s="1514" t="s">
        <v>41</v>
      </c>
      <c r="F200" s="1516" t="s">
        <v>37</v>
      </c>
      <c r="G200" s="40" t="s">
        <v>51</v>
      </c>
      <c r="H200" s="40">
        <v>83.9</v>
      </c>
      <c r="I200" s="40">
        <v>83.9</v>
      </c>
      <c r="J200" s="40">
        <v>67.3</v>
      </c>
      <c r="K200" s="350" t="s">
        <v>104</v>
      </c>
      <c r="L200" s="191"/>
      <c r="M200" s="191"/>
      <c r="N200" s="1050" t="s">
        <v>744</v>
      </c>
      <c r="O200" s="199"/>
    </row>
    <row r="201" spans="1:15" ht="26.25" customHeight="1" x14ac:dyDescent="0.2">
      <c r="A201" s="1164"/>
      <c r="B201" s="1120"/>
      <c r="C201" s="971"/>
      <c r="D201" s="1321"/>
      <c r="E201" s="1514"/>
      <c r="F201" s="1516"/>
      <c r="G201" s="39"/>
      <c r="H201" s="39"/>
      <c r="I201" s="39"/>
      <c r="J201" s="39"/>
      <c r="K201" s="50" t="s">
        <v>150</v>
      </c>
      <c r="L201" s="18">
        <v>100</v>
      </c>
      <c r="M201" s="18">
        <v>100</v>
      </c>
      <c r="N201" s="129"/>
      <c r="O201" s="19"/>
    </row>
    <row r="202" spans="1:15" ht="17.25" customHeight="1" thickBot="1" x14ac:dyDescent="0.25">
      <c r="A202" s="42"/>
      <c r="B202" s="1141"/>
      <c r="C202" s="973"/>
      <c r="D202" s="1513"/>
      <c r="E202" s="1515"/>
      <c r="F202" s="1517"/>
      <c r="G202" s="72" t="s">
        <v>5</v>
      </c>
      <c r="H202" s="72">
        <f>SUM(H200:H201)</f>
        <v>83.9</v>
      </c>
      <c r="I202" s="72">
        <f>SUM(I200:I201)</f>
        <v>83.9</v>
      </c>
      <c r="J202" s="72">
        <f>SUM(J200:J201)</f>
        <v>67.3</v>
      </c>
      <c r="K202" s="333"/>
      <c r="L202" s="94"/>
      <c r="M202" s="94"/>
      <c r="N202" s="186"/>
      <c r="O202" s="188"/>
    </row>
    <row r="203" spans="1:15" ht="14.25" customHeight="1" thickBot="1" x14ac:dyDescent="0.25">
      <c r="A203" s="42" t="s">
        <v>4</v>
      </c>
      <c r="B203" s="1141" t="s">
        <v>29</v>
      </c>
      <c r="C203" s="1244" t="s">
        <v>7</v>
      </c>
      <c r="D203" s="1244"/>
      <c r="E203" s="1244"/>
      <c r="F203" s="1244"/>
      <c r="G203" s="1245"/>
      <c r="H203" s="179">
        <f>H202+H199</f>
        <v>3767.7</v>
      </c>
      <c r="I203" s="179">
        <f t="shared" ref="I203:J203" si="1">I202+I199</f>
        <v>4419.6000000000004</v>
      </c>
      <c r="J203" s="179">
        <f t="shared" si="1"/>
        <v>4368.8999999999996</v>
      </c>
      <c r="K203" s="1231"/>
      <c r="L203" s="1231"/>
      <c r="M203" s="1231"/>
      <c r="N203" s="1231"/>
      <c r="O203" s="1232"/>
    </row>
    <row r="204" spans="1:15" ht="14.25" customHeight="1" thickBot="1" x14ac:dyDescent="0.25">
      <c r="A204" s="55" t="s">
        <v>4</v>
      </c>
      <c r="B204" s="1233" t="s">
        <v>8</v>
      </c>
      <c r="C204" s="1234"/>
      <c r="D204" s="1234"/>
      <c r="E204" s="1234"/>
      <c r="F204" s="1234"/>
      <c r="G204" s="1235"/>
      <c r="H204" s="75">
        <f>H203+H160+H114+H66</f>
        <v>27558.6</v>
      </c>
      <c r="I204" s="75">
        <f>I203+I160+I114+I66</f>
        <v>28117.9</v>
      </c>
      <c r="J204" s="75">
        <f>J203+J160+J114+J66</f>
        <v>23471.4</v>
      </c>
      <c r="K204" s="1236"/>
      <c r="L204" s="1236"/>
      <c r="M204" s="1236"/>
      <c r="N204" s="1236"/>
      <c r="O204" s="1237"/>
    </row>
    <row r="205" spans="1:15" ht="14.25" customHeight="1" thickBot="1" x14ac:dyDescent="0.25">
      <c r="A205" s="60" t="s">
        <v>30</v>
      </c>
      <c r="B205" s="1238" t="s">
        <v>48</v>
      </c>
      <c r="C205" s="1239"/>
      <c r="D205" s="1239"/>
      <c r="E205" s="1239"/>
      <c r="F205" s="1239"/>
      <c r="G205" s="1240"/>
      <c r="H205" s="76">
        <f>SUM(H204)</f>
        <v>27558.6</v>
      </c>
      <c r="I205" s="76">
        <f>SUM(I204)</f>
        <v>28117.9</v>
      </c>
      <c r="J205" s="76">
        <f>SUM(J204)</f>
        <v>23471.4</v>
      </c>
      <c r="K205" s="1241"/>
      <c r="L205" s="1241"/>
      <c r="M205" s="1241"/>
      <c r="N205" s="1241"/>
      <c r="O205" s="1242"/>
    </row>
    <row r="206" spans="1:15" s="4" customFormat="1" ht="17.25" customHeight="1" x14ac:dyDescent="0.2">
      <c r="A206" s="1448" t="s">
        <v>613</v>
      </c>
      <c r="B206" s="1449"/>
      <c r="C206" s="1449"/>
      <c r="D206" s="1449"/>
      <c r="E206" s="1449"/>
      <c r="F206" s="1449"/>
      <c r="G206" s="1449"/>
      <c r="H206" s="1449"/>
      <c r="I206" s="1449"/>
      <c r="J206" s="1449"/>
      <c r="K206" s="1449"/>
      <c r="L206" s="334"/>
      <c r="M206" s="334"/>
      <c r="N206" s="334"/>
      <c r="O206" s="334"/>
    </row>
    <row r="207" spans="1:15" s="4" customFormat="1" ht="17.25" customHeight="1" x14ac:dyDescent="0.2">
      <c r="A207" s="1448" t="s">
        <v>719</v>
      </c>
      <c r="B207" s="1449"/>
      <c r="C207" s="1449"/>
      <c r="D207" s="1449"/>
      <c r="E207" s="1449"/>
      <c r="F207" s="1449"/>
      <c r="G207" s="1449"/>
      <c r="H207" s="1449"/>
      <c r="I207" s="1449"/>
      <c r="J207" s="1449"/>
      <c r="K207" s="1449"/>
      <c r="L207" s="334"/>
      <c r="M207" s="334"/>
      <c r="N207" s="334"/>
      <c r="O207" s="334"/>
    </row>
    <row r="208" spans="1:15" ht="14.25" customHeight="1" x14ac:dyDescent="0.2">
      <c r="A208" s="311"/>
      <c r="B208" s="312"/>
      <c r="C208" s="974"/>
      <c r="D208" s="312"/>
      <c r="E208" s="312"/>
      <c r="F208" s="962"/>
      <c r="G208" s="312"/>
      <c r="H208" s="311"/>
      <c r="I208" s="311"/>
      <c r="J208" s="311"/>
      <c r="K208" s="61"/>
      <c r="L208" s="61"/>
      <c r="M208" s="61"/>
      <c r="N208" s="61"/>
      <c r="O208" s="61"/>
    </row>
    <row r="209" spans="1:50" s="4" customFormat="1" ht="12" customHeight="1" x14ac:dyDescent="0.2">
      <c r="A209" s="210"/>
      <c r="B209" s="335"/>
      <c r="C209" s="980"/>
      <c r="D209" s="335"/>
      <c r="E209" s="335"/>
      <c r="F209" s="963"/>
      <c r="G209" s="335"/>
      <c r="H209" s="335"/>
      <c r="I209" s="335"/>
      <c r="J209" s="335"/>
      <c r="K209" s="335"/>
      <c r="L209" s="210"/>
      <c r="M209" s="210"/>
      <c r="N209" s="210"/>
      <c r="O209" s="210"/>
    </row>
    <row r="210" spans="1:50" s="5" customFormat="1" ht="15" customHeight="1" thickBot="1" x14ac:dyDescent="0.25">
      <c r="A210" s="1243" t="s">
        <v>11</v>
      </c>
      <c r="B210" s="1243"/>
      <c r="C210" s="1243"/>
      <c r="D210" s="1243"/>
      <c r="E210" s="1243"/>
      <c r="F210" s="1243"/>
      <c r="G210" s="1243"/>
      <c r="H210" s="250"/>
      <c r="I210" s="250"/>
      <c r="J210" s="250"/>
      <c r="K210" s="61"/>
      <c r="L210" s="61"/>
      <c r="M210" s="61"/>
      <c r="N210" s="61"/>
      <c r="O210" s="61"/>
    </row>
    <row r="211" spans="1:50" ht="27" customHeight="1" x14ac:dyDescent="0.2">
      <c r="A211" s="1438" t="s">
        <v>9</v>
      </c>
      <c r="B211" s="1439"/>
      <c r="C211" s="1439"/>
      <c r="D211" s="1439"/>
      <c r="E211" s="1439"/>
      <c r="F211" s="1439"/>
      <c r="G211" s="1440"/>
      <c r="H211" s="1444" t="s">
        <v>247</v>
      </c>
      <c r="I211" s="1444" t="s">
        <v>248</v>
      </c>
      <c r="J211" s="1446" t="s">
        <v>249</v>
      </c>
      <c r="K211" s="13"/>
      <c r="L211" s="13"/>
      <c r="M211" s="13"/>
      <c r="N211" s="13"/>
      <c r="O211" s="13"/>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c r="AP211" s="192"/>
      <c r="AQ211" s="192"/>
      <c r="AR211" s="192"/>
      <c r="AS211" s="192"/>
      <c r="AT211" s="192"/>
      <c r="AU211" s="192"/>
      <c r="AV211" s="192"/>
      <c r="AW211" s="192"/>
      <c r="AX211" s="192"/>
    </row>
    <row r="212" spans="1:50" ht="41.25" customHeight="1" thickBot="1" x14ac:dyDescent="0.25">
      <c r="A212" s="1441"/>
      <c r="B212" s="1442"/>
      <c r="C212" s="1442"/>
      <c r="D212" s="1442"/>
      <c r="E212" s="1442"/>
      <c r="F212" s="1442"/>
      <c r="G212" s="1443"/>
      <c r="H212" s="1445"/>
      <c r="I212" s="1445"/>
      <c r="J212" s="1447"/>
      <c r="K212" s="13"/>
      <c r="L212" s="13"/>
      <c r="M212" s="13"/>
      <c r="N212" s="13"/>
      <c r="O212" s="13"/>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2"/>
      <c r="AT212" s="192"/>
      <c r="AU212" s="192"/>
      <c r="AV212" s="192"/>
      <c r="AW212" s="192"/>
      <c r="AX212" s="192"/>
    </row>
    <row r="213" spans="1:50" ht="14.25" customHeight="1" x14ac:dyDescent="0.2">
      <c r="A213" s="1219" t="s">
        <v>12</v>
      </c>
      <c r="B213" s="1220"/>
      <c r="C213" s="1220"/>
      <c r="D213" s="1220"/>
      <c r="E213" s="1220"/>
      <c r="F213" s="1220"/>
      <c r="G213" s="1221"/>
      <c r="H213" s="196">
        <f t="shared" ref="H213:I213" si="2">H214+H222+H223+H224+H221</f>
        <v>19972.900000000001</v>
      </c>
      <c r="I213" s="196">
        <f t="shared" si="2"/>
        <v>25410</v>
      </c>
      <c r="J213" s="313">
        <f>J214+J222+J223+J224+J221</f>
        <v>21965.8</v>
      </c>
      <c r="K213" s="13"/>
      <c r="L213" s="13"/>
      <c r="M213" s="13"/>
      <c r="N213" s="13"/>
      <c r="O213" s="13"/>
    </row>
    <row r="214" spans="1:50" ht="14.25" customHeight="1" x14ac:dyDescent="0.2">
      <c r="A214" s="1222" t="s">
        <v>68</v>
      </c>
      <c r="B214" s="1223"/>
      <c r="C214" s="1223"/>
      <c r="D214" s="1223"/>
      <c r="E214" s="1223"/>
      <c r="F214" s="1223"/>
      <c r="G214" s="1224"/>
      <c r="H214" s="197">
        <f>SUM(H215:H219)</f>
        <v>15594.9</v>
      </c>
      <c r="I214" s="197">
        <f>SUM(I215:I220)</f>
        <v>19721</v>
      </c>
      <c r="J214" s="314">
        <f t="shared" ref="J214" si="3">SUM(J215:J220)</f>
        <v>17249</v>
      </c>
      <c r="K214" s="13"/>
      <c r="L214" s="13"/>
      <c r="M214" s="13"/>
      <c r="N214" s="13"/>
      <c r="O214" s="13"/>
    </row>
    <row r="215" spans="1:50" ht="14.25" customHeight="1" x14ac:dyDescent="0.2">
      <c r="A215" s="1225" t="s">
        <v>16</v>
      </c>
      <c r="B215" s="1226"/>
      <c r="C215" s="1226"/>
      <c r="D215" s="1226"/>
      <c r="E215" s="1226"/>
      <c r="F215" s="1226"/>
      <c r="G215" s="1227"/>
      <c r="H215" s="39">
        <f>SUMIF(G14:G205,"SB",H14:H205)</f>
        <v>7994.3</v>
      </c>
      <c r="I215" s="39">
        <f>SUMIF(G14:G205,"SB",I14:I205)</f>
        <v>8598.7999999999993</v>
      </c>
      <c r="J215" s="39">
        <f>SUMIF(G13:G205,"SB",J13:J205)</f>
        <v>6705.3</v>
      </c>
      <c r="K215" s="31"/>
      <c r="L215" s="31"/>
      <c r="M215" s="31"/>
      <c r="N215" s="13"/>
      <c r="O215" s="13"/>
    </row>
    <row r="216" spans="1:50" ht="14.25" customHeight="1" x14ac:dyDescent="0.2">
      <c r="A216" s="1228" t="s">
        <v>17</v>
      </c>
      <c r="B216" s="1229"/>
      <c r="C216" s="1229"/>
      <c r="D216" s="1229"/>
      <c r="E216" s="1229"/>
      <c r="F216" s="1229"/>
      <c r="G216" s="1230"/>
      <c r="H216" s="35">
        <f>SUMIF(G39:G205,"SB(P)",H39:H205)</f>
        <v>0</v>
      </c>
      <c r="I216" s="35">
        <f>SUMIF(G39:G205,"SB(P)",I39:I205)</f>
        <v>0</v>
      </c>
      <c r="J216" s="35">
        <f>SUMIF(G39:G205,"SB(P)",J39:J205)</f>
        <v>0</v>
      </c>
      <c r="K216" s="315"/>
      <c r="L216" s="315"/>
      <c r="M216" s="315"/>
      <c r="N216" s="13"/>
      <c r="O216" s="13"/>
    </row>
    <row r="217" spans="1:50" ht="14.25" customHeight="1" x14ac:dyDescent="0.2">
      <c r="A217" s="1228" t="s">
        <v>58</v>
      </c>
      <c r="B217" s="1229"/>
      <c r="C217" s="1229"/>
      <c r="D217" s="1229"/>
      <c r="E217" s="1229"/>
      <c r="F217" s="1229"/>
      <c r="G217" s="1230"/>
      <c r="H217" s="39">
        <f>SUMIF(G39:G205,"SB(VR)",H39:H205)</f>
        <v>1770.6</v>
      </c>
      <c r="I217" s="39">
        <f>SUMIF(G39:G205,"SB(VR)",I39:I205)</f>
        <v>1770.6</v>
      </c>
      <c r="J217" s="39">
        <f>SUMIF(G39:G205,"SB(VR)",J39:J205)</f>
        <v>1767.6</v>
      </c>
      <c r="K217" s="13"/>
      <c r="L217" s="13"/>
      <c r="M217" s="13"/>
      <c r="N217" s="13"/>
      <c r="O217" s="13"/>
    </row>
    <row r="218" spans="1:50" ht="27.75" customHeight="1" x14ac:dyDescent="0.2">
      <c r="A218" s="1462" t="s">
        <v>775</v>
      </c>
      <c r="B218" s="1463"/>
      <c r="C218" s="1463"/>
      <c r="D218" s="1463"/>
      <c r="E218" s="1463"/>
      <c r="F218" s="1463"/>
      <c r="G218" s="1464"/>
      <c r="H218" s="35">
        <f>SUMIF(G14:G201,"SB(ES)",H14:H201)</f>
        <v>5830</v>
      </c>
      <c r="I218" s="35">
        <f>SUMIF(G14:G200,"SB(ES)",I14:I200)</f>
        <v>4485.2</v>
      </c>
      <c r="J218" s="35">
        <f>SUMIF(G14:G201,"SB(ES)",J14:J201)</f>
        <v>4387.8999999999996</v>
      </c>
      <c r="K218" s="13"/>
      <c r="L218" s="13"/>
      <c r="M218" s="13"/>
      <c r="N218" s="13"/>
      <c r="O218" s="13"/>
    </row>
    <row r="219" spans="1:50" ht="15.75" customHeight="1" x14ac:dyDescent="0.2">
      <c r="A219" s="1462" t="s">
        <v>243</v>
      </c>
      <c r="B219" s="1463"/>
      <c r="C219" s="1463"/>
      <c r="D219" s="1463"/>
      <c r="E219" s="1463"/>
      <c r="F219" s="1463"/>
      <c r="G219" s="1464"/>
      <c r="H219" s="35">
        <f>SUMIF(G39:G201,"SB(VB)",H39:H201)</f>
        <v>0</v>
      </c>
      <c r="I219" s="35">
        <f>SUMIF(G39:G201,"SB(VB)",I39:I201)</f>
        <v>0</v>
      </c>
      <c r="J219" s="35">
        <f>SUMIF(G39:G201,"SB(VB)",J39:J201)</f>
        <v>0</v>
      </c>
      <c r="K219" s="13"/>
      <c r="L219" s="13"/>
      <c r="M219" s="13"/>
      <c r="N219" s="13"/>
      <c r="O219" s="13"/>
    </row>
    <row r="220" spans="1:50" ht="27.75" customHeight="1" x14ac:dyDescent="0.2">
      <c r="A220" s="1468" t="s">
        <v>244</v>
      </c>
      <c r="B220" s="1469"/>
      <c r="C220" s="1469"/>
      <c r="D220" s="1469"/>
      <c r="E220" s="1469"/>
      <c r="F220" s="1469"/>
      <c r="G220" s="1470"/>
      <c r="H220" s="35">
        <f>SUMIF(G14:G205,"SB(KPP)",H14:H205)</f>
        <v>4877.8</v>
      </c>
      <c r="I220" s="35">
        <f>SUMIF(G14:G205,"SB(KPP)",I14:I205)</f>
        <v>4866.3999999999996</v>
      </c>
      <c r="J220" s="35">
        <f>SUMIF(G14:G205,"SB(KPP)",J14:J205)</f>
        <v>4388.2</v>
      </c>
      <c r="K220" s="13"/>
      <c r="L220" s="13"/>
      <c r="M220" s="13"/>
      <c r="N220" s="13"/>
      <c r="O220" s="13"/>
    </row>
    <row r="221" spans="1:50" ht="15.75" customHeight="1" x14ac:dyDescent="0.2">
      <c r="A221" s="1471" t="s">
        <v>245</v>
      </c>
      <c r="B221" s="1472"/>
      <c r="C221" s="1472"/>
      <c r="D221" s="1472"/>
      <c r="E221" s="1472"/>
      <c r="F221" s="1472"/>
      <c r="G221" s="1473"/>
      <c r="H221" s="120">
        <f>SUMIF(G13:G205,"SB(KP)",H13:H205)</f>
        <v>0</v>
      </c>
      <c r="I221" s="120">
        <f>SUMIF(G13:G205,"SB(KP)",I13:I205)</f>
        <v>0</v>
      </c>
      <c r="J221" s="120"/>
      <c r="K221" s="13"/>
      <c r="L221" s="13"/>
      <c r="M221" s="13"/>
      <c r="N221" s="13"/>
      <c r="O221" s="13"/>
    </row>
    <row r="222" spans="1:50" ht="14.25" customHeight="1" x14ac:dyDescent="0.2">
      <c r="A222" s="1474" t="s">
        <v>70</v>
      </c>
      <c r="B222" s="1475"/>
      <c r="C222" s="1475"/>
      <c r="D222" s="1475"/>
      <c r="E222" s="1475"/>
      <c r="F222" s="1475"/>
      <c r="G222" s="1476"/>
      <c r="H222" s="120">
        <f>SUMIF(G14:G204,"SB(VRL)",H14:H204)</f>
        <v>761.9</v>
      </c>
      <c r="I222" s="120">
        <f>SUMIF(G14:G204,"SB(VRL)",I14:I204)</f>
        <v>901</v>
      </c>
      <c r="J222" s="120">
        <f>SUMIF(G39:G204,"SB(VRL)",J39:J204)</f>
        <v>901</v>
      </c>
      <c r="K222" s="13"/>
      <c r="L222" s="13"/>
      <c r="M222" s="13"/>
      <c r="N222" s="13"/>
      <c r="O222" s="13"/>
    </row>
    <row r="223" spans="1:50" ht="14.25" customHeight="1" x14ac:dyDescent="0.2">
      <c r="A223" s="1471" t="s">
        <v>71</v>
      </c>
      <c r="B223" s="1475"/>
      <c r="C223" s="1475"/>
      <c r="D223" s="1475"/>
      <c r="E223" s="1475"/>
      <c r="F223" s="1475"/>
      <c r="G223" s="1476"/>
      <c r="H223" s="120">
        <f>SUMIF(G14:G205,"SB(ŽPL)",H14:H205)</f>
        <v>480.6</v>
      </c>
      <c r="I223" s="120">
        <f>SUMIF(G14:G205,"SB(ŽPL)",I14:I205)</f>
        <v>480.6</v>
      </c>
      <c r="J223" s="120">
        <f>SUMIF(G14:G205,"SB(ŽPL)",J14:J205)</f>
        <v>151.9</v>
      </c>
      <c r="K223" s="13"/>
      <c r="L223" s="13"/>
      <c r="M223" s="13"/>
      <c r="N223" s="13"/>
      <c r="O223" s="13"/>
    </row>
    <row r="224" spans="1:50" ht="14.25" customHeight="1" x14ac:dyDescent="0.2">
      <c r="A224" s="1456" t="s">
        <v>119</v>
      </c>
      <c r="B224" s="1457"/>
      <c r="C224" s="1457"/>
      <c r="D224" s="1457"/>
      <c r="E224" s="1457"/>
      <c r="F224" s="1457"/>
      <c r="G224" s="1458"/>
      <c r="H224" s="120">
        <f>SUMIF(G14:G205,"SB(L)",H14:H205)</f>
        <v>3135.5</v>
      </c>
      <c r="I224" s="120">
        <f>SUMIF(G14:G205,"SB(L)",I14:I205)</f>
        <v>4307.3999999999996</v>
      </c>
      <c r="J224" s="120">
        <f>SUMIF(G14:G205,"SB(L)",J14:J205)</f>
        <v>3663.9</v>
      </c>
      <c r="K224" s="13"/>
      <c r="L224" s="13"/>
      <c r="M224" s="13"/>
      <c r="N224" s="13"/>
      <c r="O224" s="13"/>
    </row>
    <row r="225" spans="1:15" ht="14.25" customHeight="1" x14ac:dyDescent="0.2">
      <c r="A225" s="1459" t="s">
        <v>13</v>
      </c>
      <c r="B225" s="1460"/>
      <c r="C225" s="1460"/>
      <c r="D225" s="1460"/>
      <c r="E225" s="1460"/>
      <c r="F225" s="1460"/>
      <c r="G225" s="1461"/>
      <c r="H225" s="121">
        <f>H228+H229+H230+H226+H227+H220</f>
        <v>7585.7</v>
      </c>
      <c r="I225" s="121">
        <f>I228+I229+I230+I226+I227</f>
        <v>2707.9</v>
      </c>
      <c r="J225" s="121">
        <f>J228+J229+J230+J226+J227</f>
        <v>1505.6</v>
      </c>
      <c r="K225" s="13"/>
      <c r="L225" s="13"/>
      <c r="M225" s="13"/>
      <c r="N225" s="13"/>
      <c r="O225" s="13"/>
    </row>
    <row r="226" spans="1:15" ht="14.25" customHeight="1" x14ac:dyDescent="0.2">
      <c r="A226" s="1462" t="s">
        <v>18</v>
      </c>
      <c r="B226" s="1463"/>
      <c r="C226" s="1463"/>
      <c r="D226" s="1463"/>
      <c r="E226" s="1463"/>
      <c r="F226" s="1463"/>
      <c r="G226" s="1464"/>
      <c r="H226" s="35">
        <f>SUMIF(G14:G205,"ES",H14:H205)</f>
        <v>919.1</v>
      </c>
      <c r="I226" s="35">
        <f>SUMIF(G14:G205,"ES",I14:I205)</f>
        <v>919.1</v>
      </c>
      <c r="J226" s="35">
        <f>SUMIF(G14:G205,"ES",J14:J205)</f>
        <v>0</v>
      </c>
      <c r="K226" s="13"/>
      <c r="L226" s="13"/>
      <c r="M226" s="13"/>
      <c r="N226" s="13"/>
      <c r="O226" s="13"/>
    </row>
    <row r="227" spans="1:15" ht="14.25" customHeight="1" x14ac:dyDescent="0.2">
      <c r="A227" s="1465" t="s">
        <v>246</v>
      </c>
      <c r="B227" s="1466"/>
      <c r="C227" s="1466"/>
      <c r="D227" s="1466"/>
      <c r="E227" s="1466"/>
      <c r="F227" s="1466"/>
      <c r="G227" s="1467"/>
      <c r="H227" s="198">
        <f>SUMIF(G13:G204,"KPP(VIP)",H13:H204)</f>
        <v>0</v>
      </c>
      <c r="I227" s="198">
        <f>SUMIF(G13:G204,"KPP(VIP)",I13:I204)</f>
        <v>0</v>
      </c>
      <c r="J227" s="316">
        <f>SUMIF(G13:G204,"KPP(VIP)",J13:J204)</f>
        <v>0</v>
      </c>
      <c r="K227" s="13"/>
      <c r="L227" s="13"/>
      <c r="M227" s="13"/>
      <c r="N227" s="13"/>
      <c r="O227" s="13"/>
    </row>
    <row r="228" spans="1:15" ht="14.25" customHeight="1" x14ac:dyDescent="0.2">
      <c r="A228" s="1465" t="s">
        <v>19</v>
      </c>
      <c r="B228" s="1466"/>
      <c r="C228" s="1466"/>
      <c r="D228" s="1466"/>
      <c r="E228" s="1466"/>
      <c r="F228" s="1466"/>
      <c r="G228" s="1467"/>
      <c r="H228" s="35">
        <f>SUMIF(G14:G205,"KVJUD",H14:H205)</f>
        <v>1662.4</v>
      </c>
      <c r="I228" s="35">
        <f>SUMIF(G14:G205,"KVJUD",I14:I205)</f>
        <v>1662.4</v>
      </c>
      <c r="J228" s="35">
        <f>SUMIF(G14:G205,"KVJUD",J14:J205)</f>
        <v>1505.6</v>
      </c>
      <c r="K228" s="31"/>
      <c r="L228" s="31"/>
      <c r="M228" s="31"/>
      <c r="N228" s="31"/>
      <c r="O228" s="31"/>
    </row>
    <row r="229" spans="1:15" ht="14.25" customHeight="1" x14ac:dyDescent="0.2">
      <c r="A229" s="1228" t="s">
        <v>20</v>
      </c>
      <c r="B229" s="1229"/>
      <c r="C229" s="1229"/>
      <c r="D229" s="1229"/>
      <c r="E229" s="1229"/>
      <c r="F229" s="1229"/>
      <c r="G229" s="1230"/>
      <c r="H229" s="35">
        <f>SUMIF(G39:G205,"LRVB",H39:H205)</f>
        <v>0</v>
      </c>
      <c r="I229" s="35">
        <f>SUMIF(G39:G205,"LRVB",I39:I205)</f>
        <v>0</v>
      </c>
      <c r="J229" s="35">
        <f>SUMIF(G14:G205,"LRVB",J14:J205)</f>
        <v>0</v>
      </c>
      <c r="K229" s="31"/>
      <c r="L229" s="31"/>
      <c r="M229" s="31"/>
      <c r="N229" s="31"/>
      <c r="O229" s="31"/>
    </row>
    <row r="230" spans="1:15" ht="14.25" customHeight="1" x14ac:dyDescent="0.2">
      <c r="A230" s="1450" t="s">
        <v>21</v>
      </c>
      <c r="B230" s="1451"/>
      <c r="C230" s="1451"/>
      <c r="D230" s="1451"/>
      <c r="E230" s="1451"/>
      <c r="F230" s="1451"/>
      <c r="G230" s="1452"/>
      <c r="H230" s="35">
        <f>SUMIF(G14:G205,"Kt",H14:H205)</f>
        <v>126.4</v>
      </c>
      <c r="I230" s="35">
        <f>SUMIF(G14:G205,"Kt",I14:I205)</f>
        <v>126.4</v>
      </c>
      <c r="J230" s="35">
        <f>SUMIF(G39:G205,"Kt",J39:J205)</f>
        <v>0</v>
      </c>
      <c r="K230" s="31"/>
      <c r="L230" s="31"/>
      <c r="M230" s="31"/>
      <c r="N230" s="31"/>
      <c r="O230" s="31"/>
    </row>
    <row r="231" spans="1:15" ht="14.25" customHeight="1" thickBot="1" x14ac:dyDescent="0.25">
      <c r="A231" s="1453" t="s">
        <v>14</v>
      </c>
      <c r="B231" s="1454"/>
      <c r="C231" s="1454"/>
      <c r="D231" s="1454"/>
      <c r="E231" s="1454"/>
      <c r="F231" s="1454"/>
      <c r="G231" s="1455"/>
      <c r="H231" s="122">
        <f>SUM(H213,H225)</f>
        <v>27558.6</v>
      </c>
      <c r="I231" s="122">
        <f>SUM(I213,I225)</f>
        <v>28117.9</v>
      </c>
      <c r="J231" s="122">
        <f>SUM(J213,J225)</f>
        <v>23471.4</v>
      </c>
      <c r="K231" s="31"/>
      <c r="L231" s="31"/>
      <c r="M231" s="31"/>
      <c r="N231" s="31"/>
      <c r="O231" s="31"/>
    </row>
    <row r="232" spans="1:15" x14ac:dyDescent="0.2">
      <c r="G232" s="189"/>
      <c r="H232" s="190"/>
      <c r="I232" s="190"/>
      <c r="J232" s="190"/>
      <c r="K232" s="4"/>
    </row>
    <row r="233" spans="1:15" x14ac:dyDescent="0.2">
      <c r="G233" s="1196" t="s">
        <v>776</v>
      </c>
      <c r="H233" s="1196"/>
      <c r="I233" s="1196"/>
      <c r="J233" s="1196"/>
    </row>
    <row r="234" spans="1:15" x14ac:dyDescent="0.2">
      <c r="J234" s="13"/>
    </row>
    <row r="235" spans="1:15" x14ac:dyDescent="0.2">
      <c r="H235" s="13"/>
      <c r="I235" s="13"/>
    </row>
  </sheetData>
  <mergeCells count="292">
    <mergeCell ref="N45:N47"/>
    <mergeCell ref="N48:N49"/>
    <mergeCell ref="N50:N51"/>
    <mergeCell ref="O57:O58"/>
    <mergeCell ref="N57:N58"/>
    <mergeCell ref="D200:D202"/>
    <mergeCell ref="E200:E202"/>
    <mergeCell ref="F200:F202"/>
    <mergeCell ref="D187:D190"/>
    <mergeCell ref="D191:D192"/>
    <mergeCell ref="E194:E196"/>
    <mergeCell ref="F194:F196"/>
    <mergeCell ref="D197:D198"/>
    <mergeCell ref="N53:N54"/>
    <mergeCell ref="N59:N60"/>
    <mergeCell ref="N61:N62"/>
    <mergeCell ref="D185:D186"/>
    <mergeCell ref="K185:K186"/>
    <mergeCell ref="D173:D176"/>
    <mergeCell ref="F156:F158"/>
    <mergeCell ref="K156:K157"/>
    <mergeCell ref="C160:G160"/>
    <mergeCell ref="K160:O160"/>
    <mergeCell ref="C161:O161"/>
    <mergeCell ref="A1:O1"/>
    <mergeCell ref="A2:O2"/>
    <mergeCell ref="A4:A6"/>
    <mergeCell ref="B4:B6"/>
    <mergeCell ref="K4:M4"/>
    <mergeCell ref="N4:N6"/>
    <mergeCell ref="O4:O6"/>
    <mergeCell ref="H5:H6"/>
    <mergeCell ref="I5:I6"/>
    <mergeCell ref="J5:J6"/>
    <mergeCell ref="K5:K6"/>
    <mergeCell ref="L5:L6"/>
    <mergeCell ref="M5:M6"/>
    <mergeCell ref="D4:D6"/>
    <mergeCell ref="E4:E6"/>
    <mergeCell ref="F4:F6"/>
    <mergeCell ref="G4:G6"/>
    <mergeCell ref="H4:J4"/>
    <mergeCell ref="A211:G212"/>
    <mergeCell ref="H211:H212"/>
    <mergeCell ref="I211:I212"/>
    <mergeCell ref="J211:J212"/>
    <mergeCell ref="A206:K206"/>
    <mergeCell ref="A207:K207"/>
    <mergeCell ref="A230:G230"/>
    <mergeCell ref="A231:G231"/>
    <mergeCell ref="A224:G224"/>
    <mergeCell ref="A225:G225"/>
    <mergeCell ref="A226:G226"/>
    <mergeCell ref="A227:G227"/>
    <mergeCell ref="A228:G228"/>
    <mergeCell ref="A229:G229"/>
    <mergeCell ref="A218:G218"/>
    <mergeCell ref="A219:G219"/>
    <mergeCell ref="A220:G220"/>
    <mergeCell ref="A221:G221"/>
    <mergeCell ref="A222:G222"/>
    <mergeCell ref="A223:G223"/>
    <mergeCell ref="A177:A178"/>
    <mergeCell ref="B177:B178"/>
    <mergeCell ref="C177:C178"/>
    <mergeCell ref="D177:D178"/>
    <mergeCell ref="K177:K178"/>
    <mergeCell ref="A179:A184"/>
    <mergeCell ref="B179:B184"/>
    <mergeCell ref="C179:C184"/>
    <mergeCell ref="D179:D181"/>
    <mergeCell ref="D162:D163"/>
    <mergeCell ref="E179:E184"/>
    <mergeCell ref="F179:F184"/>
    <mergeCell ref="K180:K181"/>
    <mergeCell ref="N179:N181"/>
    <mergeCell ref="N156:N158"/>
    <mergeCell ref="K165:K167"/>
    <mergeCell ref="N175:N176"/>
    <mergeCell ref="N166:N168"/>
    <mergeCell ref="E147:E149"/>
    <mergeCell ref="A156:A158"/>
    <mergeCell ref="B156:B158"/>
    <mergeCell ref="C156:C158"/>
    <mergeCell ref="D156:D158"/>
    <mergeCell ref="E156:E158"/>
    <mergeCell ref="A153:A154"/>
    <mergeCell ref="B153:B154"/>
    <mergeCell ref="C153:C154"/>
    <mergeCell ref="D153:D154"/>
    <mergeCell ref="E153:E154"/>
    <mergeCell ref="A144:A146"/>
    <mergeCell ref="B144:B146"/>
    <mergeCell ref="C144:C146"/>
    <mergeCell ref="D144:D146"/>
    <mergeCell ref="E144:E146"/>
    <mergeCell ref="D136:D137"/>
    <mergeCell ref="K136:K137"/>
    <mergeCell ref="A139:A141"/>
    <mergeCell ref="B139:B141"/>
    <mergeCell ref="C139:C141"/>
    <mergeCell ref="D139:D141"/>
    <mergeCell ref="E139:E141"/>
    <mergeCell ref="F139:F141"/>
    <mergeCell ref="K144:K145"/>
    <mergeCell ref="F144:F154"/>
    <mergeCell ref="A150:A152"/>
    <mergeCell ref="B150:B152"/>
    <mergeCell ref="C150:C152"/>
    <mergeCell ref="D150:D152"/>
    <mergeCell ref="E150:E152"/>
    <mergeCell ref="A147:A148"/>
    <mergeCell ref="B147:B148"/>
    <mergeCell ref="C147:C148"/>
    <mergeCell ref="D147:D149"/>
    <mergeCell ref="D133:D134"/>
    <mergeCell ref="C114:G114"/>
    <mergeCell ref="K114:O114"/>
    <mergeCell ref="C115:O115"/>
    <mergeCell ref="D118:D129"/>
    <mergeCell ref="E118:E125"/>
    <mergeCell ref="K128:K130"/>
    <mergeCell ref="D142:D143"/>
    <mergeCell ref="E142:E143"/>
    <mergeCell ref="K133:K134"/>
    <mergeCell ref="D116:D117"/>
    <mergeCell ref="N136:N137"/>
    <mergeCell ref="N128:N129"/>
    <mergeCell ref="A111:A113"/>
    <mergeCell ref="B111:B113"/>
    <mergeCell ref="C111:C113"/>
    <mergeCell ref="F111:F113"/>
    <mergeCell ref="K111:K112"/>
    <mergeCell ref="A107:A110"/>
    <mergeCell ref="B107:B110"/>
    <mergeCell ref="C107:C110"/>
    <mergeCell ref="D107:D109"/>
    <mergeCell ref="F107:F110"/>
    <mergeCell ref="D111:D113"/>
    <mergeCell ref="D94:D95"/>
    <mergeCell ref="E98:E99"/>
    <mergeCell ref="D100:D103"/>
    <mergeCell ref="D104:D105"/>
    <mergeCell ref="A92:A93"/>
    <mergeCell ref="B92:B93"/>
    <mergeCell ref="C92:C93"/>
    <mergeCell ref="D92:D93"/>
    <mergeCell ref="E92:E93"/>
    <mergeCell ref="D98:D99"/>
    <mergeCell ref="F92:F93"/>
    <mergeCell ref="L85:L86"/>
    <mergeCell ref="N85:N86"/>
    <mergeCell ref="O85:O86"/>
    <mergeCell ref="A87:A89"/>
    <mergeCell ref="B87:B89"/>
    <mergeCell ref="C87:C89"/>
    <mergeCell ref="D87:D89"/>
    <mergeCell ref="E87:E89"/>
    <mergeCell ref="F87:F89"/>
    <mergeCell ref="D83:D84"/>
    <mergeCell ref="K83:K84"/>
    <mergeCell ref="A85:A86"/>
    <mergeCell ref="B85:B86"/>
    <mergeCell ref="C85:C86"/>
    <mergeCell ref="D85:D86"/>
    <mergeCell ref="E85:E86"/>
    <mergeCell ref="F85:F86"/>
    <mergeCell ref="K85:K86"/>
    <mergeCell ref="C67:O67"/>
    <mergeCell ref="D74:D76"/>
    <mergeCell ref="K75:K76"/>
    <mergeCell ref="D79:D80"/>
    <mergeCell ref="K79:K80"/>
    <mergeCell ref="D61:D62"/>
    <mergeCell ref="E61:E62"/>
    <mergeCell ref="D63:D64"/>
    <mergeCell ref="K63:K64"/>
    <mergeCell ref="C66:G66"/>
    <mergeCell ref="E68:E69"/>
    <mergeCell ref="N79:N80"/>
    <mergeCell ref="N75:N76"/>
    <mergeCell ref="A32:A34"/>
    <mergeCell ref="B32:B34"/>
    <mergeCell ref="C32:C34"/>
    <mergeCell ref="D32:D34"/>
    <mergeCell ref="B39:B40"/>
    <mergeCell ref="D50:D52"/>
    <mergeCell ref="E50:E52"/>
    <mergeCell ref="F57:F58"/>
    <mergeCell ref="D59:D60"/>
    <mergeCell ref="A57:A58"/>
    <mergeCell ref="B57:B58"/>
    <mergeCell ref="C57:C58"/>
    <mergeCell ref="D57:D58"/>
    <mergeCell ref="E57:E58"/>
    <mergeCell ref="D53:D54"/>
    <mergeCell ref="E53:E54"/>
    <mergeCell ref="F53:F54"/>
    <mergeCell ref="A27:A31"/>
    <mergeCell ref="B27:B31"/>
    <mergeCell ref="C27:C31"/>
    <mergeCell ref="D27:D31"/>
    <mergeCell ref="F27:F31"/>
    <mergeCell ref="K15:K16"/>
    <mergeCell ref="D23:D24"/>
    <mergeCell ref="E23:E24"/>
    <mergeCell ref="F23:F24"/>
    <mergeCell ref="K23:K24"/>
    <mergeCell ref="D25:D26"/>
    <mergeCell ref="K25:K26"/>
    <mergeCell ref="A15:A22"/>
    <mergeCell ref="B15:B22"/>
    <mergeCell ref="D15:D17"/>
    <mergeCell ref="E15:E22"/>
    <mergeCell ref="F15:F22"/>
    <mergeCell ref="K53:K54"/>
    <mergeCell ref="D55:D56"/>
    <mergeCell ref="E55:E56"/>
    <mergeCell ref="F55:F56"/>
    <mergeCell ref="K45:K46"/>
    <mergeCell ref="D48:D49"/>
    <mergeCell ref="F48:F49"/>
    <mergeCell ref="A7:O7"/>
    <mergeCell ref="A8:O8"/>
    <mergeCell ref="H9:J9"/>
    <mergeCell ref="B10:G10"/>
    <mergeCell ref="H10:J10"/>
    <mergeCell ref="H11:J11"/>
    <mergeCell ref="H12:J12"/>
    <mergeCell ref="F32:F34"/>
    <mergeCell ref="A45:A47"/>
    <mergeCell ref="B45:B47"/>
    <mergeCell ref="D45:D47"/>
    <mergeCell ref="F45:F47"/>
    <mergeCell ref="D43:D44"/>
    <mergeCell ref="F39:F40"/>
    <mergeCell ref="D41:D42"/>
    <mergeCell ref="E41:E42"/>
    <mergeCell ref="A39:A40"/>
    <mergeCell ref="C13:O13"/>
    <mergeCell ref="K32:K33"/>
    <mergeCell ref="D35:D36"/>
    <mergeCell ref="E35:E36"/>
    <mergeCell ref="C37:C38"/>
    <mergeCell ref="D37:D38"/>
    <mergeCell ref="K37:K38"/>
    <mergeCell ref="K43:K44"/>
    <mergeCell ref="K41:K42"/>
    <mergeCell ref="N27:N31"/>
    <mergeCell ref="N32:N33"/>
    <mergeCell ref="N35:N36"/>
    <mergeCell ref="O32:O33"/>
    <mergeCell ref="N37:N38"/>
    <mergeCell ref="N43:N44"/>
    <mergeCell ref="O35:O36"/>
    <mergeCell ref="O27:O31"/>
    <mergeCell ref="D39:D40"/>
    <mergeCell ref="E39:E40"/>
    <mergeCell ref="K27:K28"/>
    <mergeCell ref="N147:N149"/>
    <mergeCell ref="N150:N152"/>
    <mergeCell ref="K150:K151"/>
    <mergeCell ref="K147:K148"/>
    <mergeCell ref="K191:K192"/>
    <mergeCell ref="K197:K198"/>
    <mergeCell ref="N153:N154"/>
    <mergeCell ref="O165:O168"/>
    <mergeCell ref="O147:O149"/>
    <mergeCell ref="G233:J233"/>
    <mergeCell ref="K94:K95"/>
    <mergeCell ref="N185:N186"/>
    <mergeCell ref="N187:N190"/>
    <mergeCell ref="N191:N192"/>
    <mergeCell ref="O191:O192"/>
    <mergeCell ref="O193:O195"/>
    <mergeCell ref="N197:N198"/>
    <mergeCell ref="O144:O146"/>
    <mergeCell ref="N104:N105"/>
    <mergeCell ref="N107:N108"/>
    <mergeCell ref="K107:K109"/>
    <mergeCell ref="A213:G213"/>
    <mergeCell ref="A214:G214"/>
    <mergeCell ref="A215:G215"/>
    <mergeCell ref="A216:G216"/>
    <mergeCell ref="A217:G217"/>
    <mergeCell ref="K203:O203"/>
    <mergeCell ref="B204:G204"/>
    <mergeCell ref="K204:O204"/>
    <mergeCell ref="B205:G205"/>
    <mergeCell ref="K205:O205"/>
    <mergeCell ref="A210:G210"/>
    <mergeCell ref="C203:G203"/>
  </mergeCells>
  <printOptions horizontalCentered="1"/>
  <pageMargins left="0" right="0" top="0.59055118110236227" bottom="0.19685039370078741" header="0.31496062992125984" footer="0.31496062992125984"/>
  <pageSetup paperSize="9" scale="7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2"/>
  <sheetViews>
    <sheetView view="pageBreakPreview" topLeftCell="A178" zoomScaleNormal="100" zoomScaleSheetLayoutView="100" workbookViewId="0">
      <selection activeCell="N186" sqref="N186"/>
    </sheetView>
  </sheetViews>
  <sheetFormatPr defaultColWidth="9.140625" defaultRowHeight="12.75" x14ac:dyDescent="0.2"/>
  <cols>
    <col min="1" max="1" width="12.42578125" style="394" customWidth="1"/>
    <col min="2" max="2" width="39.42578125" style="394" customWidth="1"/>
    <col min="3" max="3" width="10.5703125" style="394" customWidth="1"/>
    <col min="4" max="8" width="7.85546875" style="394" customWidth="1"/>
    <col min="9" max="9" width="27.5703125" style="394" customWidth="1"/>
    <col min="10" max="10" width="7.28515625" style="394" customWidth="1"/>
    <col min="11" max="11" width="5.7109375" style="394" customWidth="1"/>
    <col min="12" max="12" width="6.85546875" style="394" customWidth="1"/>
    <col min="13" max="13" width="13.7109375" style="394" customWidth="1"/>
    <col min="14" max="14" width="50.7109375" style="937" customWidth="1"/>
    <col min="15" max="16384" width="9.140625" style="394"/>
  </cols>
  <sheetData>
    <row r="1" spans="1:14" ht="60" x14ac:dyDescent="0.2">
      <c r="A1" s="390" t="s">
        <v>258</v>
      </c>
      <c r="B1" s="391" t="s">
        <v>259</v>
      </c>
      <c r="C1" s="391" t="s">
        <v>260</v>
      </c>
      <c r="D1" s="391" t="s">
        <v>261</v>
      </c>
      <c r="E1" s="391" t="s">
        <v>262</v>
      </c>
      <c r="F1" s="391" t="s">
        <v>263</v>
      </c>
      <c r="G1" s="391" t="s">
        <v>264</v>
      </c>
      <c r="H1" s="391" t="s">
        <v>265</v>
      </c>
      <c r="I1" s="391" t="s">
        <v>548</v>
      </c>
      <c r="J1" s="392"/>
      <c r="K1" s="392"/>
      <c r="L1" s="392"/>
      <c r="M1" s="392"/>
      <c r="N1" s="393"/>
    </row>
    <row r="2" spans="1:14" ht="24" x14ac:dyDescent="0.2">
      <c r="A2" s="395"/>
      <c r="B2" s="396"/>
      <c r="C2" s="396"/>
      <c r="D2" s="396"/>
      <c r="E2" s="396"/>
      <c r="F2" s="396"/>
      <c r="G2" s="396"/>
      <c r="H2" s="396"/>
      <c r="I2" s="396" t="s">
        <v>266</v>
      </c>
      <c r="J2" s="396" t="s">
        <v>267</v>
      </c>
      <c r="K2" s="396" t="s">
        <v>268</v>
      </c>
      <c r="L2" s="397"/>
      <c r="M2" s="396" t="s">
        <v>269</v>
      </c>
      <c r="N2" s="398" t="s">
        <v>270</v>
      </c>
    </row>
    <row r="3" spans="1:14" ht="24.75" thickBot="1" x14ac:dyDescent="0.25">
      <c r="A3" s="399"/>
      <c r="B3" s="400"/>
      <c r="C3" s="400"/>
      <c r="D3" s="400"/>
      <c r="E3" s="400"/>
      <c r="F3" s="400"/>
      <c r="G3" s="400"/>
      <c r="H3" s="400"/>
      <c r="I3" s="400"/>
      <c r="J3" s="400"/>
      <c r="K3" s="363" t="s">
        <v>271</v>
      </c>
      <c r="L3" s="363" t="s">
        <v>272</v>
      </c>
      <c r="M3" s="400"/>
      <c r="N3" s="401"/>
    </row>
    <row r="4" spans="1:14" ht="23.25" thickBot="1" x14ac:dyDescent="0.25">
      <c r="A4" s="402" t="s">
        <v>30</v>
      </c>
      <c r="B4" s="403" t="s">
        <v>273</v>
      </c>
      <c r="C4" s="404"/>
      <c r="D4" s="404"/>
      <c r="E4" s="405">
        <f>SUM(E5:E5)</f>
        <v>19972.900000000001</v>
      </c>
      <c r="F4" s="405">
        <f>SUM(F5:F5)</f>
        <v>27458.2</v>
      </c>
      <c r="G4" s="405">
        <f>SUM(G5:G5)</f>
        <v>23521.9</v>
      </c>
      <c r="H4" s="405">
        <f>SUM(H5:H5)</f>
        <v>3936.3</v>
      </c>
      <c r="I4" s="404"/>
      <c r="J4" s="406"/>
      <c r="K4" s="407"/>
      <c r="L4" s="407"/>
      <c r="M4" s="404"/>
      <c r="N4" s="930"/>
    </row>
    <row r="5" spans="1:14" ht="23.25" thickBot="1" x14ac:dyDescent="0.25">
      <c r="A5" s="408" t="s">
        <v>274</v>
      </c>
      <c r="B5" s="409" t="s">
        <v>275</v>
      </c>
      <c r="C5" s="410"/>
      <c r="D5" s="410"/>
      <c r="E5" s="411">
        <f>E6+E66+E109+E151</f>
        <v>19972.900000000001</v>
      </c>
      <c r="F5" s="411">
        <f>F6+F66+F109+F151</f>
        <v>27458.2</v>
      </c>
      <c r="G5" s="411">
        <f>G6+G66+G109+G151-0.1</f>
        <v>23521.9</v>
      </c>
      <c r="H5" s="411">
        <f>H6+H66+H109+H151+0.1</f>
        <v>3936.3</v>
      </c>
      <c r="I5" s="410"/>
      <c r="J5" s="412"/>
      <c r="K5" s="413"/>
      <c r="L5" s="413"/>
      <c r="M5" s="410"/>
      <c r="N5" s="931"/>
    </row>
    <row r="6" spans="1:14" ht="13.5" thickBot="1" x14ac:dyDescent="0.25">
      <c r="A6" s="414" t="s">
        <v>276</v>
      </c>
      <c r="B6" s="415" t="s">
        <v>277</v>
      </c>
      <c r="C6" s="416"/>
      <c r="D6" s="416"/>
      <c r="E6" s="417">
        <f>E7+E20+E32+E45+E49+E58+E62</f>
        <v>5032.7</v>
      </c>
      <c r="F6" s="417">
        <f>F7+F20+F32+F45+F49+F58+F62</f>
        <v>8145.1</v>
      </c>
      <c r="G6" s="417">
        <f>G7+G20+G32+G45+G49+G58+G62-0.1</f>
        <v>5573.5</v>
      </c>
      <c r="H6" s="417">
        <f>H7+H20+H32+H45+H49+H58+H62+0.1</f>
        <v>2571.6</v>
      </c>
      <c r="I6" s="416"/>
      <c r="J6" s="418"/>
      <c r="K6" s="419"/>
      <c r="L6" s="419"/>
      <c r="M6" s="416"/>
      <c r="N6" s="932"/>
    </row>
    <row r="7" spans="1:14" ht="13.5" thickBot="1" x14ac:dyDescent="0.25">
      <c r="A7" s="420" t="s">
        <v>278</v>
      </c>
      <c r="B7" s="421" t="s">
        <v>279</v>
      </c>
      <c r="C7" s="422"/>
      <c r="D7" s="422"/>
      <c r="E7" s="423">
        <f>E8+E10+E12+E19</f>
        <v>1396.9</v>
      </c>
      <c r="F7" s="423">
        <f>F8+F10+F12+F19</f>
        <v>2559.6</v>
      </c>
      <c r="G7" s="423">
        <f>G8+G10+G12+G19</f>
        <v>1790.2</v>
      </c>
      <c r="H7" s="423">
        <f>H8+H10+H12+H19</f>
        <v>769.4</v>
      </c>
      <c r="I7" s="422"/>
      <c r="J7" s="424"/>
      <c r="K7" s="425"/>
      <c r="L7" s="425"/>
      <c r="M7" s="422"/>
      <c r="N7" s="933"/>
    </row>
    <row r="8" spans="1:14" ht="84" x14ac:dyDescent="0.2">
      <c r="A8" s="420" t="s">
        <v>280</v>
      </c>
      <c r="B8" s="943" t="s">
        <v>190</v>
      </c>
      <c r="C8" s="422" t="s">
        <v>281</v>
      </c>
      <c r="D8" s="422" t="s">
        <v>72</v>
      </c>
      <c r="E8" s="423">
        <f>SUM(E9:E9)+328.7</f>
        <v>328.7</v>
      </c>
      <c r="F8" s="423">
        <f>SUM(F9:F9)+328.7</f>
        <v>328.7</v>
      </c>
      <c r="G8" s="423">
        <f>SUM(G9:G9)</f>
        <v>0</v>
      </c>
      <c r="H8" s="423">
        <f>SUM(H9:H9)+328.7</f>
        <v>328.7</v>
      </c>
      <c r="I8" s="422" t="s">
        <v>286</v>
      </c>
      <c r="J8" s="424" t="s">
        <v>283</v>
      </c>
      <c r="K8" s="425" t="s">
        <v>287</v>
      </c>
      <c r="L8" s="425" t="s">
        <v>285</v>
      </c>
      <c r="M8" s="422"/>
      <c r="N8" s="933" t="s">
        <v>549</v>
      </c>
    </row>
    <row r="9" spans="1:14" ht="108.75" thickBot="1" x14ac:dyDescent="0.25">
      <c r="A9" s="426"/>
      <c r="B9" s="427"/>
      <c r="C9" s="428"/>
      <c r="D9" s="428"/>
      <c r="E9" s="429">
        <v>0</v>
      </c>
      <c r="F9" s="429">
        <v>0</v>
      </c>
      <c r="G9" s="429">
        <v>0</v>
      </c>
      <c r="H9" s="429">
        <v>0</v>
      </c>
      <c r="I9" s="428" t="s">
        <v>282</v>
      </c>
      <c r="J9" s="430" t="s">
        <v>283</v>
      </c>
      <c r="K9" s="431" t="s">
        <v>284</v>
      </c>
      <c r="L9" s="431" t="s">
        <v>285</v>
      </c>
      <c r="M9" s="428"/>
      <c r="N9" s="934" t="s">
        <v>550</v>
      </c>
    </row>
    <row r="10" spans="1:14" ht="33.75" x14ac:dyDescent="0.2">
      <c r="A10" s="420" t="s">
        <v>288</v>
      </c>
      <c r="B10" s="943" t="s">
        <v>289</v>
      </c>
      <c r="C10" s="422" t="s">
        <v>290</v>
      </c>
      <c r="D10" s="422"/>
      <c r="E10" s="423">
        <f>SUM(E11:E11)</f>
        <v>1.5</v>
      </c>
      <c r="F10" s="423">
        <f>SUM(F11:F11)</f>
        <v>1.5</v>
      </c>
      <c r="G10" s="423">
        <f>SUM(G11:G11)</f>
        <v>1.5</v>
      </c>
      <c r="H10" s="423">
        <f>SUM(H11:H11)</f>
        <v>0</v>
      </c>
      <c r="I10" s="422" t="s">
        <v>291</v>
      </c>
      <c r="J10" s="424" t="s">
        <v>283</v>
      </c>
      <c r="K10" s="425" t="s">
        <v>287</v>
      </c>
      <c r="L10" s="425" t="s">
        <v>287</v>
      </c>
      <c r="M10" s="422"/>
      <c r="N10" s="933" t="s">
        <v>292</v>
      </c>
    </row>
    <row r="11" spans="1:14" ht="13.5" thickBot="1" x14ac:dyDescent="0.25">
      <c r="A11" s="426"/>
      <c r="B11" s="427"/>
      <c r="C11" s="428"/>
      <c r="D11" s="428" t="s">
        <v>51</v>
      </c>
      <c r="E11" s="429">
        <v>1.5</v>
      </c>
      <c r="F11" s="429">
        <v>1.5</v>
      </c>
      <c r="G11" s="429">
        <v>1.5</v>
      </c>
      <c r="H11" s="429">
        <v>0</v>
      </c>
      <c r="I11" s="428"/>
      <c r="J11" s="430"/>
      <c r="K11" s="431"/>
      <c r="L11" s="431"/>
      <c r="M11" s="428"/>
      <c r="N11" s="934"/>
    </row>
    <row r="12" spans="1:14" ht="84" x14ac:dyDescent="0.2">
      <c r="A12" s="420" t="s">
        <v>293</v>
      </c>
      <c r="B12" s="943" t="s">
        <v>294</v>
      </c>
      <c r="C12" s="422" t="s">
        <v>295</v>
      </c>
      <c r="D12" s="422"/>
      <c r="E12" s="423">
        <f>SUM(E13:E18)</f>
        <v>1066.7</v>
      </c>
      <c r="F12" s="423">
        <f>SUM(F13:F18)</f>
        <v>2207.9</v>
      </c>
      <c r="G12" s="423">
        <f>SUM(G13:G18)</f>
        <v>1788.7</v>
      </c>
      <c r="H12" s="423">
        <f>SUM(H13:H18)</f>
        <v>419.2</v>
      </c>
      <c r="I12" s="422" t="s">
        <v>296</v>
      </c>
      <c r="J12" s="424" t="s">
        <v>297</v>
      </c>
      <c r="K12" s="425" t="s">
        <v>298</v>
      </c>
      <c r="L12" s="425" t="s">
        <v>551</v>
      </c>
      <c r="M12" s="422"/>
      <c r="N12" s="933" t="s">
        <v>552</v>
      </c>
    </row>
    <row r="13" spans="1:14" x14ac:dyDescent="0.2">
      <c r="A13" s="426"/>
      <c r="B13" s="427"/>
      <c r="C13" s="428"/>
      <c r="D13" s="428" t="s">
        <v>73</v>
      </c>
      <c r="E13" s="429">
        <v>0</v>
      </c>
      <c r="F13" s="429">
        <v>878.8</v>
      </c>
      <c r="G13" s="429">
        <v>878.8</v>
      </c>
      <c r="H13" s="429">
        <v>0</v>
      </c>
      <c r="I13" s="428"/>
      <c r="J13" s="430"/>
      <c r="K13" s="431"/>
      <c r="L13" s="431"/>
      <c r="M13" s="428"/>
      <c r="N13" s="934"/>
    </row>
    <row r="14" spans="1:14" x14ac:dyDescent="0.2">
      <c r="A14" s="426"/>
      <c r="B14" s="427"/>
      <c r="C14" s="428"/>
      <c r="D14" s="428" t="s">
        <v>42</v>
      </c>
      <c r="E14" s="429">
        <v>0</v>
      </c>
      <c r="F14" s="429">
        <v>162.4</v>
      </c>
      <c r="G14" s="429">
        <v>162.4</v>
      </c>
      <c r="H14" s="429">
        <v>0</v>
      </c>
      <c r="I14" s="428"/>
      <c r="J14" s="430"/>
      <c r="K14" s="431"/>
      <c r="L14" s="431"/>
      <c r="M14" s="428"/>
      <c r="N14" s="934"/>
    </row>
    <row r="15" spans="1:14" x14ac:dyDescent="0.2">
      <c r="A15" s="426"/>
      <c r="B15" s="427"/>
      <c r="C15" s="428"/>
      <c r="D15" s="428" t="s">
        <v>51</v>
      </c>
      <c r="E15" s="429">
        <v>100</v>
      </c>
      <c r="F15" s="429">
        <v>100</v>
      </c>
      <c r="G15" s="429">
        <v>100</v>
      </c>
      <c r="H15" s="429">
        <v>0</v>
      </c>
      <c r="I15" s="428"/>
      <c r="J15" s="430"/>
      <c r="K15" s="431"/>
      <c r="L15" s="431"/>
      <c r="M15" s="428"/>
      <c r="N15" s="934"/>
    </row>
    <row r="16" spans="1:14" x14ac:dyDescent="0.2">
      <c r="A16" s="426"/>
      <c r="B16" s="427"/>
      <c r="C16" s="428"/>
      <c r="D16" s="428" t="s">
        <v>22</v>
      </c>
      <c r="E16" s="429">
        <v>177.8</v>
      </c>
      <c r="F16" s="429">
        <v>226.3</v>
      </c>
      <c r="G16" s="429">
        <v>18.899999999999999</v>
      </c>
      <c r="H16" s="429">
        <v>207.4</v>
      </c>
      <c r="I16" s="428"/>
      <c r="J16" s="430"/>
      <c r="K16" s="431"/>
      <c r="L16" s="431"/>
      <c r="M16" s="428"/>
      <c r="N16" s="934"/>
    </row>
    <row r="17" spans="1:14" x14ac:dyDescent="0.2">
      <c r="A17" s="426"/>
      <c r="B17" s="427"/>
      <c r="C17" s="428"/>
      <c r="D17" s="428" t="s">
        <v>299</v>
      </c>
      <c r="E17" s="429">
        <v>637</v>
      </c>
      <c r="F17" s="429">
        <v>688.5</v>
      </c>
      <c r="G17" s="429">
        <v>476.7</v>
      </c>
      <c r="H17" s="429">
        <v>211.8</v>
      </c>
      <c r="I17" s="428"/>
      <c r="J17" s="430"/>
      <c r="K17" s="431"/>
      <c r="L17" s="431"/>
      <c r="M17" s="428"/>
      <c r="N17" s="934"/>
    </row>
    <row r="18" spans="1:14" ht="13.5" thickBot="1" x14ac:dyDescent="0.25">
      <c r="A18" s="426"/>
      <c r="B18" s="427"/>
      <c r="C18" s="428"/>
      <c r="D18" s="428" t="s">
        <v>72</v>
      </c>
      <c r="E18" s="429">
        <v>151.9</v>
      </c>
      <c r="F18" s="429">
        <v>151.9</v>
      </c>
      <c r="G18" s="429">
        <v>151.9</v>
      </c>
      <c r="H18" s="429">
        <v>0</v>
      </c>
      <c r="I18" s="428"/>
      <c r="J18" s="430"/>
      <c r="K18" s="431"/>
      <c r="L18" s="431"/>
      <c r="M18" s="428"/>
      <c r="N18" s="934"/>
    </row>
    <row r="19" spans="1:14" ht="36.75" thickBot="1" x14ac:dyDescent="0.25">
      <c r="A19" s="420" t="s">
        <v>300</v>
      </c>
      <c r="B19" s="421" t="s">
        <v>301</v>
      </c>
      <c r="C19" s="422" t="s">
        <v>353</v>
      </c>
      <c r="D19" s="422" t="s">
        <v>39</v>
      </c>
      <c r="E19" s="432">
        <v>0</v>
      </c>
      <c r="F19" s="432">
        <v>21.5</v>
      </c>
      <c r="G19" s="432">
        <v>0</v>
      </c>
      <c r="H19" s="432">
        <v>21.5</v>
      </c>
      <c r="I19" s="422" t="s">
        <v>529</v>
      </c>
      <c r="J19" s="424" t="s">
        <v>283</v>
      </c>
      <c r="K19" s="425" t="s">
        <v>287</v>
      </c>
      <c r="L19" s="425" t="s">
        <v>285</v>
      </c>
      <c r="M19" s="422"/>
      <c r="N19" s="933" t="s">
        <v>553</v>
      </c>
    </row>
    <row r="20" spans="1:14" ht="13.5" thickBot="1" x14ac:dyDescent="0.25">
      <c r="A20" s="420" t="s">
        <v>302</v>
      </c>
      <c r="B20" s="421" t="s">
        <v>303</v>
      </c>
      <c r="C20" s="422"/>
      <c r="D20" s="422"/>
      <c r="E20" s="423">
        <f>E21+E27+E29+E31</f>
        <v>407.4</v>
      </c>
      <c r="F20" s="423">
        <f>F21+F27+F29+F31</f>
        <v>438.7</v>
      </c>
      <c r="G20" s="423">
        <f>G21+G27+G29+G31-0.1</f>
        <v>327.8</v>
      </c>
      <c r="H20" s="423">
        <f>H21+H27+H29+H31+0.1</f>
        <v>110.9</v>
      </c>
      <c r="I20" s="422"/>
      <c r="J20" s="424"/>
      <c r="K20" s="425"/>
      <c r="L20" s="425"/>
      <c r="M20" s="422"/>
      <c r="N20" s="933"/>
    </row>
    <row r="21" spans="1:14" ht="108" x14ac:dyDescent="0.2">
      <c r="A21" s="420" t="s">
        <v>304</v>
      </c>
      <c r="B21" s="943" t="s">
        <v>138</v>
      </c>
      <c r="C21" s="422" t="s">
        <v>305</v>
      </c>
      <c r="D21" s="422"/>
      <c r="E21" s="423">
        <f>SUM(E22:E26)</f>
        <v>356.6</v>
      </c>
      <c r="F21" s="423">
        <f>SUM(F22:F26)</f>
        <v>377.9</v>
      </c>
      <c r="G21" s="423">
        <f>SUM(G22:G26)</f>
        <v>323.89999999999998</v>
      </c>
      <c r="H21" s="423">
        <f>SUM(H22:H26)</f>
        <v>54</v>
      </c>
      <c r="I21" s="422" t="s">
        <v>306</v>
      </c>
      <c r="J21" s="424" t="s">
        <v>283</v>
      </c>
      <c r="K21" s="425" t="s">
        <v>287</v>
      </c>
      <c r="L21" s="425" t="s">
        <v>285</v>
      </c>
      <c r="M21" s="422"/>
      <c r="N21" s="933" t="s">
        <v>554</v>
      </c>
    </row>
    <row r="22" spans="1:14" ht="45" x14ac:dyDescent="0.2">
      <c r="A22" s="426"/>
      <c r="B22" s="427"/>
      <c r="C22" s="428"/>
      <c r="D22" s="428"/>
      <c r="E22" s="429">
        <v>0</v>
      </c>
      <c r="F22" s="429">
        <v>0</v>
      </c>
      <c r="G22" s="429">
        <v>0</v>
      </c>
      <c r="H22" s="429">
        <v>0</v>
      </c>
      <c r="I22" s="428" t="s">
        <v>308</v>
      </c>
      <c r="J22" s="430" t="s">
        <v>297</v>
      </c>
      <c r="K22" s="431" t="s">
        <v>298</v>
      </c>
      <c r="L22" s="431" t="s">
        <v>298</v>
      </c>
      <c r="M22" s="428"/>
      <c r="N22" s="934" t="s">
        <v>555</v>
      </c>
    </row>
    <row r="23" spans="1:14" ht="45" x14ac:dyDescent="0.2">
      <c r="A23" s="426"/>
      <c r="B23" s="427"/>
      <c r="C23" s="428"/>
      <c r="D23" s="428"/>
      <c r="E23" s="429">
        <v>0</v>
      </c>
      <c r="F23" s="429">
        <v>0</v>
      </c>
      <c r="G23" s="429">
        <v>0</v>
      </c>
      <c r="H23" s="429">
        <v>0</v>
      </c>
      <c r="I23" s="428" t="s">
        <v>308</v>
      </c>
      <c r="J23" s="430" t="s">
        <v>297</v>
      </c>
      <c r="K23" s="431" t="s">
        <v>285</v>
      </c>
      <c r="L23" s="431" t="s">
        <v>285</v>
      </c>
      <c r="M23" s="428"/>
      <c r="N23" s="934"/>
    </row>
    <row r="24" spans="1:14" ht="60" x14ac:dyDescent="0.2">
      <c r="A24" s="426"/>
      <c r="B24" s="427"/>
      <c r="C24" s="428"/>
      <c r="D24" s="428"/>
      <c r="E24" s="429">
        <v>0</v>
      </c>
      <c r="F24" s="429">
        <v>0</v>
      </c>
      <c r="G24" s="429">
        <v>0</v>
      </c>
      <c r="H24" s="429">
        <v>0</v>
      </c>
      <c r="I24" s="428" t="s">
        <v>307</v>
      </c>
      <c r="J24" s="430" t="s">
        <v>297</v>
      </c>
      <c r="K24" s="431" t="s">
        <v>287</v>
      </c>
      <c r="L24" s="431" t="s">
        <v>285</v>
      </c>
      <c r="M24" s="428"/>
      <c r="N24" s="934" t="s">
        <v>556</v>
      </c>
    </row>
    <row r="25" spans="1:14" ht="22.5" x14ac:dyDescent="0.2">
      <c r="A25" s="426"/>
      <c r="B25" s="427"/>
      <c r="C25" s="428"/>
      <c r="D25" s="428"/>
      <c r="E25" s="429">
        <v>0</v>
      </c>
      <c r="F25" s="429">
        <v>0</v>
      </c>
      <c r="G25" s="429">
        <v>0</v>
      </c>
      <c r="H25" s="429">
        <v>0</v>
      </c>
      <c r="I25" s="428" t="s">
        <v>557</v>
      </c>
      <c r="J25" s="430" t="s">
        <v>297</v>
      </c>
      <c r="K25" s="431" t="s">
        <v>285</v>
      </c>
      <c r="L25" s="431" t="s">
        <v>285</v>
      </c>
      <c r="M25" s="428"/>
      <c r="N25" s="934"/>
    </row>
    <row r="26" spans="1:14" ht="13.5" thickBot="1" x14ac:dyDescent="0.25">
      <c r="A26" s="426"/>
      <c r="B26" s="427"/>
      <c r="C26" s="428"/>
      <c r="D26" s="428" t="s">
        <v>22</v>
      </c>
      <c r="E26" s="429">
        <v>356.6</v>
      </c>
      <c r="F26" s="429">
        <v>377.9</v>
      </c>
      <c r="G26" s="429">
        <v>323.89999999999998</v>
      </c>
      <c r="H26" s="429">
        <v>54</v>
      </c>
      <c r="I26" s="428"/>
      <c r="J26" s="430"/>
      <c r="K26" s="431"/>
      <c r="L26" s="431"/>
      <c r="M26" s="428"/>
      <c r="N26" s="934"/>
    </row>
    <row r="27" spans="1:14" ht="60" x14ac:dyDescent="0.2">
      <c r="A27" s="420" t="s">
        <v>309</v>
      </c>
      <c r="B27" s="421" t="s">
        <v>49</v>
      </c>
      <c r="C27" s="422" t="s">
        <v>305</v>
      </c>
      <c r="D27" s="422"/>
      <c r="E27" s="423">
        <f>SUM(E28:E28)</f>
        <v>50</v>
      </c>
      <c r="F27" s="423">
        <f>SUM(F28:F28)</f>
        <v>50</v>
      </c>
      <c r="G27" s="423">
        <f>SUM(G28:G28)</f>
        <v>3.2</v>
      </c>
      <c r="H27" s="423">
        <f>SUM(H28:H28)</f>
        <v>46.8</v>
      </c>
      <c r="I27" s="422" t="s">
        <v>310</v>
      </c>
      <c r="J27" s="424" t="s">
        <v>297</v>
      </c>
      <c r="K27" s="425" t="s">
        <v>311</v>
      </c>
      <c r="L27" s="425" t="s">
        <v>285</v>
      </c>
      <c r="M27" s="422" t="s">
        <v>312</v>
      </c>
      <c r="N27" s="933" t="s">
        <v>313</v>
      </c>
    </row>
    <row r="28" spans="1:14" ht="13.5" thickBot="1" x14ac:dyDescent="0.25">
      <c r="A28" s="426"/>
      <c r="B28" s="427"/>
      <c r="C28" s="428"/>
      <c r="D28" s="428" t="s">
        <v>22</v>
      </c>
      <c r="E28" s="429">
        <v>50</v>
      </c>
      <c r="F28" s="429">
        <v>50</v>
      </c>
      <c r="G28" s="429">
        <v>3.2</v>
      </c>
      <c r="H28" s="429">
        <v>46.8</v>
      </c>
      <c r="I28" s="428"/>
      <c r="J28" s="430"/>
      <c r="K28" s="431"/>
      <c r="L28" s="431"/>
      <c r="M28" s="428"/>
      <c r="N28" s="934"/>
    </row>
    <row r="29" spans="1:14" ht="33.75" x14ac:dyDescent="0.2">
      <c r="A29" s="420" t="s">
        <v>314</v>
      </c>
      <c r="B29" s="421" t="s">
        <v>315</v>
      </c>
      <c r="C29" s="422" t="s">
        <v>290</v>
      </c>
      <c r="D29" s="422"/>
      <c r="E29" s="423">
        <f>SUM(E30:E30)</f>
        <v>0.8</v>
      </c>
      <c r="F29" s="423">
        <f>SUM(F30:F30)</f>
        <v>0.8</v>
      </c>
      <c r="G29" s="423">
        <f>SUM(G30:G30)</f>
        <v>0.8</v>
      </c>
      <c r="H29" s="423">
        <f>SUM(H30:H30)</f>
        <v>0</v>
      </c>
      <c r="I29" s="422" t="s">
        <v>316</v>
      </c>
      <c r="J29" s="424" t="s">
        <v>283</v>
      </c>
      <c r="K29" s="425" t="s">
        <v>287</v>
      </c>
      <c r="L29" s="425" t="s">
        <v>287</v>
      </c>
      <c r="M29" s="422"/>
      <c r="N29" s="933" t="s">
        <v>317</v>
      </c>
    </row>
    <row r="30" spans="1:14" ht="13.5" thickBot="1" x14ac:dyDescent="0.25">
      <c r="A30" s="426"/>
      <c r="B30" s="427"/>
      <c r="C30" s="428"/>
      <c r="D30" s="428" t="s">
        <v>51</v>
      </c>
      <c r="E30" s="429">
        <v>0.8</v>
      </c>
      <c r="F30" s="429">
        <v>0.8</v>
      </c>
      <c r="G30" s="429">
        <v>0.8</v>
      </c>
      <c r="H30" s="429">
        <v>0</v>
      </c>
      <c r="I30" s="428"/>
      <c r="J30" s="430"/>
      <c r="K30" s="431"/>
      <c r="L30" s="431"/>
      <c r="M30" s="428"/>
      <c r="N30" s="934"/>
    </row>
    <row r="31" spans="1:14" ht="23.25" thickBot="1" x14ac:dyDescent="0.25">
      <c r="A31" s="420" t="s">
        <v>318</v>
      </c>
      <c r="B31" s="421" t="s">
        <v>195</v>
      </c>
      <c r="C31" s="422"/>
      <c r="D31" s="422" t="s">
        <v>51</v>
      </c>
      <c r="E31" s="432">
        <v>0</v>
      </c>
      <c r="F31" s="432">
        <v>10</v>
      </c>
      <c r="G31" s="432">
        <v>0</v>
      </c>
      <c r="H31" s="432">
        <v>10</v>
      </c>
      <c r="I31" s="422"/>
      <c r="J31" s="424"/>
      <c r="K31" s="425"/>
      <c r="L31" s="425"/>
      <c r="M31" s="422"/>
      <c r="N31" s="933"/>
    </row>
    <row r="32" spans="1:14" ht="23.25" thickBot="1" x14ac:dyDescent="0.25">
      <c r="A32" s="420" t="s">
        <v>319</v>
      </c>
      <c r="B32" s="421" t="s">
        <v>320</v>
      </c>
      <c r="C32" s="422"/>
      <c r="D32" s="422"/>
      <c r="E32" s="423">
        <f>E33+E41+E43</f>
        <v>2656.4</v>
      </c>
      <c r="F32" s="423">
        <f>F33+F41+F43</f>
        <v>1900.3</v>
      </c>
      <c r="G32" s="423">
        <f>G33+G41+G43</f>
        <v>504.9</v>
      </c>
      <c r="H32" s="423">
        <f>H33+H41+H43</f>
        <v>1395.4</v>
      </c>
      <c r="I32" s="422"/>
      <c r="J32" s="424"/>
      <c r="K32" s="425"/>
      <c r="L32" s="425"/>
      <c r="M32" s="422"/>
      <c r="N32" s="933"/>
    </row>
    <row r="33" spans="1:14" ht="89.25" customHeight="1" x14ac:dyDescent="0.2">
      <c r="A33" s="420" t="s">
        <v>321</v>
      </c>
      <c r="B33" s="943" t="s">
        <v>322</v>
      </c>
      <c r="C33" s="422" t="s">
        <v>281</v>
      </c>
      <c r="D33" s="422"/>
      <c r="E33" s="423">
        <f>SUM(E34:E40)</f>
        <v>2544.6</v>
      </c>
      <c r="F33" s="423">
        <f>SUM(F34:F40)</f>
        <v>1788.5</v>
      </c>
      <c r="G33" s="423">
        <f>SUM(G34:G40)+0.1</f>
        <v>396.4</v>
      </c>
      <c r="H33" s="423">
        <f>SUM(H34:H40)-0.1</f>
        <v>1392.1</v>
      </c>
      <c r="I33" s="422" t="s">
        <v>310</v>
      </c>
      <c r="J33" s="424" t="s">
        <v>297</v>
      </c>
      <c r="K33" s="425" t="s">
        <v>558</v>
      </c>
      <c r="L33" s="425" t="s">
        <v>559</v>
      </c>
      <c r="M33" s="422" t="s">
        <v>323</v>
      </c>
      <c r="N33" s="933" t="s">
        <v>560</v>
      </c>
    </row>
    <row r="34" spans="1:14" ht="84" x14ac:dyDescent="0.2">
      <c r="A34" s="426"/>
      <c r="B34" s="427"/>
      <c r="C34" s="428"/>
      <c r="D34" s="428"/>
      <c r="E34" s="429">
        <v>0</v>
      </c>
      <c r="F34" s="429">
        <v>0</v>
      </c>
      <c r="G34" s="429">
        <v>0</v>
      </c>
      <c r="H34" s="429">
        <v>0</v>
      </c>
      <c r="I34" s="428" t="s">
        <v>324</v>
      </c>
      <c r="J34" s="430" t="s">
        <v>297</v>
      </c>
      <c r="K34" s="431" t="s">
        <v>325</v>
      </c>
      <c r="L34" s="431" t="s">
        <v>561</v>
      </c>
      <c r="M34" s="428" t="s">
        <v>326</v>
      </c>
      <c r="N34" s="934" t="s">
        <v>562</v>
      </c>
    </row>
    <row r="35" spans="1:14" x14ac:dyDescent="0.2">
      <c r="A35" s="426"/>
      <c r="B35" s="427"/>
      <c r="C35" s="428"/>
      <c r="D35" s="428" t="s">
        <v>51</v>
      </c>
      <c r="E35" s="429">
        <v>186.9</v>
      </c>
      <c r="F35" s="429">
        <v>186.9</v>
      </c>
      <c r="G35" s="429">
        <v>14.9</v>
      </c>
      <c r="H35" s="429">
        <v>172</v>
      </c>
      <c r="I35" s="428"/>
      <c r="J35" s="430"/>
      <c r="K35" s="431"/>
      <c r="L35" s="431"/>
      <c r="M35" s="428"/>
      <c r="N35" s="934"/>
    </row>
    <row r="36" spans="1:14" x14ac:dyDescent="0.2">
      <c r="A36" s="426"/>
      <c r="B36" s="427"/>
      <c r="C36" s="428"/>
      <c r="D36" s="428" t="s">
        <v>22</v>
      </c>
      <c r="E36" s="429">
        <v>875.5</v>
      </c>
      <c r="F36" s="429">
        <v>875.5</v>
      </c>
      <c r="G36" s="429">
        <v>0</v>
      </c>
      <c r="H36" s="429">
        <v>875.5</v>
      </c>
      <c r="I36" s="428"/>
      <c r="J36" s="430"/>
      <c r="K36" s="431"/>
      <c r="L36" s="431"/>
      <c r="M36" s="428"/>
      <c r="N36" s="934"/>
    </row>
    <row r="37" spans="1:14" x14ac:dyDescent="0.2">
      <c r="A37" s="426"/>
      <c r="B37" s="427"/>
      <c r="C37" s="428"/>
      <c r="D37" s="428" t="s">
        <v>73</v>
      </c>
      <c r="E37" s="429">
        <v>0</v>
      </c>
      <c r="F37" s="429">
        <v>250</v>
      </c>
      <c r="G37" s="429">
        <v>142.80000000000001</v>
      </c>
      <c r="H37" s="429">
        <v>107.2</v>
      </c>
      <c r="I37" s="428"/>
      <c r="J37" s="430"/>
      <c r="K37" s="431"/>
      <c r="L37" s="431"/>
      <c r="M37" s="428"/>
      <c r="N37" s="934"/>
    </row>
    <row r="38" spans="1:14" x14ac:dyDescent="0.2">
      <c r="A38" s="426"/>
      <c r="B38" s="427"/>
      <c r="C38" s="428"/>
      <c r="D38" s="428" t="s">
        <v>154</v>
      </c>
      <c r="E38" s="429">
        <v>1482.2</v>
      </c>
      <c r="F38" s="429">
        <v>171.2</v>
      </c>
      <c r="G38" s="429">
        <v>171.1</v>
      </c>
      <c r="H38" s="429">
        <v>0.1</v>
      </c>
      <c r="I38" s="428"/>
      <c r="J38" s="430"/>
      <c r="K38" s="431"/>
      <c r="L38" s="431"/>
      <c r="M38" s="428"/>
      <c r="N38" s="934"/>
    </row>
    <row r="39" spans="1:14" x14ac:dyDescent="0.2">
      <c r="A39" s="426"/>
      <c r="B39" s="427"/>
      <c r="C39" s="428"/>
      <c r="D39" s="428" t="s">
        <v>39</v>
      </c>
      <c r="E39" s="429">
        <v>0</v>
      </c>
      <c r="F39" s="429">
        <v>104.9</v>
      </c>
      <c r="G39" s="429">
        <v>0</v>
      </c>
      <c r="H39" s="429">
        <v>104.9</v>
      </c>
      <c r="I39" s="428"/>
      <c r="J39" s="430"/>
      <c r="K39" s="431"/>
      <c r="L39" s="431"/>
      <c r="M39" s="428"/>
      <c r="N39" s="934"/>
    </row>
    <row r="40" spans="1:14" ht="13.5" thickBot="1" x14ac:dyDescent="0.25">
      <c r="A40" s="426"/>
      <c r="B40" s="427"/>
      <c r="C40" s="428"/>
      <c r="D40" s="428" t="s">
        <v>42</v>
      </c>
      <c r="E40" s="429">
        <v>0</v>
      </c>
      <c r="F40" s="429">
        <v>200</v>
      </c>
      <c r="G40" s="429">
        <v>67.5</v>
      </c>
      <c r="H40" s="429">
        <v>132.5</v>
      </c>
      <c r="I40" s="428"/>
      <c r="J40" s="430"/>
      <c r="K40" s="431"/>
      <c r="L40" s="431"/>
      <c r="M40" s="428"/>
      <c r="N40" s="934"/>
    </row>
    <row r="41" spans="1:14" ht="84" x14ac:dyDescent="0.2">
      <c r="A41" s="420" t="s">
        <v>327</v>
      </c>
      <c r="B41" s="421" t="s">
        <v>328</v>
      </c>
      <c r="C41" s="422" t="s">
        <v>290</v>
      </c>
      <c r="D41" s="422"/>
      <c r="E41" s="423">
        <f>SUM(E42:E42)</f>
        <v>100</v>
      </c>
      <c r="F41" s="423">
        <f>SUM(F42:F42)</f>
        <v>100</v>
      </c>
      <c r="G41" s="423">
        <f>SUM(G42:G42)</f>
        <v>97.6</v>
      </c>
      <c r="H41" s="423">
        <f>SUM(H42:H42)</f>
        <v>2.4</v>
      </c>
      <c r="I41" s="422" t="s">
        <v>316</v>
      </c>
      <c r="J41" s="424" t="s">
        <v>283</v>
      </c>
      <c r="K41" s="425" t="s">
        <v>287</v>
      </c>
      <c r="L41" s="425" t="s">
        <v>285</v>
      </c>
      <c r="M41" s="422" t="s">
        <v>329</v>
      </c>
      <c r="N41" s="933" t="s">
        <v>563</v>
      </c>
    </row>
    <row r="42" spans="1:14" ht="13.5" thickBot="1" x14ac:dyDescent="0.25">
      <c r="A42" s="426"/>
      <c r="B42" s="427"/>
      <c r="C42" s="428"/>
      <c r="D42" s="428" t="s">
        <v>51</v>
      </c>
      <c r="E42" s="429">
        <v>100</v>
      </c>
      <c r="F42" s="429">
        <v>100</v>
      </c>
      <c r="G42" s="429">
        <v>97.6</v>
      </c>
      <c r="H42" s="429">
        <v>2.4</v>
      </c>
      <c r="I42" s="428"/>
      <c r="J42" s="430"/>
      <c r="K42" s="431"/>
      <c r="L42" s="431"/>
      <c r="M42" s="428"/>
      <c r="N42" s="934"/>
    </row>
    <row r="43" spans="1:14" ht="24" x14ac:dyDescent="0.2">
      <c r="A43" s="420" t="s">
        <v>330</v>
      </c>
      <c r="B43" s="943" t="s">
        <v>331</v>
      </c>
      <c r="C43" s="422" t="s">
        <v>290</v>
      </c>
      <c r="D43" s="422"/>
      <c r="E43" s="423">
        <f>SUM(E44:E44)</f>
        <v>11.8</v>
      </c>
      <c r="F43" s="423">
        <f>SUM(F44:F44)</f>
        <v>11.8</v>
      </c>
      <c r="G43" s="423">
        <f>SUM(G44:G44)</f>
        <v>10.9</v>
      </c>
      <c r="H43" s="423">
        <f>SUM(H44:H44)</f>
        <v>0.9</v>
      </c>
      <c r="I43" s="422" t="s">
        <v>316</v>
      </c>
      <c r="J43" s="424" t="s">
        <v>283</v>
      </c>
      <c r="K43" s="425" t="s">
        <v>287</v>
      </c>
      <c r="L43" s="425" t="s">
        <v>287</v>
      </c>
      <c r="M43" s="422"/>
      <c r="N43" s="933" t="s">
        <v>564</v>
      </c>
    </row>
    <row r="44" spans="1:14" ht="13.5" thickBot="1" x14ac:dyDescent="0.25">
      <c r="A44" s="426"/>
      <c r="B44" s="427"/>
      <c r="C44" s="428"/>
      <c r="D44" s="428" t="s">
        <v>51</v>
      </c>
      <c r="E44" s="429">
        <v>11.8</v>
      </c>
      <c r="F44" s="429">
        <v>11.8</v>
      </c>
      <c r="G44" s="429">
        <v>10.9</v>
      </c>
      <c r="H44" s="429">
        <v>0.9</v>
      </c>
      <c r="I44" s="428"/>
      <c r="J44" s="430"/>
      <c r="K44" s="431"/>
      <c r="L44" s="431"/>
      <c r="M44" s="428"/>
      <c r="N44" s="934"/>
    </row>
    <row r="45" spans="1:14" ht="23.25" thickBot="1" x14ac:dyDescent="0.25">
      <c r="A45" s="420" t="s">
        <v>332</v>
      </c>
      <c r="B45" s="421" t="s">
        <v>333</v>
      </c>
      <c r="C45" s="422"/>
      <c r="D45" s="422"/>
      <c r="E45" s="423">
        <f>E46+E48</f>
        <v>10</v>
      </c>
      <c r="F45" s="423">
        <f>F46+F48</f>
        <v>1310</v>
      </c>
      <c r="G45" s="423">
        <f>G46+G48</f>
        <v>1275.7</v>
      </c>
      <c r="H45" s="423">
        <f>H46+H48</f>
        <v>34.299999999999997</v>
      </c>
      <c r="I45" s="422"/>
      <c r="J45" s="424"/>
      <c r="K45" s="425"/>
      <c r="L45" s="425"/>
      <c r="M45" s="422"/>
      <c r="N45" s="933"/>
    </row>
    <row r="46" spans="1:14" ht="45" x14ac:dyDescent="0.2">
      <c r="A46" s="420" t="s">
        <v>334</v>
      </c>
      <c r="B46" s="943" t="s">
        <v>50</v>
      </c>
      <c r="C46" s="422"/>
      <c r="D46" s="422"/>
      <c r="E46" s="423">
        <f>SUM(E47:E47)</f>
        <v>0</v>
      </c>
      <c r="F46" s="423">
        <f>SUM(F47:F47)</f>
        <v>1300</v>
      </c>
      <c r="G46" s="423">
        <f>SUM(G47:G47)</f>
        <v>1275.7</v>
      </c>
      <c r="H46" s="423">
        <f>SUM(H47:H47)</f>
        <v>24.3</v>
      </c>
      <c r="I46" s="422" t="s">
        <v>310</v>
      </c>
      <c r="J46" s="424" t="s">
        <v>297</v>
      </c>
      <c r="K46" s="425" t="s">
        <v>298</v>
      </c>
      <c r="L46" s="425" t="s">
        <v>298</v>
      </c>
      <c r="M46" s="422" t="s">
        <v>335</v>
      </c>
      <c r="N46" s="933" t="s">
        <v>565</v>
      </c>
    </row>
    <row r="47" spans="1:14" ht="13.5" thickBot="1" x14ac:dyDescent="0.25">
      <c r="A47" s="426"/>
      <c r="B47" s="427"/>
      <c r="C47" s="428"/>
      <c r="D47" s="428" t="s">
        <v>42</v>
      </c>
      <c r="E47" s="429">
        <v>0</v>
      </c>
      <c r="F47" s="429">
        <v>1300</v>
      </c>
      <c r="G47" s="429">
        <v>1275.7</v>
      </c>
      <c r="H47" s="429">
        <v>24.3</v>
      </c>
      <c r="I47" s="428"/>
      <c r="J47" s="430"/>
      <c r="K47" s="431"/>
      <c r="L47" s="431"/>
      <c r="M47" s="428"/>
      <c r="N47" s="934"/>
    </row>
    <row r="48" spans="1:14" ht="216.75" thickBot="1" x14ac:dyDescent="0.25">
      <c r="A48" s="420" t="s">
        <v>336</v>
      </c>
      <c r="B48" s="421" t="s">
        <v>194</v>
      </c>
      <c r="C48" s="422" t="s">
        <v>337</v>
      </c>
      <c r="D48" s="422" t="s">
        <v>22</v>
      </c>
      <c r="E48" s="432">
        <v>10</v>
      </c>
      <c r="F48" s="432">
        <v>10</v>
      </c>
      <c r="G48" s="432">
        <v>0</v>
      </c>
      <c r="H48" s="432">
        <v>10</v>
      </c>
      <c r="I48" s="422" t="s">
        <v>316</v>
      </c>
      <c r="J48" s="424" t="s">
        <v>283</v>
      </c>
      <c r="K48" s="425" t="s">
        <v>287</v>
      </c>
      <c r="L48" s="425" t="s">
        <v>285</v>
      </c>
      <c r="M48" s="422"/>
      <c r="N48" s="933" t="s">
        <v>338</v>
      </c>
    </row>
    <row r="49" spans="1:14" ht="13.5" thickBot="1" x14ac:dyDescent="0.25">
      <c r="A49" s="420" t="s">
        <v>339</v>
      </c>
      <c r="B49" s="421" t="s">
        <v>340</v>
      </c>
      <c r="C49" s="422"/>
      <c r="D49" s="422"/>
      <c r="E49" s="423">
        <f>E50+E53+E55</f>
        <v>534</v>
      </c>
      <c r="F49" s="423">
        <f>F50+F53+F55</f>
        <v>1582.3</v>
      </c>
      <c r="G49" s="423">
        <f>G50+G53+G55-0.1</f>
        <v>1389.2</v>
      </c>
      <c r="H49" s="423">
        <f>H50+H53+H55+0.1</f>
        <v>193.1</v>
      </c>
      <c r="I49" s="422"/>
      <c r="J49" s="424"/>
      <c r="K49" s="425"/>
      <c r="L49" s="425"/>
      <c r="M49" s="422"/>
      <c r="N49" s="933"/>
    </row>
    <row r="50" spans="1:14" ht="36" x14ac:dyDescent="0.2">
      <c r="A50" s="420" t="s">
        <v>341</v>
      </c>
      <c r="B50" s="943" t="s">
        <v>342</v>
      </c>
      <c r="C50" s="422" t="s">
        <v>305</v>
      </c>
      <c r="D50" s="422"/>
      <c r="E50" s="423">
        <f>SUM(E51:E52)</f>
        <v>43.3</v>
      </c>
      <c r="F50" s="423">
        <f>SUM(F51:F52)</f>
        <v>606.1</v>
      </c>
      <c r="G50" s="423">
        <f>SUM(G51:G52)</f>
        <v>428.8</v>
      </c>
      <c r="H50" s="423">
        <f>SUM(H51:H52)</f>
        <v>177.3</v>
      </c>
      <c r="I50" s="422" t="s">
        <v>343</v>
      </c>
      <c r="J50" s="424" t="s">
        <v>297</v>
      </c>
      <c r="K50" s="425" t="s">
        <v>344</v>
      </c>
      <c r="L50" s="425" t="s">
        <v>373</v>
      </c>
      <c r="M50" s="422"/>
      <c r="N50" s="933" t="s">
        <v>566</v>
      </c>
    </row>
    <row r="51" spans="1:14" x14ac:dyDescent="0.2">
      <c r="A51" s="426"/>
      <c r="B51" s="427"/>
      <c r="C51" s="428"/>
      <c r="D51" s="428" t="s">
        <v>73</v>
      </c>
      <c r="E51" s="429">
        <v>0</v>
      </c>
      <c r="F51" s="429">
        <v>462.8</v>
      </c>
      <c r="G51" s="429">
        <v>323.5</v>
      </c>
      <c r="H51" s="429">
        <v>139.30000000000001</v>
      </c>
      <c r="I51" s="428"/>
      <c r="J51" s="430"/>
      <c r="K51" s="431"/>
      <c r="L51" s="431"/>
      <c r="M51" s="428"/>
      <c r="N51" s="934"/>
    </row>
    <row r="52" spans="1:14" ht="13.5" thickBot="1" x14ac:dyDescent="0.25">
      <c r="A52" s="426"/>
      <c r="B52" s="427"/>
      <c r="C52" s="428"/>
      <c r="D52" s="428" t="s">
        <v>22</v>
      </c>
      <c r="E52" s="429">
        <v>43.3</v>
      </c>
      <c r="F52" s="429">
        <v>143.30000000000001</v>
      </c>
      <c r="G52" s="429">
        <v>105.3</v>
      </c>
      <c r="H52" s="429">
        <v>38</v>
      </c>
      <c r="I52" s="428"/>
      <c r="J52" s="430"/>
      <c r="K52" s="431"/>
      <c r="L52" s="431"/>
      <c r="M52" s="428"/>
      <c r="N52" s="934"/>
    </row>
    <row r="53" spans="1:14" ht="33.75" x14ac:dyDescent="0.2">
      <c r="A53" s="420" t="s">
        <v>345</v>
      </c>
      <c r="B53" s="943" t="s">
        <v>346</v>
      </c>
      <c r="C53" s="422" t="s">
        <v>305</v>
      </c>
      <c r="D53" s="422"/>
      <c r="E53" s="423">
        <f>SUM(E54:E54)</f>
        <v>18.2</v>
      </c>
      <c r="F53" s="423">
        <f>SUM(F54:F54)</f>
        <v>18.2</v>
      </c>
      <c r="G53" s="423">
        <f>SUM(G54:G54)</f>
        <v>18.2</v>
      </c>
      <c r="H53" s="423">
        <f>SUM(H54:H54)</f>
        <v>0</v>
      </c>
      <c r="I53" s="422" t="s">
        <v>316</v>
      </c>
      <c r="J53" s="424" t="s">
        <v>283</v>
      </c>
      <c r="K53" s="425" t="s">
        <v>287</v>
      </c>
      <c r="L53" s="425" t="s">
        <v>287</v>
      </c>
      <c r="M53" s="422"/>
      <c r="N53" s="933" t="s">
        <v>347</v>
      </c>
    </row>
    <row r="54" spans="1:14" ht="13.5" thickBot="1" x14ac:dyDescent="0.25">
      <c r="A54" s="426"/>
      <c r="B54" s="427"/>
      <c r="C54" s="428"/>
      <c r="D54" s="428" t="s">
        <v>51</v>
      </c>
      <c r="E54" s="429">
        <v>18.2</v>
      </c>
      <c r="F54" s="429">
        <v>18.2</v>
      </c>
      <c r="G54" s="429">
        <v>18.2</v>
      </c>
      <c r="H54" s="429">
        <v>0</v>
      </c>
      <c r="I54" s="428"/>
      <c r="J54" s="430"/>
      <c r="K54" s="431"/>
      <c r="L54" s="431"/>
      <c r="M54" s="428"/>
      <c r="N54" s="934"/>
    </row>
    <row r="55" spans="1:14" ht="22.5" x14ac:dyDescent="0.2">
      <c r="A55" s="420" t="s">
        <v>348</v>
      </c>
      <c r="B55" s="943" t="s">
        <v>349</v>
      </c>
      <c r="C55" s="422" t="s">
        <v>305</v>
      </c>
      <c r="D55" s="422"/>
      <c r="E55" s="423">
        <f>SUM(E56:E57)</f>
        <v>472.5</v>
      </c>
      <c r="F55" s="423">
        <f>SUM(F56:F57)</f>
        <v>958</v>
      </c>
      <c r="G55" s="423">
        <f>SUM(G56:G57)</f>
        <v>942.3</v>
      </c>
      <c r="H55" s="423">
        <f>SUM(H56:H57)</f>
        <v>15.7</v>
      </c>
      <c r="I55" s="422" t="s">
        <v>343</v>
      </c>
      <c r="J55" s="424" t="s">
        <v>297</v>
      </c>
      <c r="K55" s="425" t="s">
        <v>298</v>
      </c>
      <c r="L55" s="425" t="s">
        <v>298</v>
      </c>
      <c r="M55" s="422"/>
      <c r="N55" s="933" t="s">
        <v>567</v>
      </c>
    </row>
    <row r="56" spans="1:14" x14ac:dyDescent="0.2">
      <c r="A56" s="426"/>
      <c r="B56" s="427"/>
      <c r="C56" s="428"/>
      <c r="D56" s="428" t="s">
        <v>22</v>
      </c>
      <c r="E56" s="429">
        <v>472.5</v>
      </c>
      <c r="F56" s="429">
        <v>52.7</v>
      </c>
      <c r="G56" s="429">
        <v>37.5</v>
      </c>
      <c r="H56" s="429">
        <v>15.2</v>
      </c>
      <c r="I56" s="428"/>
      <c r="J56" s="430"/>
      <c r="K56" s="431"/>
      <c r="L56" s="431"/>
      <c r="M56" s="428"/>
      <c r="N56" s="934"/>
    </row>
    <row r="57" spans="1:14" ht="13.5" thickBot="1" x14ac:dyDescent="0.25">
      <c r="A57" s="426"/>
      <c r="B57" s="427"/>
      <c r="C57" s="428"/>
      <c r="D57" s="428" t="s">
        <v>73</v>
      </c>
      <c r="E57" s="429">
        <v>0</v>
      </c>
      <c r="F57" s="429">
        <v>905.3</v>
      </c>
      <c r="G57" s="429">
        <v>904.8</v>
      </c>
      <c r="H57" s="429">
        <v>0.5</v>
      </c>
      <c r="I57" s="428"/>
      <c r="J57" s="430"/>
      <c r="K57" s="431"/>
      <c r="L57" s="431"/>
      <c r="M57" s="428"/>
      <c r="N57" s="934"/>
    </row>
    <row r="58" spans="1:14" ht="13.5" thickBot="1" x14ac:dyDescent="0.25">
      <c r="A58" s="420" t="s">
        <v>350</v>
      </c>
      <c r="B58" s="421" t="s">
        <v>351</v>
      </c>
      <c r="C58" s="422"/>
      <c r="D58" s="422"/>
      <c r="E58" s="423">
        <f>SUM(E59:E59)</f>
        <v>0</v>
      </c>
      <c r="F58" s="423">
        <f>SUM(F59:F59)</f>
        <v>326.2</v>
      </c>
      <c r="G58" s="423">
        <f>SUM(G59:G59)</f>
        <v>275.89999999999998</v>
      </c>
      <c r="H58" s="423">
        <f>SUM(H59:H59)</f>
        <v>50.3</v>
      </c>
      <c r="I58" s="422"/>
      <c r="J58" s="424"/>
      <c r="K58" s="425"/>
      <c r="L58" s="425"/>
      <c r="M58" s="422"/>
      <c r="N58" s="933"/>
    </row>
    <row r="59" spans="1:14" ht="60" x14ac:dyDescent="0.2">
      <c r="A59" s="420" t="s">
        <v>352</v>
      </c>
      <c r="B59" s="943" t="s">
        <v>94</v>
      </c>
      <c r="C59" s="422" t="s">
        <v>353</v>
      </c>
      <c r="D59" s="422"/>
      <c r="E59" s="423">
        <f>SUM(E60:E61)</f>
        <v>0</v>
      </c>
      <c r="F59" s="423">
        <f>SUM(F60:F61)</f>
        <v>326.2</v>
      </c>
      <c r="G59" s="423">
        <f>SUM(G60:G61)</f>
        <v>275.89999999999998</v>
      </c>
      <c r="H59" s="423">
        <f>SUM(H60:H61)</f>
        <v>50.3</v>
      </c>
      <c r="I59" s="422" t="s">
        <v>316</v>
      </c>
      <c r="J59" s="424" t="s">
        <v>283</v>
      </c>
      <c r="K59" s="425" t="s">
        <v>287</v>
      </c>
      <c r="L59" s="425" t="s">
        <v>285</v>
      </c>
      <c r="M59" s="422"/>
      <c r="N59" s="933" t="s">
        <v>568</v>
      </c>
    </row>
    <row r="60" spans="1:14" x14ac:dyDescent="0.2">
      <c r="A60" s="426"/>
      <c r="B60" s="427"/>
      <c r="C60" s="428"/>
      <c r="D60" s="428" t="s">
        <v>22</v>
      </c>
      <c r="E60" s="429">
        <v>0</v>
      </c>
      <c r="F60" s="429">
        <v>105</v>
      </c>
      <c r="G60" s="429">
        <v>54.7</v>
      </c>
      <c r="H60" s="429">
        <v>50.3</v>
      </c>
      <c r="I60" s="428"/>
      <c r="J60" s="430"/>
      <c r="K60" s="431"/>
      <c r="L60" s="431"/>
      <c r="M60" s="428"/>
      <c r="N60" s="934"/>
    </row>
    <row r="61" spans="1:14" ht="13.5" thickBot="1" x14ac:dyDescent="0.25">
      <c r="A61" s="426"/>
      <c r="B61" s="427"/>
      <c r="C61" s="428"/>
      <c r="D61" s="428" t="s">
        <v>73</v>
      </c>
      <c r="E61" s="429">
        <v>0</v>
      </c>
      <c r="F61" s="429">
        <v>221.2</v>
      </c>
      <c r="G61" s="429">
        <v>221.2</v>
      </c>
      <c r="H61" s="429">
        <v>0</v>
      </c>
      <c r="I61" s="428"/>
      <c r="J61" s="430"/>
      <c r="K61" s="431"/>
      <c r="L61" s="431"/>
      <c r="M61" s="428"/>
      <c r="N61" s="934"/>
    </row>
    <row r="62" spans="1:14" ht="23.25" thickBot="1" x14ac:dyDescent="0.25">
      <c r="A62" s="420" t="s">
        <v>354</v>
      </c>
      <c r="B62" s="421" t="s">
        <v>355</v>
      </c>
      <c r="C62" s="422"/>
      <c r="D62" s="422"/>
      <c r="E62" s="423">
        <f>E63+E65</f>
        <v>28</v>
      </c>
      <c r="F62" s="423">
        <f>F63+F65</f>
        <v>28</v>
      </c>
      <c r="G62" s="423">
        <f>G63+G65+0.1</f>
        <v>9.9</v>
      </c>
      <c r="H62" s="423">
        <f>H63+H65-0.1</f>
        <v>18.100000000000001</v>
      </c>
      <c r="I62" s="422"/>
      <c r="J62" s="424"/>
      <c r="K62" s="425"/>
      <c r="L62" s="425"/>
      <c r="M62" s="422"/>
      <c r="N62" s="933"/>
    </row>
    <row r="63" spans="1:14" ht="33.75" x14ac:dyDescent="0.2">
      <c r="A63" s="420" t="s">
        <v>356</v>
      </c>
      <c r="B63" s="421" t="s">
        <v>67</v>
      </c>
      <c r="C63" s="422" t="s">
        <v>305</v>
      </c>
      <c r="D63" s="422"/>
      <c r="E63" s="423">
        <f>SUM(E64:E64)</f>
        <v>3</v>
      </c>
      <c r="F63" s="423">
        <f>SUM(F64:F64)</f>
        <v>3</v>
      </c>
      <c r="G63" s="423">
        <f>SUM(G64:G64)</f>
        <v>1.8</v>
      </c>
      <c r="H63" s="423">
        <f>SUM(H64:H64)</f>
        <v>1.2</v>
      </c>
      <c r="I63" s="422" t="s">
        <v>357</v>
      </c>
      <c r="J63" s="424" t="s">
        <v>297</v>
      </c>
      <c r="K63" s="425" t="s">
        <v>298</v>
      </c>
      <c r="L63" s="425" t="s">
        <v>285</v>
      </c>
      <c r="M63" s="422"/>
      <c r="N63" s="933" t="s">
        <v>569</v>
      </c>
    </row>
    <row r="64" spans="1:14" ht="13.5" thickBot="1" x14ac:dyDescent="0.25">
      <c r="A64" s="426"/>
      <c r="B64" s="427"/>
      <c r="C64" s="428"/>
      <c r="D64" s="428" t="s">
        <v>22</v>
      </c>
      <c r="E64" s="429">
        <v>3</v>
      </c>
      <c r="F64" s="429">
        <v>3</v>
      </c>
      <c r="G64" s="429">
        <v>1.8</v>
      </c>
      <c r="H64" s="429">
        <v>1.2</v>
      </c>
      <c r="I64" s="428"/>
      <c r="J64" s="430"/>
      <c r="K64" s="431"/>
      <c r="L64" s="431"/>
      <c r="M64" s="428"/>
      <c r="N64" s="934"/>
    </row>
    <row r="65" spans="1:14" ht="45.75" thickBot="1" x14ac:dyDescent="0.25">
      <c r="A65" s="420" t="s">
        <v>358</v>
      </c>
      <c r="B65" s="421" t="s">
        <v>196</v>
      </c>
      <c r="C65" s="422"/>
      <c r="D65" s="422" t="s">
        <v>22</v>
      </c>
      <c r="E65" s="432">
        <v>25</v>
      </c>
      <c r="F65" s="432">
        <v>25</v>
      </c>
      <c r="G65" s="432">
        <v>8</v>
      </c>
      <c r="H65" s="432">
        <v>17</v>
      </c>
      <c r="I65" s="422"/>
      <c r="J65" s="424"/>
      <c r="K65" s="425"/>
      <c r="L65" s="425"/>
      <c r="M65" s="422"/>
      <c r="N65" s="933"/>
    </row>
    <row r="66" spans="1:14" ht="23.25" thickBot="1" x14ac:dyDescent="0.25">
      <c r="A66" s="414" t="s">
        <v>359</v>
      </c>
      <c r="B66" s="415" t="s">
        <v>360</v>
      </c>
      <c r="C66" s="416"/>
      <c r="D66" s="416"/>
      <c r="E66" s="417">
        <f>E67+E95+E102+E107</f>
        <v>10630.5</v>
      </c>
      <c r="F66" s="417">
        <f>F67+F95+F102+F107</f>
        <v>12118.9</v>
      </c>
      <c r="G66" s="417">
        <f>G67+G95+G102+G107</f>
        <v>12113.7</v>
      </c>
      <c r="H66" s="417">
        <f>H67+H95+H102+H107</f>
        <v>5.2</v>
      </c>
      <c r="I66" s="416"/>
      <c r="J66" s="418"/>
      <c r="K66" s="419"/>
      <c r="L66" s="419"/>
      <c r="M66" s="416"/>
      <c r="N66" s="932"/>
    </row>
    <row r="67" spans="1:14" ht="45.75" thickBot="1" x14ac:dyDescent="0.25">
      <c r="A67" s="420" t="s">
        <v>361</v>
      </c>
      <c r="B67" s="421" t="s">
        <v>362</v>
      </c>
      <c r="C67" s="422" t="s">
        <v>363</v>
      </c>
      <c r="D67" s="422"/>
      <c r="E67" s="423">
        <f>E68+E76+E77+E78+E85+E89+E93</f>
        <v>5790.2</v>
      </c>
      <c r="F67" s="423">
        <f>F68+F76+F77+F78+F85+F89+F93</f>
        <v>6046.7</v>
      </c>
      <c r="G67" s="423">
        <f>G68+G76+G77+G78+G85+G89+G93-0.1</f>
        <v>6043.3</v>
      </c>
      <c r="H67" s="423">
        <f>H68+H76+H77+H78+H85+H89+H93+0.1</f>
        <v>3.4</v>
      </c>
      <c r="I67" s="422"/>
      <c r="J67" s="424"/>
      <c r="K67" s="425"/>
      <c r="L67" s="425"/>
      <c r="M67" s="422"/>
      <c r="N67" s="933"/>
    </row>
    <row r="68" spans="1:14" ht="22.5" x14ac:dyDescent="0.2">
      <c r="A68" s="420" t="s">
        <v>364</v>
      </c>
      <c r="B68" s="421" t="s">
        <v>365</v>
      </c>
      <c r="C68" s="422" t="s">
        <v>366</v>
      </c>
      <c r="D68" s="422"/>
      <c r="E68" s="423">
        <f>SUM(E69:E75)</f>
        <v>5101.8</v>
      </c>
      <c r="F68" s="423">
        <f>SUM(F69:F75)</f>
        <v>5354.7</v>
      </c>
      <c r="G68" s="423">
        <f>SUM(G69:G75)</f>
        <v>5351.8</v>
      </c>
      <c r="H68" s="423">
        <f>SUM(H69:H75)</f>
        <v>2.9</v>
      </c>
      <c r="I68" s="422" t="s">
        <v>371</v>
      </c>
      <c r="J68" s="424" t="s">
        <v>283</v>
      </c>
      <c r="K68" s="425" t="s">
        <v>372</v>
      </c>
      <c r="L68" s="425" t="s">
        <v>570</v>
      </c>
      <c r="M68" s="422"/>
      <c r="N68" s="933"/>
    </row>
    <row r="69" spans="1:14" ht="22.5" x14ac:dyDescent="0.2">
      <c r="A69" s="426"/>
      <c r="B69" s="427"/>
      <c r="C69" s="428"/>
      <c r="D69" s="428"/>
      <c r="E69" s="429">
        <v>0</v>
      </c>
      <c r="F69" s="429">
        <v>0</v>
      </c>
      <c r="G69" s="429">
        <v>0</v>
      </c>
      <c r="H69" s="429">
        <v>0</v>
      </c>
      <c r="I69" s="428" t="s">
        <v>374</v>
      </c>
      <c r="J69" s="430" t="s">
        <v>283</v>
      </c>
      <c r="K69" s="431" t="s">
        <v>375</v>
      </c>
      <c r="L69" s="431" t="s">
        <v>571</v>
      </c>
      <c r="M69" s="428"/>
      <c r="N69" s="934"/>
    </row>
    <row r="70" spans="1:14" x14ac:dyDescent="0.2">
      <c r="A70" s="426"/>
      <c r="B70" s="427"/>
      <c r="C70" s="428"/>
      <c r="D70" s="428"/>
      <c r="E70" s="429">
        <v>0</v>
      </c>
      <c r="F70" s="429">
        <v>0</v>
      </c>
      <c r="G70" s="429">
        <v>0</v>
      </c>
      <c r="H70" s="429">
        <v>0</v>
      </c>
      <c r="I70" s="428" t="s">
        <v>376</v>
      </c>
      <c r="J70" s="430" t="s">
        <v>283</v>
      </c>
      <c r="K70" s="431" t="s">
        <v>369</v>
      </c>
      <c r="L70" s="431" t="s">
        <v>572</v>
      </c>
      <c r="M70" s="428"/>
      <c r="N70" s="934"/>
    </row>
    <row r="71" spans="1:14" ht="360" x14ac:dyDescent="0.2">
      <c r="A71" s="426"/>
      <c r="B71" s="427"/>
      <c r="C71" s="428"/>
      <c r="D71" s="428"/>
      <c r="E71" s="429">
        <v>0</v>
      </c>
      <c r="F71" s="429">
        <v>0</v>
      </c>
      <c r="G71" s="429">
        <v>0</v>
      </c>
      <c r="H71" s="429">
        <v>0</v>
      </c>
      <c r="I71" s="428" t="s">
        <v>367</v>
      </c>
      <c r="J71" s="430" t="s">
        <v>368</v>
      </c>
      <c r="K71" s="431" t="s">
        <v>369</v>
      </c>
      <c r="L71" s="431" t="s">
        <v>369</v>
      </c>
      <c r="M71" s="428" t="s">
        <v>370</v>
      </c>
      <c r="N71" s="934" t="s">
        <v>573</v>
      </c>
    </row>
    <row r="72" spans="1:14" x14ac:dyDescent="0.2">
      <c r="A72" s="426"/>
      <c r="B72" s="427"/>
      <c r="C72" s="428"/>
      <c r="D72" s="428" t="s">
        <v>51</v>
      </c>
      <c r="E72" s="429">
        <v>2062.6</v>
      </c>
      <c r="F72" s="429">
        <v>2062.6</v>
      </c>
      <c r="G72" s="429">
        <v>2062.6</v>
      </c>
      <c r="H72" s="429">
        <v>0</v>
      </c>
      <c r="I72" s="428"/>
      <c r="J72" s="430"/>
      <c r="K72" s="431"/>
      <c r="L72" s="431"/>
      <c r="M72" s="428"/>
      <c r="N72" s="934"/>
    </row>
    <row r="73" spans="1:14" x14ac:dyDescent="0.2">
      <c r="A73" s="426"/>
      <c r="B73" s="427"/>
      <c r="C73" s="428"/>
      <c r="D73" s="428" t="s">
        <v>59</v>
      </c>
      <c r="E73" s="429">
        <v>97</v>
      </c>
      <c r="F73" s="429">
        <v>236.1</v>
      </c>
      <c r="G73" s="429">
        <v>236.1</v>
      </c>
      <c r="H73" s="429">
        <v>0</v>
      </c>
      <c r="I73" s="428"/>
      <c r="J73" s="430"/>
      <c r="K73" s="431"/>
      <c r="L73" s="431"/>
      <c r="M73" s="428"/>
      <c r="N73" s="934"/>
    </row>
    <row r="74" spans="1:14" x14ac:dyDescent="0.2">
      <c r="A74" s="426"/>
      <c r="B74" s="427"/>
      <c r="C74" s="428"/>
      <c r="D74" s="428" t="s">
        <v>22</v>
      </c>
      <c r="E74" s="429">
        <v>2932.2</v>
      </c>
      <c r="F74" s="429">
        <v>3046</v>
      </c>
      <c r="G74" s="429">
        <v>3043.1</v>
      </c>
      <c r="H74" s="429">
        <v>2.9</v>
      </c>
      <c r="I74" s="428"/>
      <c r="J74" s="430"/>
      <c r="K74" s="431"/>
      <c r="L74" s="431"/>
      <c r="M74" s="428"/>
      <c r="N74" s="934"/>
    </row>
    <row r="75" spans="1:14" ht="13.5" thickBot="1" x14ac:dyDescent="0.25">
      <c r="A75" s="426"/>
      <c r="B75" s="427"/>
      <c r="C75" s="428"/>
      <c r="D75" s="428" t="s">
        <v>57</v>
      </c>
      <c r="E75" s="429">
        <v>10</v>
      </c>
      <c r="F75" s="429">
        <v>10</v>
      </c>
      <c r="G75" s="429">
        <v>10</v>
      </c>
      <c r="H75" s="429">
        <v>0</v>
      </c>
      <c r="I75" s="428"/>
      <c r="J75" s="430"/>
      <c r="K75" s="431"/>
      <c r="L75" s="431"/>
      <c r="M75" s="428"/>
      <c r="N75" s="934"/>
    </row>
    <row r="76" spans="1:14" ht="45.75" thickBot="1" x14ac:dyDescent="0.25">
      <c r="A76" s="420" t="s">
        <v>377</v>
      </c>
      <c r="B76" s="421" t="s">
        <v>378</v>
      </c>
      <c r="C76" s="422" t="s">
        <v>366</v>
      </c>
      <c r="D76" s="422" t="s">
        <v>22</v>
      </c>
      <c r="E76" s="432">
        <v>0</v>
      </c>
      <c r="F76" s="432">
        <v>31.2</v>
      </c>
      <c r="G76" s="432">
        <v>30.9</v>
      </c>
      <c r="H76" s="432">
        <v>0.3</v>
      </c>
      <c r="I76" s="422" t="s">
        <v>379</v>
      </c>
      <c r="J76" s="424" t="s">
        <v>283</v>
      </c>
      <c r="K76" s="425" t="s">
        <v>380</v>
      </c>
      <c r="L76" s="425" t="s">
        <v>380</v>
      </c>
      <c r="M76" s="422"/>
      <c r="N76" s="933"/>
    </row>
    <row r="77" spans="1:14" ht="23.25" thickBot="1" x14ac:dyDescent="0.25">
      <c r="A77" s="420" t="s">
        <v>381</v>
      </c>
      <c r="B77" s="421" t="s">
        <v>36</v>
      </c>
      <c r="C77" s="422" t="s">
        <v>366</v>
      </c>
      <c r="D77" s="422" t="s">
        <v>22</v>
      </c>
      <c r="E77" s="432">
        <v>59.5</v>
      </c>
      <c r="F77" s="432">
        <v>59.5</v>
      </c>
      <c r="G77" s="432">
        <v>59.5</v>
      </c>
      <c r="H77" s="432">
        <v>0</v>
      </c>
      <c r="I77" s="422" t="s">
        <v>382</v>
      </c>
      <c r="J77" s="424" t="s">
        <v>283</v>
      </c>
      <c r="K77" s="425" t="s">
        <v>383</v>
      </c>
      <c r="L77" s="425" t="s">
        <v>574</v>
      </c>
      <c r="M77" s="422"/>
      <c r="N77" s="933"/>
    </row>
    <row r="78" spans="1:14" ht="24" x14ac:dyDescent="0.2">
      <c r="A78" s="420" t="s">
        <v>384</v>
      </c>
      <c r="B78" s="421" t="s">
        <v>198</v>
      </c>
      <c r="C78" s="422" t="s">
        <v>366</v>
      </c>
      <c r="D78" s="422"/>
      <c r="E78" s="423">
        <f>SUM(E79:E84)</f>
        <v>99</v>
      </c>
      <c r="F78" s="423">
        <f>SUM(F79:F84)</f>
        <v>99</v>
      </c>
      <c r="G78" s="423">
        <f>SUM(G79:G84)</f>
        <v>99</v>
      </c>
      <c r="H78" s="423">
        <f>SUM(H79:H84)</f>
        <v>0</v>
      </c>
      <c r="I78" s="422" t="s">
        <v>385</v>
      </c>
      <c r="J78" s="424" t="s">
        <v>283</v>
      </c>
      <c r="K78" s="425" t="s">
        <v>375</v>
      </c>
      <c r="L78" s="425" t="s">
        <v>375</v>
      </c>
      <c r="M78" s="422"/>
      <c r="N78" s="933" t="s">
        <v>386</v>
      </c>
    </row>
    <row r="79" spans="1:14" x14ac:dyDescent="0.2">
      <c r="A79" s="426"/>
      <c r="B79" s="427"/>
      <c r="C79" s="428"/>
      <c r="D79" s="428"/>
      <c r="E79" s="429">
        <v>0</v>
      </c>
      <c r="F79" s="429">
        <v>0</v>
      </c>
      <c r="G79" s="429">
        <v>0</v>
      </c>
      <c r="H79" s="429">
        <v>0</v>
      </c>
      <c r="I79" s="428" t="s">
        <v>199</v>
      </c>
      <c r="J79" s="430" t="s">
        <v>283</v>
      </c>
      <c r="K79" s="431" t="s">
        <v>287</v>
      </c>
      <c r="L79" s="431" t="s">
        <v>287</v>
      </c>
      <c r="M79" s="428"/>
      <c r="N79" s="934"/>
    </row>
    <row r="80" spans="1:14" ht="33.75" x14ac:dyDescent="0.2">
      <c r="A80" s="426"/>
      <c r="B80" s="427"/>
      <c r="C80" s="428"/>
      <c r="D80" s="428"/>
      <c r="E80" s="429">
        <v>0</v>
      </c>
      <c r="F80" s="429">
        <v>0</v>
      </c>
      <c r="G80" s="429">
        <v>0</v>
      </c>
      <c r="H80" s="429">
        <v>0</v>
      </c>
      <c r="I80" s="428" t="s">
        <v>110</v>
      </c>
      <c r="J80" s="430" t="s">
        <v>283</v>
      </c>
      <c r="K80" s="431" t="s">
        <v>287</v>
      </c>
      <c r="L80" s="431" t="s">
        <v>287</v>
      </c>
      <c r="M80" s="428"/>
      <c r="N80" s="934"/>
    </row>
    <row r="81" spans="1:14" ht="22.5" x14ac:dyDescent="0.2">
      <c r="A81" s="426"/>
      <c r="B81" s="427"/>
      <c r="C81" s="428"/>
      <c r="D81" s="428"/>
      <c r="E81" s="429">
        <v>0</v>
      </c>
      <c r="F81" s="429">
        <v>0</v>
      </c>
      <c r="G81" s="429">
        <v>0</v>
      </c>
      <c r="H81" s="429">
        <v>0</v>
      </c>
      <c r="I81" s="428" t="s">
        <v>387</v>
      </c>
      <c r="J81" s="430" t="s">
        <v>283</v>
      </c>
      <c r="K81" s="431" t="s">
        <v>287</v>
      </c>
      <c r="L81" s="431" t="s">
        <v>287</v>
      </c>
      <c r="M81" s="428"/>
      <c r="N81" s="934"/>
    </row>
    <row r="82" spans="1:14" x14ac:dyDescent="0.2">
      <c r="A82" s="426"/>
      <c r="B82" s="427"/>
      <c r="C82" s="428"/>
      <c r="D82" s="428"/>
      <c r="E82" s="429">
        <v>0</v>
      </c>
      <c r="F82" s="429">
        <v>0</v>
      </c>
      <c r="G82" s="429">
        <v>0</v>
      </c>
      <c r="H82" s="429">
        <v>0</v>
      </c>
      <c r="I82" s="428" t="s">
        <v>200</v>
      </c>
      <c r="J82" s="430" t="s">
        <v>283</v>
      </c>
      <c r="K82" s="431" t="s">
        <v>287</v>
      </c>
      <c r="L82" s="431" t="s">
        <v>287</v>
      </c>
      <c r="M82" s="428"/>
      <c r="N82" s="934"/>
    </row>
    <row r="83" spans="1:14" x14ac:dyDescent="0.2">
      <c r="A83" s="426"/>
      <c r="B83" s="427"/>
      <c r="C83" s="428"/>
      <c r="D83" s="428" t="s">
        <v>59</v>
      </c>
      <c r="E83" s="429">
        <v>55</v>
      </c>
      <c r="F83" s="429">
        <v>55</v>
      </c>
      <c r="G83" s="429">
        <v>55</v>
      </c>
      <c r="H83" s="429">
        <v>0</v>
      </c>
      <c r="I83" s="428"/>
      <c r="J83" s="430"/>
      <c r="K83" s="431"/>
      <c r="L83" s="431"/>
      <c r="M83" s="428"/>
      <c r="N83" s="934"/>
    </row>
    <row r="84" spans="1:14" ht="13.5" thickBot="1" x14ac:dyDescent="0.25">
      <c r="A84" s="426"/>
      <c r="B84" s="427"/>
      <c r="C84" s="428"/>
      <c r="D84" s="428" t="s">
        <v>22</v>
      </c>
      <c r="E84" s="429">
        <v>44</v>
      </c>
      <c r="F84" s="429">
        <v>44</v>
      </c>
      <c r="G84" s="429">
        <v>44</v>
      </c>
      <c r="H84" s="429">
        <v>0</v>
      </c>
      <c r="I84" s="428"/>
      <c r="J84" s="430"/>
      <c r="K84" s="431"/>
      <c r="L84" s="431"/>
      <c r="M84" s="428"/>
      <c r="N84" s="934"/>
    </row>
    <row r="85" spans="1:14" ht="22.5" x14ac:dyDescent="0.2">
      <c r="A85" s="420" t="s">
        <v>388</v>
      </c>
      <c r="B85" s="421" t="s">
        <v>93</v>
      </c>
      <c r="C85" s="422" t="s">
        <v>389</v>
      </c>
      <c r="D85" s="422"/>
      <c r="E85" s="423">
        <f>SUM(E86:E88)</f>
        <v>438.7</v>
      </c>
      <c r="F85" s="423">
        <f>SUM(F86:F88)</f>
        <v>438.7</v>
      </c>
      <c r="G85" s="423">
        <f>SUM(G86:G88)</f>
        <v>438.6</v>
      </c>
      <c r="H85" s="423">
        <f>SUM(H86:H88)</f>
        <v>0.1</v>
      </c>
      <c r="I85" s="422" t="s">
        <v>390</v>
      </c>
      <c r="J85" s="424" t="s">
        <v>368</v>
      </c>
      <c r="K85" s="425" t="s">
        <v>391</v>
      </c>
      <c r="L85" s="425" t="s">
        <v>391</v>
      </c>
      <c r="M85" s="422"/>
      <c r="N85" s="933" t="s">
        <v>392</v>
      </c>
    </row>
    <row r="86" spans="1:14" ht="33.75" x14ac:dyDescent="0.2">
      <c r="A86" s="426"/>
      <c r="B86" s="427"/>
      <c r="C86" s="428"/>
      <c r="D86" s="428"/>
      <c r="E86" s="429">
        <v>0</v>
      </c>
      <c r="F86" s="429">
        <v>0</v>
      </c>
      <c r="G86" s="429">
        <v>0</v>
      </c>
      <c r="H86" s="429">
        <v>0</v>
      </c>
      <c r="I86" s="428" t="s">
        <v>393</v>
      </c>
      <c r="J86" s="430" t="s">
        <v>297</v>
      </c>
      <c r="K86" s="431" t="s">
        <v>394</v>
      </c>
      <c r="L86" s="431" t="s">
        <v>394</v>
      </c>
      <c r="M86" s="428"/>
      <c r="N86" s="934" t="s">
        <v>392</v>
      </c>
    </row>
    <row r="87" spans="1:14" x14ac:dyDescent="0.2">
      <c r="A87" s="426"/>
      <c r="B87" s="427"/>
      <c r="C87" s="428"/>
      <c r="D87" s="428" t="s">
        <v>59</v>
      </c>
      <c r="E87" s="429">
        <v>250</v>
      </c>
      <c r="F87" s="429">
        <v>250</v>
      </c>
      <c r="G87" s="429">
        <v>250</v>
      </c>
      <c r="H87" s="429">
        <v>0</v>
      </c>
      <c r="I87" s="428"/>
      <c r="J87" s="430"/>
      <c r="K87" s="431"/>
      <c r="L87" s="431"/>
      <c r="M87" s="428"/>
      <c r="N87" s="934"/>
    </row>
    <row r="88" spans="1:14" ht="13.5" thickBot="1" x14ac:dyDescent="0.25">
      <c r="A88" s="426"/>
      <c r="B88" s="427"/>
      <c r="C88" s="428"/>
      <c r="D88" s="428" t="s">
        <v>57</v>
      </c>
      <c r="E88" s="429">
        <v>188.7</v>
      </c>
      <c r="F88" s="429">
        <v>188.7</v>
      </c>
      <c r="G88" s="429">
        <v>188.6</v>
      </c>
      <c r="H88" s="429">
        <v>0.1</v>
      </c>
      <c r="I88" s="428"/>
      <c r="J88" s="430"/>
      <c r="K88" s="431"/>
      <c r="L88" s="431"/>
      <c r="M88" s="428"/>
      <c r="N88" s="934"/>
    </row>
    <row r="89" spans="1:14" ht="45" x14ac:dyDescent="0.2">
      <c r="A89" s="420" t="s">
        <v>395</v>
      </c>
      <c r="B89" s="421" t="s">
        <v>88</v>
      </c>
      <c r="C89" s="422" t="s">
        <v>396</v>
      </c>
      <c r="D89" s="422"/>
      <c r="E89" s="423">
        <f>SUM(E90:E92)</f>
        <v>88.2</v>
      </c>
      <c r="F89" s="423">
        <f>SUM(F90:F92)</f>
        <v>60.6</v>
      </c>
      <c r="G89" s="423">
        <f>SUM(G90:G92)</f>
        <v>60.6</v>
      </c>
      <c r="H89" s="423">
        <f>SUM(H90:H92)</f>
        <v>0</v>
      </c>
      <c r="I89" s="422" t="s">
        <v>399</v>
      </c>
      <c r="J89" s="424" t="s">
        <v>283</v>
      </c>
      <c r="K89" s="425" t="s">
        <v>398</v>
      </c>
      <c r="L89" s="425" t="s">
        <v>383</v>
      </c>
      <c r="M89" s="422"/>
      <c r="N89" s="933" t="s">
        <v>575</v>
      </c>
    </row>
    <row r="90" spans="1:14" ht="24" x14ac:dyDescent="0.2">
      <c r="A90" s="426"/>
      <c r="B90" s="427"/>
      <c r="C90" s="428"/>
      <c r="D90" s="428"/>
      <c r="E90" s="429">
        <v>0</v>
      </c>
      <c r="F90" s="429">
        <v>0</v>
      </c>
      <c r="G90" s="429">
        <v>0</v>
      </c>
      <c r="H90" s="429">
        <v>0</v>
      </c>
      <c r="I90" s="428" t="s">
        <v>397</v>
      </c>
      <c r="J90" s="430" t="s">
        <v>283</v>
      </c>
      <c r="K90" s="431" t="s">
        <v>576</v>
      </c>
      <c r="L90" s="431" t="s">
        <v>576</v>
      </c>
      <c r="M90" s="428"/>
      <c r="N90" s="934" t="s">
        <v>577</v>
      </c>
    </row>
    <row r="91" spans="1:14" x14ac:dyDescent="0.2">
      <c r="A91" s="426"/>
      <c r="B91" s="427"/>
      <c r="C91" s="428"/>
      <c r="D91" s="428" t="s">
        <v>57</v>
      </c>
      <c r="E91" s="429">
        <v>81.400000000000006</v>
      </c>
      <c r="F91" s="429">
        <v>53.8</v>
      </c>
      <c r="G91" s="429">
        <v>53.8</v>
      </c>
      <c r="H91" s="429">
        <v>0</v>
      </c>
      <c r="I91" s="428"/>
      <c r="J91" s="430"/>
      <c r="K91" s="431"/>
      <c r="L91" s="431"/>
      <c r="M91" s="428"/>
      <c r="N91" s="934"/>
    </row>
    <row r="92" spans="1:14" ht="13.5" thickBot="1" x14ac:dyDescent="0.25">
      <c r="A92" s="426"/>
      <c r="B92" s="427"/>
      <c r="C92" s="428"/>
      <c r="D92" s="428" t="s">
        <v>59</v>
      </c>
      <c r="E92" s="429">
        <v>6.8</v>
      </c>
      <c r="F92" s="429">
        <v>6.8</v>
      </c>
      <c r="G92" s="429">
        <v>6.8</v>
      </c>
      <c r="H92" s="429">
        <v>0</v>
      </c>
      <c r="I92" s="428"/>
      <c r="J92" s="430"/>
      <c r="K92" s="431"/>
      <c r="L92" s="431"/>
      <c r="M92" s="428"/>
      <c r="N92" s="934"/>
    </row>
    <row r="93" spans="1:14" ht="22.5" x14ac:dyDescent="0.2">
      <c r="A93" s="420" t="s">
        <v>400</v>
      </c>
      <c r="B93" s="421" t="s">
        <v>401</v>
      </c>
      <c r="C93" s="422" t="s">
        <v>389</v>
      </c>
      <c r="D93" s="422"/>
      <c r="E93" s="423">
        <f>SUM(E94:E94)</f>
        <v>3</v>
      </c>
      <c r="F93" s="423">
        <f>SUM(F94:F94)</f>
        <v>3</v>
      </c>
      <c r="G93" s="423">
        <f>SUM(G94:G94)</f>
        <v>3</v>
      </c>
      <c r="H93" s="423">
        <f>SUM(H94:H94)</f>
        <v>0</v>
      </c>
      <c r="I93" s="422" t="s">
        <v>402</v>
      </c>
      <c r="J93" s="424" t="s">
        <v>283</v>
      </c>
      <c r="K93" s="425" t="s">
        <v>287</v>
      </c>
      <c r="L93" s="425" t="s">
        <v>287</v>
      </c>
      <c r="M93" s="422"/>
      <c r="N93" s="933" t="s">
        <v>578</v>
      </c>
    </row>
    <row r="94" spans="1:14" ht="13.5" thickBot="1" x14ac:dyDescent="0.25">
      <c r="A94" s="426"/>
      <c r="B94" s="427"/>
      <c r="C94" s="428"/>
      <c r="D94" s="428" t="s">
        <v>59</v>
      </c>
      <c r="E94" s="429">
        <v>3</v>
      </c>
      <c r="F94" s="429">
        <v>3</v>
      </c>
      <c r="G94" s="429">
        <v>3</v>
      </c>
      <c r="H94" s="429">
        <v>0</v>
      </c>
      <c r="I94" s="428"/>
      <c r="J94" s="430"/>
      <c r="K94" s="431"/>
      <c r="L94" s="431"/>
      <c r="M94" s="428"/>
      <c r="N94" s="934"/>
    </row>
    <row r="95" spans="1:14" ht="23.25" thickBot="1" x14ac:dyDescent="0.25">
      <c r="A95" s="420" t="s">
        <v>403</v>
      </c>
      <c r="B95" s="421" t="s">
        <v>147</v>
      </c>
      <c r="C95" s="422" t="s">
        <v>353</v>
      </c>
      <c r="D95" s="422"/>
      <c r="E95" s="423">
        <f>SUM(E96:E96)</f>
        <v>462.8</v>
      </c>
      <c r="F95" s="423">
        <f>SUM(F96:F96)</f>
        <v>522.79999999999995</v>
      </c>
      <c r="G95" s="423">
        <f>SUM(G96:G96)</f>
        <v>521</v>
      </c>
      <c r="H95" s="423">
        <f>SUM(H96:H96)</f>
        <v>1.8</v>
      </c>
      <c r="I95" s="422"/>
      <c r="J95" s="424"/>
      <c r="K95" s="425"/>
      <c r="L95" s="425"/>
      <c r="M95" s="422"/>
      <c r="N95" s="933"/>
    </row>
    <row r="96" spans="1:14" ht="123.75" x14ac:dyDescent="0.2">
      <c r="A96" s="420" t="s">
        <v>404</v>
      </c>
      <c r="B96" s="421" t="s">
        <v>147</v>
      </c>
      <c r="C96" s="422" t="s">
        <v>405</v>
      </c>
      <c r="D96" s="422"/>
      <c r="E96" s="423">
        <f>SUM(E97:E101)</f>
        <v>462.8</v>
      </c>
      <c r="F96" s="423">
        <f>SUM(F97:F101)</f>
        <v>522.79999999999995</v>
      </c>
      <c r="G96" s="423">
        <f>SUM(G97:G101)</f>
        <v>521</v>
      </c>
      <c r="H96" s="423">
        <f>SUM(H97:H101)</f>
        <v>1.8</v>
      </c>
      <c r="I96" s="422" t="s">
        <v>406</v>
      </c>
      <c r="J96" s="424" t="s">
        <v>283</v>
      </c>
      <c r="K96" s="425" t="s">
        <v>398</v>
      </c>
      <c r="L96" s="425" t="s">
        <v>398</v>
      </c>
      <c r="M96" s="422" t="s">
        <v>407</v>
      </c>
      <c r="N96" s="933" t="s">
        <v>579</v>
      </c>
    </row>
    <row r="97" spans="1:14" ht="56.25" x14ac:dyDescent="0.2">
      <c r="A97" s="426"/>
      <c r="B97" s="427"/>
      <c r="C97" s="428"/>
      <c r="D97" s="428"/>
      <c r="E97" s="429">
        <v>0</v>
      </c>
      <c r="F97" s="429">
        <v>0</v>
      </c>
      <c r="G97" s="429">
        <v>0</v>
      </c>
      <c r="H97" s="429">
        <v>0</v>
      </c>
      <c r="I97" s="428" t="s">
        <v>316</v>
      </c>
      <c r="J97" s="430" t="s">
        <v>283</v>
      </c>
      <c r="K97" s="431" t="s">
        <v>287</v>
      </c>
      <c r="L97" s="431" t="s">
        <v>285</v>
      </c>
      <c r="M97" s="428" t="s">
        <v>408</v>
      </c>
      <c r="N97" s="934"/>
    </row>
    <row r="98" spans="1:14" ht="36" x14ac:dyDescent="0.2">
      <c r="A98" s="426"/>
      <c r="B98" s="427"/>
      <c r="C98" s="428"/>
      <c r="D98" s="428"/>
      <c r="E98" s="429">
        <v>0</v>
      </c>
      <c r="F98" s="429">
        <v>0</v>
      </c>
      <c r="G98" s="429">
        <v>0</v>
      </c>
      <c r="H98" s="429">
        <v>0</v>
      </c>
      <c r="I98" s="428" t="s">
        <v>409</v>
      </c>
      <c r="J98" s="430" t="s">
        <v>283</v>
      </c>
      <c r="K98" s="431" t="s">
        <v>285</v>
      </c>
      <c r="L98" s="431" t="s">
        <v>285</v>
      </c>
      <c r="M98" s="428"/>
      <c r="N98" s="934" t="s">
        <v>580</v>
      </c>
    </row>
    <row r="99" spans="1:14" x14ac:dyDescent="0.2">
      <c r="A99" s="426"/>
      <c r="B99" s="427"/>
      <c r="C99" s="428"/>
      <c r="D99" s="428" t="s">
        <v>22</v>
      </c>
      <c r="E99" s="429">
        <v>0</v>
      </c>
      <c r="F99" s="429">
        <v>60</v>
      </c>
      <c r="G99" s="429">
        <v>58.2</v>
      </c>
      <c r="H99" s="429">
        <v>1.8</v>
      </c>
      <c r="I99" s="428"/>
      <c r="J99" s="430"/>
      <c r="K99" s="431"/>
      <c r="L99" s="431"/>
      <c r="M99" s="428"/>
      <c r="N99" s="934"/>
    </row>
    <row r="100" spans="1:14" x14ac:dyDescent="0.2">
      <c r="A100" s="426"/>
      <c r="B100" s="427"/>
      <c r="C100" s="428"/>
      <c r="D100" s="428" t="s">
        <v>57</v>
      </c>
      <c r="E100" s="429">
        <v>462.4</v>
      </c>
      <c r="F100" s="429">
        <v>462.4</v>
      </c>
      <c r="G100" s="429">
        <v>462.4</v>
      </c>
      <c r="H100" s="429">
        <v>0</v>
      </c>
      <c r="I100" s="428"/>
      <c r="J100" s="430"/>
      <c r="K100" s="431"/>
      <c r="L100" s="431"/>
      <c r="M100" s="428"/>
      <c r="N100" s="934"/>
    </row>
    <row r="101" spans="1:14" ht="13.5" thickBot="1" x14ac:dyDescent="0.25">
      <c r="A101" s="426"/>
      <c r="B101" s="427"/>
      <c r="C101" s="428"/>
      <c r="D101" s="428" t="s">
        <v>51</v>
      </c>
      <c r="E101" s="429">
        <v>0.4</v>
      </c>
      <c r="F101" s="429">
        <v>0.4</v>
      </c>
      <c r="G101" s="429">
        <v>0.4</v>
      </c>
      <c r="H101" s="429">
        <v>0</v>
      </c>
      <c r="I101" s="428"/>
      <c r="J101" s="430"/>
      <c r="K101" s="431"/>
      <c r="L101" s="431"/>
      <c r="M101" s="428"/>
      <c r="N101" s="934"/>
    </row>
    <row r="102" spans="1:14" ht="23.25" thickBot="1" x14ac:dyDescent="0.25">
      <c r="A102" s="420" t="s">
        <v>410</v>
      </c>
      <c r="B102" s="421" t="s">
        <v>411</v>
      </c>
      <c r="C102" s="422" t="s">
        <v>412</v>
      </c>
      <c r="D102" s="422"/>
      <c r="E102" s="423">
        <f>SUM(E103:E103)</f>
        <v>4377.5</v>
      </c>
      <c r="F102" s="423">
        <f>SUM(F103:F103)</f>
        <v>4884.3999999999996</v>
      </c>
      <c r="G102" s="423">
        <f>SUM(G103:G103)</f>
        <v>4884.3999999999996</v>
      </c>
      <c r="H102" s="423">
        <f>SUM(H103:H103)</f>
        <v>0</v>
      </c>
      <c r="I102" s="422"/>
      <c r="J102" s="424"/>
      <c r="K102" s="425"/>
      <c r="L102" s="425"/>
      <c r="M102" s="422"/>
      <c r="N102" s="933"/>
    </row>
    <row r="103" spans="1:14" ht="36" x14ac:dyDescent="0.2">
      <c r="A103" s="420" t="s">
        <v>413</v>
      </c>
      <c r="B103" s="421" t="s">
        <v>411</v>
      </c>
      <c r="C103" s="422" t="s">
        <v>414</v>
      </c>
      <c r="D103" s="422"/>
      <c r="E103" s="423">
        <f>SUM(E104:E106)</f>
        <v>4377.5</v>
      </c>
      <c r="F103" s="423">
        <f>SUM(F104:F106)</f>
        <v>4884.3999999999996</v>
      </c>
      <c r="G103" s="423">
        <f>SUM(G104:G106)</f>
        <v>4884.3999999999996</v>
      </c>
      <c r="H103" s="423">
        <f>SUM(H104:H106)</f>
        <v>0</v>
      </c>
      <c r="I103" s="422" t="s">
        <v>415</v>
      </c>
      <c r="J103" s="424" t="s">
        <v>283</v>
      </c>
      <c r="K103" s="425" t="s">
        <v>416</v>
      </c>
      <c r="L103" s="425" t="s">
        <v>416</v>
      </c>
      <c r="M103" s="422"/>
      <c r="N103" s="933" t="s">
        <v>417</v>
      </c>
    </row>
    <row r="104" spans="1:14" x14ac:dyDescent="0.2">
      <c r="A104" s="426"/>
      <c r="B104" s="427"/>
      <c r="C104" s="428"/>
      <c r="D104" s="428" t="s">
        <v>22</v>
      </c>
      <c r="E104" s="429">
        <v>0</v>
      </c>
      <c r="F104" s="429">
        <v>274.8</v>
      </c>
      <c r="G104" s="429">
        <v>274.8</v>
      </c>
      <c r="H104" s="429">
        <v>0</v>
      </c>
      <c r="I104" s="428"/>
      <c r="J104" s="430"/>
      <c r="K104" s="431"/>
      <c r="L104" s="431"/>
      <c r="M104" s="428"/>
      <c r="N104" s="934"/>
    </row>
    <row r="105" spans="1:14" x14ac:dyDescent="0.2">
      <c r="A105" s="426"/>
      <c r="B105" s="427"/>
      <c r="C105" s="428"/>
      <c r="D105" s="428" t="s">
        <v>51</v>
      </c>
      <c r="E105" s="429">
        <v>113</v>
      </c>
      <c r="F105" s="429">
        <v>457.9</v>
      </c>
      <c r="G105" s="429">
        <v>457.9</v>
      </c>
      <c r="H105" s="429">
        <v>0</v>
      </c>
      <c r="I105" s="428"/>
      <c r="J105" s="430"/>
      <c r="K105" s="431"/>
      <c r="L105" s="431"/>
      <c r="M105" s="428"/>
      <c r="N105" s="934"/>
    </row>
    <row r="106" spans="1:14" ht="13.5" thickBot="1" x14ac:dyDescent="0.25">
      <c r="A106" s="426"/>
      <c r="B106" s="427"/>
      <c r="C106" s="428"/>
      <c r="D106" s="428" t="s">
        <v>154</v>
      </c>
      <c r="E106" s="429">
        <v>4264.5</v>
      </c>
      <c r="F106" s="429">
        <v>4151.7</v>
      </c>
      <c r="G106" s="429">
        <v>4151.7</v>
      </c>
      <c r="H106" s="429">
        <v>0</v>
      </c>
      <c r="I106" s="428"/>
      <c r="J106" s="430"/>
      <c r="K106" s="431"/>
      <c r="L106" s="431"/>
      <c r="M106" s="428"/>
      <c r="N106" s="934"/>
    </row>
    <row r="107" spans="1:14" ht="23.25" thickBot="1" x14ac:dyDescent="0.25">
      <c r="A107" s="420" t="s">
        <v>418</v>
      </c>
      <c r="B107" s="421" t="s">
        <v>256</v>
      </c>
      <c r="C107" s="422"/>
      <c r="D107" s="422"/>
      <c r="E107" s="423">
        <f>SUM(E108:E108)</f>
        <v>0</v>
      </c>
      <c r="F107" s="423">
        <f>SUM(F108:F108)</f>
        <v>665</v>
      </c>
      <c r="G107" s="423">
        <f>SUM(G108:G108)</f>
        <v>665</v>
      </c>
      <c r="H107" s="423">
        <f>SUM(H108:H108)</f>
        <v>0</v>
      </c>
      <c r="I107" s="422"/>
      <c r="J107" s="424"/>
      <c r="K107" s="425"/>
      <c r="L107" s="425"/>
      <c r="M107" s="422"/>
      <c r="N107" s="933"/>
    </row>
    <row r="108" spans="1:14" ht="23.25" thickBot="1" x14ac:dyDescent="0.25">
      <c r="A108" s="420" t="s">
        <v>419</v>
      </c>
      <c r="B108" s="421" t="s">
        <v>256</v>
      </c>
      <c r="C108" s="422"/>
      <c r="D108" s="422" t="s">
        <v>51</v>
      </c>
      <c r="E108" s="432">
        <v>0</v>
      </c>
      <c r="F108" s="432">
        <v>665</v>
      </c>
      <c r="G108" s="432">
        <v>665</v>
      </c>
      <c r="H108" s="432">
        <v>0</v>
      </c>
      <c r="I108" s="422"/>
      <c r="J108" s="424"/>
      <c r="K108" s="425"/>
      <c r="L108" s="425"/>
      <c r="M108" s="422"/>
      <c r="N108" s="933"/>
    </row>
    <row r="109" spans="1:14" ht="23.25" thickBot="1" x14ac:dyDescent="0.25">
      <c r="A109" s="414" t="s">
        <v>420</v>
      </c>
      <c r="B109" s="415" t="s">
        <v>421</v>
      </c>
      <c r="C109" s="416"/>
      <c r="D109" s="416"/>
      <c r="E109" s="417">
        <f>E110+E130+E134</f>
        <v>1877.3</v>
      </c>
      <c r="F109" s="417">
        <f>F110+F130+F134</f>
        <v>2726.7</v>
      </c>
      <c r="G109" s="417">
        <f>G110+G130+G134</f>
        <v>1415.2</v>
      </c>
      <c r="H109" s="417">
        <f>H110+H130+H134</f>
        <v>1311.5</v>
      </c>
      <c r="I109" s="416"/>
      <c r="J109" s="418"/>
      <c r="K109" s="419"/>
      <c r="L109" s="419"/>
      <c r="M109" s="416"/>
      <c r="N109" s="932"/>
    </row>
    <row r="110" spans="1:14" ht="23.25" thickBot="1" x14ac:dyDescent="0.25">
      <c r="A110" s="420" t="s">
        <v>422</v>
      </c>
      <c r="B110" s="421" t="s">
        <v>423</v>
      </c>
      <c r="C110" s="422" t="s">
        <v>424</v>
      </c>
      <c r="D110" s="422"/>
      <c r="E110" s="423">
        <f>E111+E122+E125+E127+E128</f>
        <v>967.5</v>
      </c>
      <c r="F110" s="423">
        <f>F111+F122+F125+F127+F128</f>
        <v>1171.5999999999999</v>
      </c>
      <c r="G110" s="423">
        <f>G111+G122+G125+G127+G128</f>
        <v>1171.5</v>
      </c>
      <c r="H110" s="423">
        <f>H111+H122+H125+H127+H128</f>
        <v>0.1</v>
      </c>
      <c r="I110" s="422"/>
      <c r="J110" s="424"/>
      <c r="K110" s="425"/>
      <c r="L110" s="425"/>
      <c r="M110" s="422"/>
      <c r="N110" s="933"/>
    </row>
    <row r="111" spans="1:14" ht="60" x14ac:dyDescent="0.2">
      <c r="A111" s="420" t="s">
        <v>425</v>
      </c>
      <c r="B111" s="421" t="s">
        <v>78</v>
      </c>
      <c r="C111" s="422" t="s">
        <v>426</v>
      </c>
      <c r="D111" s="422"/>
      <c r="E111" s="423">
        <f>SUM(E112:E121)</f>
        <v>324</v>
      </c>
      <c r="F111" s="423">
        <f>SUM(F112:F121)</f>
        <v>456.7</v>
      </c>
      <c r="G111" s="423">
        <f>SUM(G112:G121)</f>
        <v>456.6</v>
      </c>
      <c r="H111" s="423">
        <f>SUM(H112:H121)</f>
        <v>0.1</v>
      </c>
      <c r="I111" s="422" t="s">
        <v>428</v>
      </c>
      <c r="J111" s="424" t="s">
        <v>283</v>
      </c>
      <c r="K111" s="425" t="s">
        <v>298</v>
      </c>
      <c r="L111" s="425" t="s">
        <v>325</v>
      </c>
      <c r="M111" s="422"/>
      <c r="N111" s="933" t="s">
        <v>429</v>
      </c>
    </row>
    <row r="112" spans="1:14" ht="24" x14ac:dyDescent="0.2">
      <c r="A112" s="426"/>
      <c r="B112" s="427"/>
      <c r="C112" s="428"/>
      <c r="D112" s="428"/>
      <c r="E112" s="429">
        <v>0</v>
      </c>
      <c r="F112" s="429">
        <v>0</v>
      </c>
      <c r="G112" s="429">
        <v>0</v>
      </c>
      <c r="H112" s="429">
        <v>0</v>
      </c>
      <c r="I112" s="428" t="s">
        <v>430</v>
      </c>
      <c r="J112" s="430" t="s">
        <v>283</v>
      </c>
      <c r="K112" s="431" t="s">
        <v>431</v>
      </c>
      <c r="L112" s="431" t="s">
        <v>431</v>
      </c>
      <c r="M112" s="428"/>
      <c r="N112" s="934" t="s">
        <v>432</v>
      </c>
    </row>
    <row r="113" spans="1:14" ht="60" x14ac:dyDescent="0.2">
      <c r="A113" s="426"/>
      <c r="B113" s="427"/>
      <c r="C113" s="428"/>
      <c r="D113" s="428"/>
      <c r="E113" s="429">
        <v>0</v>
      </c>
      <c r="F113" s="429">
        <v>0</v>
      </c>
      <c r="G113" s="429">
        <v>0</v>
      </c>
      <c r="H113" s="429">
        <v>0</v>
      </c>
      <c r="I113" s="428" t="s">
        <v>437</v>
      </c>
      <c r="J113" s="430" t="s">
        <v>283</v>
      </c>
      <c r="K113" s="431" t="s">
        <v>438</v>
      </c>
      <c r="L113" s="431" t="s">
        <v>439</v>
      </c>
      <c r="M113" s="428"/>
      <c r="N113" s="934" t="s">
        <v>440</v>
      </c>
    </row>
    <row r="114" spans="1:14" ht="22.5" x14ac:dyDescent="0.2">
      <c r="A114" s="426"/>
      <c r="B114" s="427"/>
      <c r="C114" s="428"/>
      <c r="D114" s="428"/>
      <c r="E114" s="429">
        <v>0</v>
      </c>
      <c r="F114" s="429">
        <v>0</v>
      </c>
      <c r="G114" s="429">
        <v>0</v>
      </c>
      <c r="H114" s="429">
        <v>0</v>
      </c>
      <c r="I114" s="428" t="s">
        <v>433</v>
      </c>
      <c r="J114" s="430" t="s">
        <v>283</v>
      </c>
      <c r="K114" s="431" t="s">
        <v>287</v>
      </c>
      <c r="L114" s="431" t="s">
        <v>287</v>
      </c>
      <c r="M114" s="428"/>
      <c r="N114" s="934" t="s">
        <v>434</v>
      </c>
    </row>
    <row r="115" spans="1:14" ht="24" x14ac:dyDescent="0.2">
      <c r="A115" s="426"/>
      <c r="B115" s="427"/>
      <c r="C115" s="428"/>
      <c r="D115" s="428"/>
      <c r="E115" s="429">
        <v>0</v>
      </c>
      <c r="F115" s="429">
        <v>0</v>
      </c>
      <c r="G115" s="429">
        <v>0</v>
      </c>
      <c r="H115" s="429">
        <v>0</v>
      </c>
      <c r="I115" s="428" t="s">
        <v>427</v>
      </c>
      <c r="J115" s="430" t="s">
        <v>297</v>
      </c>
      <c r="K115" s="431" t="s">
        <v>344</v>
      </c>
      <c r="L115" s="431" t="s">
        <v>344</v>
      </c>
      <c r="M115" s="428"/>
      <c r="N115" s="934" t="s">
        <v>581</v>
      </c>
    </row>
    <row r="116" spans="1:14" ht="56.25" x14ac:dyDescent="0.2">
      <c r="A116" s="426"/>
      <c r="B116" s="427"/>
      <c r="C116" s="428"/>
      <c r="D116" s="428"/>
      <c r="E116" s="429">
        <v>0</v>
      </c>
      <c r="F116" s="429">
        <v>0</v>
      </c>
      <c r="G116" s="429">
        <v>0</v>
      </c>
      <c r="H116" s="429">
        <v>0</v>
      </c>
      <c r="I116" s="428" t="s">
        <v>435</v>
      </c>
      <c r="J116" s="430" t="s">
        <v>283</v>
      </c>
      <c r="K116" s="431" t="s">
        <v>311</v>
      </c>
      <c r="L116" s="431" t="s">
        <v>311</v>
      </c>
      <c r="M116" s="428"/>
      <c r="N116" s="934" t="s">
        <v>436</v>
      </c>
    </row>
    <row r="117" spans="1:14" x14ac:dyDescent="0.2">
      <c r="A117" s="426"/>
      <c r="B117" s="427"/>
      <c r="C117" s="428"/>
      <c r="D117" s="428" t="s">
        <v>22</v>
      </c>
      <c r="E117" s="429">
        <v>0</v>
      </c>
      <c r="F117" s="429">
        <v>68.599999999999994</v>
      </c>
      <c r="G117" s="429">
        <v>68.599999999999994</v>
      </c>
      <c r="H117" s="429">
        <v>0</v>
      </c>
      <c r="I117" s="428"/>
      <c r="J117" s="430"/>
      <c r="K117" s="431"/>
      <c r="L117" s="431"/>
      <c r="M117" s="428"/>
      <c r="N117" s="934"/>
    </row>
    <row r="118" spans="1:14" x14ac:dyDescent="0.2">
      <c r="A118" s="426"/>
      <c r="B118" s="427"/>
      <c r="C118" s="428"/>
      <c r="D118" s="428" t="s">
        <v>51</v>
      </c>
      <c r="E118" s="429">
        <v>31.9</v>
      </c>
      <c r="F118" s="429">
        <v>0</v>
      </c>
      <c r="G118" s="429">
        <v>0</v>
      </c>
      <c r="H118" s="429">
        <v>0</v>
      </c>
      <c r="I118" s="428"/>
      <c r="J118" s="430"/>
      <c r="K118" s="431"/>
      <c r="L118" s="431"/>
      <c r="M118" s="428"/>
      <c r="N118" s="934"/>
    </row>
    <row r="119" spans="1:14" x14ac:dyDescent="0.2">
      <c r="A119" s="426"/>
      <c r="B119" s="427"/>
      <c r="C119" s="428"/>
      <c r="D119" s="428" t="s">
        <v>59</v>
      </c>
      <c r="E119" s="429">
        <v>38</v>
      </c>
      <c r="F119" s="429">
        <v>33.299999999999997</v>
      </c>
      <c r="G119" s="429">
        <v>33.299999999999997</v>
      </c>
      <c r="H119" s="429">
        <v>0</v>
      </c>
      <c r="I119" s="428"/>
      <c r="J119" s="430"/>
      <c r="K119" s="431"/>
      <c r="L119" s="431"/>
      <c r="M119" s="428"/>
      <c r="N119" s="934"/>
    </row>
    <row r="120" spans="1:14" x14ac:dyDescent="0.2">
      <c r="A120" s="426"/>
      <c r="B120" s="427"/>
      <c r="C120" s="428"/>
      <c r="D120" s="428" t="s">
        <v>57</v>
      </c>
      <c r="E120" s="429">
        <v>254.1</v>
      </c>
      <c r="F120" s="429">
        <v>254.1</v>
      </c>
      <c r="G120" s="429">
        <v>254.1</v>
      </c>
      <c r="H120" s="429">
        <v>0</v>
      </c>
      <c r="I120" s="428"/>
      <c r="J120" s="430"/>
      <c r="K120" s="431"/>
      <c r="L120" s="431"/>
      <c r="M120" s="428"/>
      <c r="N120" s="934"/>
    </row>
    <row r="121" spans="1:14" ht="13.5" thickBot="1" x14ac:dyDescent="0.25">
      <c r="A121" s="426"/>
      <c r="B121" s="427"/>
      <c r="C121" s="428"/>
      <c r="D121" s="428" t="s">
        <v>73</v>
      </c>
      <c r="E121" s="429">
        <v>0</v>
      </c>
      <c r="F121" s="429">
        <v>100.7</v>
      </c>
      <c r="G121" s="429">
        <v>100.6</v>
      </c>
      <c r="H121" s="429">
        <v>0.1</v>
      </c>
      <c r="I121" s="428"/>
      <c r="J121" s="430"/>
      <c r="K121" s="431"/>
      <c r="L121" s="431"/>
      <c r="M121" s="428"/>
      <c r="N121" s="934"/>
    </row>
    <row r="122" spans="1:14" ht="45" x14ac:dyDescent="0.2">
      <c r="A122" s="420" t="s">
        <v>441</v>
      </c>
      <c r="B122" s="421" t="s">
        <v>53</v>
      </c>
      <c r="C122" s="422" t="s">
        <v>426</v>
      </c>
      <c r="D122" s="422"/>
      <c r="E122" s="423">
        <f>SUM(E123:E124)</f>
        <v>15</v>
      </c>
      <c r="F122" s="423">
        <f>SUM(F123:F124)</f>
        <v>115</v>
      </c>
      <c r="G122" s="423">
        <f>SUM(G123:G124)</f>
        <v>115</v>
      </c>
      <c r="H122" s="423">
        <f>SUM(H123:H124)</f>
        <v>0</v>
      </c>
      <c r="I122" s="422" t="s">
        <v>442</v>
      </c>
      <c r="J122" s="424" t="s">
        <v>443</v>
      </c>
      <c r="K122" s="425" t="s">
        <v>287</v>
      </c>
      <c r="L122" s="425" t="s">
        <v>444</v>
      </c>
      <c r="M122" s="422"/>
      <c r="N122" s="933" t="s">
        <v>582</v>
      </c>
    </row>
    <row r="123" spans="1:14" x14ac:dyDescent="0.2">
      <c r="A123" s="426"/>
      <c r="B123" s="427"/>
      <c r="C123" s="428"/>
      <c r="D123" s="428" t="s">
        <v>57</v>
      </c>
      <c r="E123" s="429">
        <v>15</v>
      </c>
      <c r="F123" s="429">
        <v>15</v>
      </c>
      <c r="G123" s="429">
        <v>15</v>
      </c>
      <c r="H123" s="429">
        <v>0</v>
      </c>
      <c r="I123" s="428"/>
      <c r="J123" s="430"/>
      <c r="K123" s="431"/>
      <c r="L123" s="431"/>
      <c r="M123" s="428"/>
      <c r="N123" s="934"/>
    </row>
    <row r="124" spans="1:14" ht="13.5" thickBot="1" x14ac:dyDescent="0.25">
      <c r="A124" s="426"/>
      <c r="B124" s="427"/>
      <c r="C124" s="428"/>
      <c r="D124" s="428" t="s">
        <v>73</v>
      </c>
      <c r="E124" s="429">
        <v>0</v>
      </c>
      <c r="F124" s="429">
        <v>100</v>
      </c>
      <c r="G124" s="429">
        <v>100</v>
      </c>
      <c r="H124" s="429">
        <v>0</v>
      </c>
      <c r="I124" s="428"/>
      <c r="J124" s="430"/>
      <c r="K124" s="431"/>
      <c r="L124" s="431"/>
      <c r="M124" s="428"/>
      <c r="N124" s="934"/>
    </row>
    <row r="125" spans="1:14" ht="67.5" x14ac:dyDescent="0.2">
      <c r="A125" s="420" t="s">
        <v>445</v>
      </c>
      <c r="B125" s="421" t="s">
        <v>446</v>
      </c>
      <c r="C125" s="422" t="s">
        <v>447</v>
      </c>
      <c r="D125" s="422"/>
      <c r="E125" s="423">
        <f>SUM(E126:E126)</f>
        <v>8</v>
      </c>
      <c r="F125" s="423">
        <f>SUM(F126:F126)</f>
        <v>8</v>
      </c>
      <c r="G125" s="423">
        <f>SUM(G126:G126)</f>
        <v>8</v>
      </c>
      <c r="H125" s="423">
        <f>SUM(H126:H126)</f>
        <v>0</v>
      </c>
      <c r="I125" s="422" t="s">
        <v>448</v>
      </c>
      <c r="J125" s="424" t="s">
        <v>283</v>
      </c>
      <c r="K125" s="425" t="s">
        <v>449</v>
      </c>
      <c r="L125" s="425" t="s">
        <v>489</v>
      </c>
      <c r="M125" s="422"/>
      <c r="N125" s="933" t="s">
        <v>583</v>
      </c>
    </row>
    <row r="126" spans="1:14" ht="13.5" thickBot="1" x14ac:dyDescent="0.25">
      <c r="A126" s="426"/>
      <c r="B126" s="427"/>
      <c r="C126" s="428"/>
      <c r="D126" s="428" t="s">
        <v>57</v>
      </c>
      <c r="E126" s="429">
        <v>8</v>
      </c>
      <c r="F126" s="429">
        <v>8</v>
      </c>
      <c r="G126" s="429">
        <v>8</v>
      </c>
      <c r="H126" s="429">
        <v>0</v>
      </c>
      <c r="I126" s="428"/>
      <c r="J126" s="430"/>
      <c r="K126" s="431"/>
      <c r="L126" s="431"/>
      <c r="M126" s="428"/>
      <c r="N126" s="934"/>
    </row>
    <row r="127" spans="1:14" ht="23.25" thickBot="1" x14ac:dyDescent="0.25">
      <c r="A127" s="420" t="s">
        <v>450</v>
      </c>
      <c r="B127" s="421" t="s">
        <v>79</v>
      </c>
      <c r="C127" s="422" t="s">
        <v>366</v>
      </c>
      <c r="D127" s="422" t="s">
        <v>57</v>
      </c>
      <c r="E127" s="432">
        <v>544</v>
      </c>
      <c r="F127" s="432">
        <v>544</v>
      </c>
      <c r="G127" s="432">
        <v>544</v>
      </c>
      <c r="H127" s="432">
        <v>0</v>
      </c>
      <c r="I127" s="422" t="s">
        <v>451</v>
      </c>
      <c r="J127" s="424" t="s">
        <v>283</v>
      </c>
      <c r="K127" s="425" t="s">
        <v>452</v>
      </c>
      <c r="L127" s="425" t="s">
        <v>452</v>
      </c>
      <c r="M127" s="422"/>
      <c r="N127" s="933"/>
    </row>
    <row r="128" spans="1:14" ht="108" x14ac:dyDescent="0.2">
      <c r="A128" s="420" t="s">
        <v>453</v>
      </c>
      <c r="B128" s="421" t="s">
        <v>454</v>
      </c>
      <c r="C128" s="422" t="s">
        <v>455</v>
      </c>
      <c r="D128" s="422"/>
      <c r="E128" s="423">
        <f>SUM(E129:E129)</f>
        <v>76.5</v>
      </c>
      <c r="F128" s="423">
        <f>SUM(F129:F129)</f>
        <v>47.9</v>
      </c>
      <c r="G128" s="423">
        <f>SUM(G129:G129)</f>
        <v>47.9</v>
      </c>
      <c r="H128" s="423">
        <f>SUM(H129:H129)</f>
        <v>0</v>
      </c>
      <c r="I128" s="422" t="s">
        <v>456</v>
      </c>
      <c r="J128" s="424" t="s">
        <v>283</v>
      </c>
      <c r="K128" s="425" t="s">
        <v>584</v>
      </c>
      <c r="L128" s="425" t="s">
        <v>584</v>
      </c>
      <c r="M128" s="422"/>
      <c r="N128" s="933" t="s">
        <v>585</v>
      </c>
    </row>
    <row r="129" spans="1:14" ht="13.5" thickBot="1" x14ac:dyDescent="0.25">
      <c r="A129" s="426"/>
      <c r="B129" s="427"/>
      <c r="C129" s="428"/>
      <c r="D129" s="428" t="s">
        <v>22</v>
      </c>
      <c r="E129" s="429">
        <v>76.5</v>
      </c>
      <c r="F129" s="429">
        <v>47.9</v>
      </c>
      <c r="G129" s="429">
        <v>47.9</v>
      </c>
      <c r="H129" s="429">
        <v>0</v>
      </c>
      <c r="I129" s="428"/>
      <c r="J129" s="430"/>
      <c r="K129" s="431"/>
      <c r="L129" s="431"/>
      <c r="M129" s="428"/>
      <c r="N129" s="934"/>
    </row>
    <row r="130" spans="1:14" ht="23.25" thickBot="1" x14ac:dyDescent="0.25">
      <c r="A130" s="420" t="s">
        <v>457</v>
      </c>
      <c r="B130" s="421" t="s">
        <v>458</v>
      </c>
      <c r="C130" s="422"/>
      <c r="D130" s="422"/>
      <c r="E130" s="423">
        <f>SUM(E131:E131)</f>
        <v>136.80000000000001</v>
      </c>
      <c r="F130" s="423">
        <f>SUM(F131:F131)</f>
        <v>136.80000000000001</v>
      </c>
      <c r="G130" s="423">
        <f>SUM(G131:G131)</f>
        <v>83.4</v>
      </c>
      <c r="H130" s="423">
        <f>SUM(H131:H131)</f>
        <v>53.4</v>
      </c>
      <c r="I130" s="422"/>
      <c r="J130" s="424"/>
      <c r="K130" s="425"/>
      <c r="L130" s="425"/>
      <c r="M130" s="422"/>
      <c r="N130" s="933"/>
    </row>
    <row r="131" spans="1:14" ht="48" x14ac:dyDescent="0.2">
      <c r="A131" s="420" t="s">
        <v>459</v>
      </c>
      <c r="B131" s="421" t="s">
        <v>458</v>
      </c>
      <c r="C131" s="422" t="s">
        <v>460</v>
      </c>
      <c r="D131" s="422"/>
      <c r="E131" s="423">
        <f>SUM(E132:E133)</f>
        <v>136.80000000000001</v>
      </c>
      <c r="F131" s="423">
        <f>SUM(F132:F133)</f>
        <v>136.80000000000001</v>
      </c>
      <c r="G131" s="423">
        <f>SUM(G132:G133)</f>
        <v>83.4</v>
      </c>
      <c r="H131" s="423">
        <f>SUM(H132:H133)</f>
        <v>53.4</v>
      </c>
      <c r="I131" s="422" t="s">
        <v>461</v>
      </c>
      <c r="J131" s="424" t="s">
        <v>283</v>
      </c>
      <c r="K131" s="425" t="s">
        <v>383</v>
      </c>
      <c r="L131" s="425" t="s">
        <v>311</v>
      </c>
      <c r="M131" s="422"/>
      <c r="N131" s="933" t="s">
        <v>462</v>
      </c>
    </row>
    <row r="132" spans="1:14" x14ac:dyDescent="0.2">
      <c r="A132" s="426"/>
      <c r="B132" s="427"/>
      <c r="C132" s="428"/>
      <c r="D132" s="428"/>
      <c r="E132" s="429">
        <v>0</v>
      </c>
      <c r="F132" s="429">
        <v>0</v>
      </c>
      <c r="G132" s="429">
        <v>0</v>
      </c>
      <c r="H132" s="429">
        <v>0</v>
      </c>
      <c r="I132" s="428" t="s">
        <v>463</v>
      </c>
      <c r="J132" s="430" t="s">
        <v>283</v>
      </c>
      <c r="K132" s="431" t="s">
        <v>416</v>
      </c>
      <c r="L132" s="431" t="s">
        <v>416</v>
      </c>
      <c r="M132" s="428"/>
      <c r="N132" s="934"/>
    </row>
    <row r="133" spans="1:14" ht="13.5" thickBot="1" x14ac:dyDescent="0.25">
      <c r="A133" s="426"/>
      <c r="B133" s="427"/>
      <c r="C133" s="428"/>
      <c r="D133" s="428" t="s">
        <v>22</v>
      </c>
      <c r="E133" s="429">
        <v>136.80000000000001</v>
      </c>
      <c r="F133" s="429">
        <v>136.80000000000001</v>
      </c>
      <c r="G133" s="429">
        <v>83.4</v>
      </c>
      <c r="H133" s="429">
        <v>53.4</v>
      </c>
      <c r="I133" s="428"/>
      <c r="J133" s="430"/>
      <c r="K133" s="431"/>
      <c r="L133" s="431"/>
      <c r="M133" s="428"/>
      <c r="N133" s="934"/>
    </row>
    <row r="134" spans="1:14" ht="23.25" thickBot="1" x14ac:dyDescent="0.25">
      <c r="A134" s="420" t="s">
        <v>464</v>
      </c>
      <c r="B134" s="421" t="s">
        <v>465</v>
      </c>
      <c r="C134" s="422"/>
      <c r="D134" s="422"/>
      <c r="E134" s="423">
        <f>E135+E139+E143+E146+E147+E148+E150</f>
        <v>773</v>
      </c>
      <c r="F134" s="423">
        <f>F135+F139+F143+F146+F147+F148+F150</f>
        <v>1418.3</v>
      </c>
      <c r="G134" s="423">
        <f>G135+G139+G143+G146+G147+G148+G150</f>
        <v>160.30000000000001</v>
      </c>
      <c r="H134" s="423">
        <f>H135+H139+H143+H146+H147+H148+H150</f>
        <v>1258</v>
      </c>
      <c r="I134" s="422"/>
      <c r="J134" s="424"/>
      <c r="K134" s="425"/>
      <c r="L134" s="425"/>
      <c r="M134" s="422"/>
      <c r="N134" s="933"/>
    </row>
    <row r="135" spans="1:14" ht="36" x14ac:dyDescent="0.2">
      <c r="A135" s="420" t="s">
        <v>466</v>
      </c>
      <c r="B135" s="421" t="s">
        <v>467</v>
      </c>
      <c r="C135" s="422" t="s">
        <v>468</v>
      </c>
      <c r="D135" s="422"/>
      <c r="E135" s="423">
        <f>SUM(E136:E138)</f>
        <v>484.3</v>
      </c>
      <c r="F135" s="423">
        <f>SUM(F136:F138)</f>
        <v>484.3</v>
      </c>
      <c r="G135" s="423">
        <f>SUM(G136:G138)</f>
        <v>0</v>
      </c>
      <c r="H135" s="423">
        <f>SUM(H136:H138)</f>
        <v>484.3</v>
      </c>
      <c r="I135" s="422" t="s">
        <v>470</v>
      </c>
      <c r="J135" s="424" t="s">
        <v>283</v>
      </c>
      <c r="K135" s="425" t="s">
        <v>287</v>
      </c>
      <c r="L135" s="425" t="s">
        <v>285</v>
      </c>
      <c r="M135" s="422"/>
      <c r="N135" s="933" t="s">
        <v>586</v>
      </c>
    </row>
    <row r="136" spans="1:14" ht="36" x14ac:dyDescent="0.2">
      <c r="A136" s="426"/>
      <c r="B136" s="427"/>
      <c r="C136" s="428"/>
      <c r="D136" s="428"/>
      <c r="E136" s="429">
        <v>0</v>
      </c>
      <c r="F136" s="429">
        <v>0</v>
      </c>
      <c r="G136" s="429">
        <v>0</v>
      </c>
      <c r="H136" s="429">
        <v>0</v>
      </c>
      <c r="I136" s="428" t="s">
        <v>469</v>
      </c>
      <c r="J136" s="430" t="s">
        <v>297</v>
      </c>
      <c r="K136" s="431" t="s">
        <v>285</v>
      </c>
      <c r="L136" s="431" t="s">
        <v>285</v>
      </c>
      <c r="M136" s="428"/>
      <c r="N136" s="934" t="s">
        <v>587</v>
      </c>
    </row>
    <row r="137" spans="1:14" x14ac:dyDescent="0.2">
      <c r="A137" s="426"/>
      <c r="B137" s="427"/>
      <c r="C137" s="428"/>
      <c r="D137" s="428" t="s">
        <v>51</v>
      </c>
      <c r="E137" s="429">
        <v>277.3</v>
      </c>
      <c r="F137" s="429">
        <v>277.3</v>
      </c>
      <c r="G137" s="429">
        <v>0</v>
      </c>
      <c r="H137" s="429">
        <v>277.3</v>
      </c>
      <c r="I137" s="428"/>
      <c r="J137" s="430"/>
      <c r="K137" s="431"/>
      <c r="L137" s="431"/>
      <c r="M137" s="428"/>
      <c r="N137" s="934"/>
    </row>
    <row r="138" spans="1:14" ht="13.5" thickBot="1" x14ac:dyDescent="0.25">
      <c r="A138" s="426"/>
      <c r="B138" s="427"/>
      <c r="C138" s="428"/>
      <c r="D138" s="428" t="s">
        <v>22</v>
      </c>
      <c r="E138" s="429">
        <v>207</v>
      </c>
      <c r="F138" s="429">
        <v>207</v>
      </c>
      <c r="G138" s="429">
        <v>0</v>
      </c>
      <c r="H138" s="429">
        <v>207</v>
      </c>
      <c r="I138" s="428"/>
      <c r="J138" s="430"/>
      <c r="K138" s="431"/>
      <c r="L138" s="431"/>
      <c r="M138" s="428"/>
      <c r="N138" s="934"/>
    </row>
    <row r="139" spans="1:14" ht="84" x14ac:dyDescent="0.2">
      <c r="A139" s="420" t="s">
        <v>471</v>
      </c>
      <c r="B139" s="421" t="s">
        <v>131</v>
      </c>
      <c r="C139" s="422" t="s">
        <v>414</v>
      </c>
      <c r="D139" s="422"/>
      <c r="E139" s="423">
        <f>SUM(E140:E142)</f>
        <v>54.5</v>
      </c>
      <c r="F139" s="423">
        <f>SUM(F140:F142)</f>
        <v>697</v>
      </c>
      <c r="G139" s="423">
        <f>SUM(G140:G142)</f>
        <v>4.7</v>
      </c>
      <c r="H139" s="423">
        <f>SUM(H140:H142)</f>
        <v>692.3</v>
      </c>
      <c r="I139" s="422" t="s">
        <v>472</v>
      </c>
      <c r="J139" s="424" t="s">
        <v>283</v>
      </c>
      <c r="K139" s="425" t="s">
        <v>287</v>
      </c>
      <c r="L139" s="425" t="s">
        <v>285</v>
      </c>
      <c r="M139" s="422"/>
      <c r="N139" s="933" t="s">
        <v>473</v>
      </c>
    </row>
    <row r="140" spans="1:14" x14ac:dyDescent="0.2">
      <c r="A140" s="426"/>
      <c r="B140" s="427"/>
      <c r="C140" s="428"/>
      <c r="D140" s="428" t="s">
        <v>51</v>
      </c>
      <c r="E140" s="429">
        <v>12.3</v>
      </c>
      <c r="F140" s="429">
        <v>164.3</v>
      </c>
      <c r="G140" s="429">
        <v>0</v>
      </c>
      <c r="H140" s="429">
        <v>164.3</v>
      </c>
      <c r="I140" s="428"/>
      <c r="J140" s="430"/>
      <c r="K140" s="431"/>
      <c r="L140" s="431"/>
      <c r="M140" s="428"/>
      <c r="N140" s="934"/>
    </row>
    <row r="141" spans="1:14" x14ac:dyDescent="0.2">
      <c r="A141" s="426"/>
      <c r="B141" s="427"/>
      <c r="C141" s="428"/>
      <c r="D141" s="428" t="s">
        <v>22</v>
      </c>
      <c r="E141" s="429">
        <v>42.2</v>
      </c>
      <c r="F141" s="429">
        <v>42.2</v>
      </c>
      <c r="G141" s="429">
        <v>4.7</v>
      </c>
      <c r="H141" s="429">
        <v>37.5</v>
      </c>
      <c r="I141" s="428"/>
      <c r="J141" s="430"/>
      <c r="K141" s="431"/>
      <c r="L141" s="431"/>
      <c r="M141" s="428"/>
      <c r="N141" s="934"/>
    </row>
    <row r="142" spans="1:14" ht="13.5" thickBot="1" x14ac:dyDescent="0.25">
      <c r="A142" s="426"/>
      <c r="B142" s="427"/>
      <c r="C142" s="428"/>
      <c r="D142" s="428" t="s">
        <v>38</v>
      </c>
      <c r="E142" s="429">
        <v>0</v>
      </c>
      <c r="F142" s="429">
        <v>490.5</v>
      </c>
      <c r="G142" s="429">
        <v>0</v>
      </c>
      <c r="H142" s="429">
        <v>490.5</v>
      </c>
      <c r="I142" s="428"/>
      <c r="J142" s="430"/>
      <c r="K142" s="431"/>
      <c r="L142" s="431"/>
      <c r="M142" s="428"/>
      <c r="N142" s="934"/>
    </row>
    <row r="143" spans="1:14" ht="24" x14ac:dyDescent="0.2">
      <c r="A143" s="420" t="s">
        <v>474</v>
      </c>
      <c r="B143" s="421" t="s">
        <v>475</v>
      </c>
      <c r="C143" s="422" t="s">
        <v>414</v>
      </c>
      <c r="D143" s="422"/>
      <c r="E143" s="423">
        <f>SUM(E144:E145)</f>
        <v>98</v>
      </c>
      <c r="F143" s="423">
        <f>SUM(F144:F145)</f>
        <v>98</v>
      </c>
      <c r="G143" s="423">
        <f>SUM(G144:G145)</f>
        <v>76.599999999999994</v>
      </c>
      <c r="H143" s="423">
        <f>SUM(H144:H145)</f>
        <v>21.4</v>
      </c>
      <c r="I143" s="422" t="s">
        <v>476</v>
      </c>
      <c r="J143" s="424" t="s">
        <v>283</v>
      </c>
      <c r="K143" s="425" t="s">
        <v>369</v>
      </c>
      <c r="L143" s="425" t="s">
        <v>369</v>
      </c>
      <c r="M143" s="422"/>
      <c r="N143" s="933" t="s">
        <v>477</v>
      </c>
    </row>
    <row r="144" spans="1:14" x14ac:dyDescent="0.2">
      <c r="A144" s="426"/>
      <c r="B144" s="427"/>
      <c r="C144" s="428"/>
      <c r="D144" s="428" t="s">
        <v>22</v>
      </c>
      <c r="E144" s="429">
        <v>14.7</v>
      </c>
      <c r="F144" s="429">
        <v>14.7</v>
      </c>
      <c r="G144" s="429">
        <v>11.5</v>
      </c>
      <c r="H144" s="429">
        <v>3.2</v>
      </c>
      <c r="I144" s="428"/>
      <c r="J144" s="430"/>
      <c r="K144" s="431"/>
      <c r="L144" s="431"/>
      <c r="M144" s="428"/>
      <c r="N144" s="934"/>
    </row>
    <row r="145" spans="1:14" ht="13.5" thickBot="1" x14ac:dyDescent="0.25">
      <c r="A145" s="426"/>
      <c r="B145" s="427"/>
      <c r="C145" s="428"/>
      <c r="D145" s="428" t="s">
        <v>154</v>
      </c>
      <c r="E145" s="429">
        <v>83.3</v>
      </c>
      <c r="F145" s="429">
        <v>83.3</v>
      </c>
      <c r="G145" s="429">
        <v>65.099999999999994</v>
      </c>
      <c r="H145" s="429">
        <v>18.2</v>
      </c>
      <c r="I145" s="428"/>
      <c r="J145" s="430"/>
      <c r="K145" s="431"/>
      <c r="L145" s="431"/>
      <c r="M145" s="428"/>
      <c r="N145" s="934"/>
    </row>
    <row r="146" spans="1:14" ht="90.75" thickBot="1" x14ac:dyDescent="0.25">
      <c r="A146" s="420" t="s">
        <v>478</v>
      </c>
      <c r="B146" s="421" t="s">
        <v>152</v>
      </c>
      <c r="C146" s="422" t="s">
        <v>479</v>
      </c>
      <c r="D146" s="422" t="s">
        <v>22</v>
      </c>
      <c r="E146" s="432">
        <v>100</v>
      </c>
      <c r="F146" s="432">
        <v>100</v>
      </c>
      <c r="G146" s="432">
        <v>40.799999999999997</v>
      </c>
      <c r="H146" s="432">
        <v>59.2</v>
      </c>
      <c r="I146" s="422" t="s">
        <v>316</v>
      </c>
      <c r="J146" s="424" t="s">
        <v>283</v>
      </c>
      <c r="K146" s="425" t="s">
        <v>480</v>
      </c>
      <c r="L146" s="425" t="s">
        <v>285</v>
      </c>
      <c r="M146" s="422" t="s">
        <v>481</v>
      </c>
      <c r="N146" s="933" t="s">
        <v>482</v>
      </c>
    </row>
    <row r="147" spans="1:14" ht="23.25" thickBot="1" x14ac:dyDescent="0.25">
      <c r="A147" s="420" t="s">
        <v>483</v>
      </c>
      <c r="B147" s="421" t="s">
        <v>484</v>
      </c>
      <c r="C147" s="422" t="s">
        <v>389</v>
      </c>
      <c r="D147" s="422" t="s">
        <v>59</v>
      </c>
      <c r="E147" s="432">
        <v>24.2</v>
      </c>
      <c r="F147" s="432">
        <v>24.2</v>
      </c>
      <c r="G147" s="432">
        <v>24.2</v>
      </c>
      <c r="H147" s="432">
        <v>0</v>
      </c>
      <c r="I147" s="422" t="s">
        <v>485</v>
      </c>
      <c r="J147" s="424" t="s">
        <v>283</v>
      </c>
      <c r="K147" s="425" t="s">
        <v>287</v>
      </c>
      <c r="L147" s="425" t="s">
        <v>287</v>
      </c>
      <c r="M147" s="422"/>
      <c r="N147" s="933" t="s">
        <v>392</v>
      </c>
    </row>
    <row r="148" spans="1:14" ht="60" x14ac:dyDescent="0.2">
      <c r="A148" s="420" t="s">
        <v>486</v>
      </c>
      <c r="B148" s="421" t="s">
        <v>151</v>
      </c>
      <c r="C148" s="422" t="s">
        <v>487</v>
      </c>
      <c r="D148" s="422"/>
      <c r="E148" s="423">
        <f>SUM(E149:E149)</f>
        <v>12</v>
      </c>
      <c r="F148" s="423">
        <f>SUM(F149:F149)</f>
        <v>12</v>
      </c>
      <c r="G148" s="423">
        <f>SUM(G149:G149)</f>
        <v>12</v>
      </c>
      <c r="H148" s="423">
        <f>SUM(H149:H149)</f>
        <v>0</v>
      </c>
      <c r="I148" s="422" t="s">
        <v>488</v>
      </c>
      <c r="J148" s="424" t="s">
        <v>283</v>
      </c>
      <c r="K148" s="425" t="s">
        <v>489</v>
      </c>
      <c r="L148" s="425" t="s">
        <v>383</v>
      </c>
      <c r="M148" s="422"/>
      <c r="N148" s="933" t="s">
        <v>588</v>
      </c>
    </row>
    <row r="149" spans="1:14" ht="13.5" thickBot="1" x14ac:dyDescent="0.25">
      <c r="A149" s="426"/>
      <c r="B149" s="427"/>
      <c r="C149" s="428"/>
      <c r="D149" s="428" t="s">
        <v>57</v>
      </c>
      <c r="E149" s="429">
        <v>12</v>
      </c>
      <c r="F149" s="429">
        <v>12</v>
      </c>
      <c r="G149" s="429">
        <v>12</v>
      </c>
      <c r="H149" s="429">
        <v>0</v>
      </c>
      <c r="I149" s="428"/>
      <c r="J149" s="430"/>
      <c r="K149" s="431"/>
      <c r="L149" s="431"/>
      <c r="M149" s="428"/>
      <c r="N149" s="934"/>
    </row>
    <row r="150" spans="1:14" ht="13.5" thickBot="1" x14ac:dyDescent="0.25">
      <c r="A150" s="420" t="s">
        <v>490</v>
      </c>
      <c r="B150" s="421" t="s">
        <v>214</v>
      </c>
      <c r="C150" s="422"/>
      <c r="D150" s="422" t="s">
        <v>22</v>
      </c>
      <c r="E150" s="432">
        <v>0</v>
      </c>
      <c r="F150" s="432">
        <v>2.8</v>
      </c>
      <c r="G150" s="432">
        <v>2</v>
      </c>
      <c r="H150" s="432">
        <v>0.8</v>
      </c>
      <c r="I150" s="422"/>
      <c r="J150" s="424"/>
      <c r="K150" s="425"/>
      <c r="L150" s="425"/>
      <c r="M150" s="422"/>
      <c r="N150" s="933"/>
    </row>
    <row r="151" spans="1:14" ht="34.5" thickBot="1" x14ac:dyDescent="0.25">
      <c r="A151" s="414" t="s">
        <v>491</v>
      </c>
      <c r="B151" s="415" t="s">
        <v>492</v>
      </c>
      <c r="C151" s="416"/>
      <c r="D151" s="416"/>
      <c r="E151" s="417">
        <f>E152+E185</f>
        <v>2432.4</v>
      </c>
      <c r="F151" s="417">
        <f>F152+F185</f>
        <v>4467.5</v>
      </c>
      <c r="G151" s="417">
        <f>G152+G185</f>
        <v>4419.6000000000004</v>
      </c>
      <c r="H151" s="417">
        <f>H152+H185</f>
        <v>47.9</v>
      </c>
      <c r="I151" s="416"/>
      <c r="J151" s="418"/>
      <c r="K151" s="419"/>
      <c r="L151" s="419"/>
      <c r="M151" s="416"/>
      <c r="N151" s="932"/>
    </row>
    <row r="152" spans="1:14" ht="23.25" thickBot="1" x14ac:dyDescent="0.25">
      <c r="A152" s="420" t="s">
        <v>493</v>
      </c>
      <c r="B152" s="421" t="s">
        <v>494</v>
      </c>
      <c r="C152" s="422" t="s">
        <v>424</v>
      </c>
      <c r="D152" s="422"/>
      <c r="E152" s="423">
        <f>E153+E158+E166+E167+E175+E178+E183+E184</f>
        <v>2348.5</v>
      </c>
      <c r="F152" s="423">
        <f>F153+F158+F166+F167+F175+F178+F183+F184</f>
        <v>4383.6000000000004</v>
      </c>
      <c r="G152" s="423">
        <f>G153+G158+G166+G167+G175+G178+G183+G184+0.1</f>
        <v>4352.3</v>
      </c>
      <c r="H152" s="423">
        <f>H153+H158+H166+H167+H175+H178+H183+H184-0.1</f>
        <v>31.3</v>
      </c>
      <c r="I152" s="422"/>
      <c r="J152" s="424"/>
      <c r="K152" s="425"/>
      <c r="L152" s="425"/>
      <c r="M152" s="422"/>
      <c r="N152" s="933"/>
    </row>
    <row r="153" spans="1:14" ht="204" x14ac:dyDescent="0.2">
      <c r="A153" s="420" t="s">
        <v>495</v>
      </c>
      <c r="B153" s="421" t="s">
        <v>496</v>
      </c>
      <c r="C153" s="422" t="s">
        <v>497</v>
      </c>
      <c r="D153" s="422"/>
      <c r="E153" s="423">
        <f>SUM(E154:E157)</f>
        <v>38.200000000000003</v>
      </c>
      <c r="F153" s="423">
        <f>SUM(F154:F157)</f>
        <v>1096.2</v>
      </c>
      <c r="G153" s="423">
        <f>SUM(G154:G157)-0.1</f>
        <v>1096.0999999999999</v>
      </c>
      <c r="H153" s="423">
        <f>SUM(H154:H157)+0.1</f>
        <v>0.1</v>
      </c>
      <c r="I153" s="422" t="s">
        <v>498</v>
      </c>
      <c r="J153" s="424" t="s">
        <v>443</v>
      </c>
      <c r="K153" s="425" t="s">
        <v>499</v>
      </c>
      <c r="L153" s="425" t="s">
        <v>589</v>
      </c>
      <c r="M153" s="422"/>
      <c r="N153" s="933" t="s">
        <v>590</v>
      </c>
    </row>
    <row r="154" spans="1:14" x14ac:dyDescent="0.2">
      <c r="A154" s="426"/>
      <c r="B154" s="427"/>
      <c r="C154" s="428"/>
      <c r="D154" s="428" t="s">
        <v>73</v>
      </c>
      <c r="E154" s="429">
        <v>0</v>
      </c>
      <c r="F154" s="429">
        <v>1020</v>
      </c>
      <c r="G154" s="429">
        <v>1020</v>
      </c>
      <c r="H154" s="429">
        <v>0</v>
      </c>
      <c r="I154" s="428"/>
      <c r="J154" s="430"/>
      <c r="K154" s="431"/>
      <c r="L154" s="431"/>
      <c r="M154" s="428"/>
      <c r="N154" s="934"/>
    </row>
    <row r="155" spans="1:14" x14ac:dyDescent="0.2">
      <c r="A155" s="426"/>
      <c r="B155" s="427"/>
      <c r="C155" s="428"/>
      <c r="D155" s="428" t="s">
        <v>51</v>
      </c>
      <c r="E155" s="429">
        <v>38.200000000000003</v>
      </c>
      <c r="F155" s="429">
        <v>38.200000000000003</v>
      </c>
      <c r="G155" s="429">
        <v>38.200000000000003</v>
      </c>
      <c r="H155" s="429">
        <v>0</v>
      </c>
      <c r="I155" s="428"/>
      <c r="J155" s="430"/>
      <c r="K155" s="431"/>
      <c r="L155" s="431"/>
      <c r="M155" s="428"/>
      <c r="N155" s="934"/>
    </row>
    <row r="156" spans="1:14" x14ac:dyDescent="0.2">
      <c r="A156" s="426"/>
      <c r="B156" s="427"/>
      <c r="C156" s="428"/>
      <c r="D156" s="428" t="s">
        <v>22</v>
      </c>
      <c r="E156" s="429">
        <v>0</v>
      </c>
      <c r="F156" s="429">
        <v>7.5</v>
      </c>
      <c r="G156" s="429">
        <v>7.5</v>
      </c>
      <c r="H156" s="429">
        <v>0</v>
      </c>
      <c r="I156" s="428"/>
      <c r="J156" s="430"/>
      <c r="K156" s="431"/>
      <c r="L156" s="431"/>
      <c r="M156" s="428"/>
      <c r="N156" s="934"/>
    </row>
    <row r="157" spans="1:14" ht="13.5" thickBot="1" x14ac:dyDescent="0.25">
      <c r="A157" s="426"/>
      <c r="B157" s="427"/>
      <c r="C157" s="428"/>
      <c r="D157" s="428" t="s">
        <v>57</v>
      </c>
      <c r="E157" s="429">
        <v>0</v>
      </c>
      <c r="F157" s="429">
        <v>30.5</v>
      </c>
      <c r="G157" s="429">
        <v>30.5</v>
      </c>
      <c r="H157" s="429">
        <v>0</v>
      </c>
      <c r="I157" s="428"/>
      <c r="J157" s="430"/>
      <c r="K157" s="431"/>
      <c r="L157" s="431"/>
      <c r="M157" s="428"/>
      <c r="N157" s="934"/>
    </row>
    <row r="158" spans="1:14" ht="67.5" x14ac:dyDescent="0.2">
      <c r="A158" s="420" t="s">
        <v>500</v>
      </c>
      <c r="B158" s="421" t="s">
        <v>76</v>
      </c>
      <c r="C158" s="422" t="s">
        <v>501</v>
      </c>
      <c r="D158" s="422"/>
      <c r="E158" s="423">
        <f>SUM(E159:E165)</f>
        <v>706.7</v>
      </c>
      <c r="F158" s="423">
        <f>SUM(F159:F165)</f>
        <v>1427.4</v>
      </c>
      <c r="G158" s="423">
        <f>SUM(G159:G165)</f>
        <v>1415.1</v>
      </c>
      <c r="H158" s="423">
        <f>SUM(H159:H165)</f>
        <v>12.3</v>
      </c>
      <c r="I158" s="422" t="s">
        <v>502</v>
      </c>
      <c r="J158" s="424" t="s">
        <v>443</v>
      </c>
      <c r="K158" s="425" t="s">
        <v>503</v>
      </c>
      <c r="L158" s="425" t="s">
        <v>591</v>
      </c>
      <c r="M158" s="422"/>
      <c r="N158" s="933" t="s">
        <v>504</v>
      </c>
    </row>
    <row r="159" spans="1:14" ht="36" x14ac:dyDescent="0.2">
      <c r="A159" s="426"/>
      <c r="B159" s="427"/>
      <c r="C159" s="428"/>
      <c r="D159" s="428"/>
      <c r="E159" s="429">
        <v>0</v>
      </c>
      <c r="F159" s="429">
        <v>0</v>
      </c>
      <c r="G159" s="429">
        <v>0</v>
      </c>
      <c r="H159" s="429">
        <v>0</v>
      </c>
      <c r="I159" s="428" t="s">
        <v>505</v>
      </c>
      <c r="J159" s="430" t="s">
        <v>443</v>
      </c>
      <c r="K159" s="431">
        <v>1.3</v>
      </c>
      <c r="L159" s="431" t="s">
        <v>506</v>
      </c>
      <c r="M159" s="428"/>
      <c r="N159" s="934" t="s">
        <v>592</v>
      </c>
    </row>
    <row r="160" spans="1:14" ht="132" x14ac:dyDescent="0.2">
      <c r="A160" s="426"/>
      <c r="B160" s="427"/>
      <c r="C160" s="428"/>
      <c r="D160" s="428"/>
      <c r="E160" s="429">
        <v>0</v>
      </c>
      <c r="F160" s="429">
        <v>0</v>
      </c>
      <c r="G160" s="429">
        <v>0</v>
      </c>
      <c r="H160" s="429">
        <v>0</v>
      </c>
      <c r="I160" s="428" t="s">
        <v>507</v>
      </c>
      <c r="J160" s="430" t="s">
        <v>443</v>
      </c>
      <c r="K160" s="431" t="s">
        <v>224</v>
      </c>
      <c r="L160" s="431" t="s">
        <v>593</v>
      </c>
      <c r="M160" s="428"/>
      <c r="N160" s="934" t="s">
        <v>594</v>
      </c>
    </row>
    <row r="161" spans="1:14" ht="36" x14ac:dyDescent="0.2">
      <c r="A161" s="426"/>
      <c r="B161" s="427"/>
      <c r="C161" s="428"/>
      <c r="D161" s="428"/>
      <c r="E161" s="429">
        <v>0</v>
      </c>
      <c r="F161" s="429">
        <v>0</v>
      </c>
      <c r="G161" s="429">
        <v>0</v>
      </c>
      <c r="H161" s="429">
        <v>0</v>
      </c>
      <c r="I161" s="428" t="s">
        <v>595</v>
      </c>
      <c r="J161" s="430" t="s">
        <v>443</v>
      </c>
      <c r="K161" s="431" t="s">
        <v>506</v>
      </c>
      <c r="L161" s="431" t="s">
        <v>596</v>
      </c>
      <c r="M161" s="428"/>
      <c r="N161" s="934" t="s">
        <v>597</v>
      </c>
    </row>
    <row r="162" spans="1:14" x14ac:dyDescent="0.2">
      <c r="A162" s="426"/>
      <c r="B162" s="427"/>
      <c r="C162" s="428"/>
      <c r="D162" s="428" t="s">
        <v>39</v>
      </c>
      <c r="E162" s="429">
        <v>0</v>
      </c>
      <c r="F162" s="429">
        <v>47.9</v>
      </c>
      <c r="G162" s="429">
        <v>47.9</v>
      </c>
      <c r="H162" s="429">
        <v>0</v>
      </c>
      <c r="I162" s="428"/>
      <c r="J162" s="430"/>
      <c r="K162" s="431"/>
      <c r="L162" s="431"/>
      <c r="M162" s="428"/>
      <c r="N162" s="934"/>
    </row>
    <row r="163" spans="1:14" x14ac:dyDescent="0.2">
      <c r="A163" s="426"/>
      <c r="B163" s="427"/>
      <c r="C163" s="428"/>
      <c r="D163" s="428" t="s">
        <v>22</v>
      </c>
      <c r="E163" s="429">
        <v>706.7</v>
      </c>
      <c r="F163" s="429">
        <v>897</v>
      </c>
      <c r="G163" s="429">
        <v>897</v>
      </c>
      <c r="H163" s="429">
        <v>0</v>
      </c>
      <c r="I163" s="428"/>
      <c r="J163" s="430"/>
      <c r="K163" s="431"/>
      <c r="L163" s="431"/>
      <c r="M163" s="428"/>
      <c r="N163" s="934"/>
    </row>
    <row r="164" spans="1:14" x14ac:dyDescent="0.2">
      <c r="A164" s="426"/>
      <c r="B164" s="427"/>
      <c r="C164" s="428"/>
      <c r="D164" s="428" t="s">
        <v>73</v>
      </c>
      <c r="E164" s="429">
        <v>0</v>
      </c>
      <c r="F164" s="429">
        <v>377.5</v>
      </c>
      <c r="G164" s="429">
        <v>365.2</v>
      </c>
      <c r="H164" s="429">
        <v>12.3</v>
      </c>
      <c r="I164" s="428"/>
      <c r="J164" s="430"/>
      <c r="K164" s="431"/>
      <c r="L164" s="431"/>
      <c r="M164" s="428"/>
      <c r="N164" s="934"/>
    </row>
    <row r="165" spans="1:14" ht="13.5" thickBot="1" x14ac:dyDescent="0.25">
      <c r="A165" s="426"/>
      <c r="B165" s="427"/>
      <c r="C165" s="428"/>
      <c r="D165" s="428" t="s">
        <v>57</v>
      </c>
      <c r="E165" s="429">
        <v>0</v>
      </c>
      <c r="F165" s="429">
        <v>105</v>
      </c>
      <c r="G165" s="429">
        <v>105</v>
      </c>
      <c r="H165" s="429">
        <v>0</v>
      </c>
      <c r="I165" s="428"/>
      <c r="J165" s="430"/>
      <c r="K165" s="431"/>
      <c r="L165" s="431"/>
      <c r="M165" s="428"/>
      <c r="N165" s="934"/>
    </row>
    <row r="166" spans="1:14" ht="72.75" thickBot="1" x14ac:dyDescent="0.25">
      <c r="A166" s="420" t="s">
        <v>508</v>
      </c>
      <c r="B166" s="421" t="s">
        <v>44</v>
      </c>
      <c r="C166" s="422" t="s">
        <v>497</v>
      </c>
      <c r="D166" s="422" t="s">
        <v>22</v>
      </c>
      <c r="E166" s="432">
        <v>400</v>
      </c>
      <c r="F166" s="432">
        <v>400</v>
      </c>
      <c r="G166" s="432">
        <v>399.9</v>
      </c>
      <c r="H166" s="432">
        <v>0.1</v>
      </c>
      <c r="I166" s="422" t="s">
        <v>509</v>
      </c>
      <c r="J166" s="424" t="s">
        <v>443</v>
      </c>
      <c r="K166" s="425" t="s">
        <v>510</v>
      </c>
      <c r="L166" s="425" t="s">
        <v>598</v>
      </c>
      <c r="M166" s="422"/>
      <c r="N166" s="933" t="s">
        <v>599</v>
      </c>
    </row>
    <row r="167" spans="1:14" ht="22.5" x14ac:dyDescent="0.2">
      <c r="A167" s="420" t="s">
        <v>511</v>
      </c>
      <c r="B167" s="421" t="s">
        <v>512</v>
      </c>
      <c r="C167" s="422" t="s">
        <v>513</v>
      </c>
      <c r="D167" s="422"/>
      <c r="E167" s="423">
        <f>SUM(E168:E174)</f>
        <v>482.9</v>
      </c>
      <c r="F167" s="423">
        <f>SUM(F168:F174)</f>
        <v>642.79999999999995</v>
      </c>
      <c r="G167" s="423">
        <f>SUM(G168:G174)</f>
        <v>642.79999999999995</v>
      </c>
      <c r="H167" s="423">
        <f>SUM(H168:H174)</f>
        <v>0</v>
      </c>
      <c r="I167" s="422" t="s">
        <v>514</v>
      </c>
      <c r="J167" s="424" t="s">
        <v>443</v>
      </c>
      <c r="K167" s="425" t="s">
        <v>285</v>
      </c>
      <c r="L167" s="425" t="s">
        <v>285</v>
      </c>
      <c r="M167" s="422"/>
      <c r="N167" s="933" t="s">
        <v>600</v>
      </c>
    </row>
    <row r="168" spans="1:14" ht="22.5" x14ac:dyDescent="0.2">
      <c r="A168" s="426"/>
      <c r="B168" s="427"/>
      <c r="C168" s="428"/>
      <c r="D168" s="428"/>
      <c r="E168" s="429">
        <v>0</v>
      </c>
      <c r="F168" s="429">
        <v>0</v>
      </c>
      <c r="G168" s="429">
        <v>0</v>
      </c>
      <c r="H168" s="429">
        <v>0</v>
      </c>
      <c r="I168" s="428" t="s">
        <v>515</v>
      </c>
      <c r="J168" s="430" t="s">
        <v>443</v>
      </c>
      <c r="K168" s="431" t="s">
        <v>232</v>
      </c>
      <c r="L168" s="431" t="s">
        <v>601</v>
      </c>
      <c r="M168" s="428"/>
      <c r="N168" s="934" t="s">
        <v>602</v>
      </c>
    </row>
    <row r="169" spans="1:14" ht="84" x14ac:dyDescent="0.2">
      <c r="A169" s="426"/>
      <c r="B169" s="427"/>
      <c r="C169" s="428"/>
      <c r="D169" s="428"/>
      <c r="E169" s="429">
        <v>0</v>
      </c>
      <c r="F169" s="429">
        <v>0</v>
      </c>
      <c r="G169" s="429">
        <v>0</v>
      </c>
      <c r="H169" s="429">
        <v>0</v>
      </c>
      <c r="I169" s="428" t="s">
        <v>517</v>
      </c>
      <c r="J169" s="430" t="s">
        <v>443</v>
      </c>
      <c r="K169" s="431" t="s">
        <v>603</v>
      </c>
      <c r="L169" s="431" t="s">
        <v>604</v>
      </c>
      <c r="M169" s="428"/>
      <c r="N169" s="934" t="s">
        <v>605</v>
      </c>
    </row>
    <row r="170" spans="1:14" ht="45" x14ac:dyDescent="0.2">
      <c r="A170" s="426"/>
      <c r="B170" s="427"/>
      <c r="C170" s="428"/>
      <c r="D170" s="428"/>
      <c r="E170" s="429">
        <v>0</v>
      </c>
      <c r="F170" s="429">
        <v>0</v>
      </c>
      <c r="G170" s="429">
        <v>0</v>
      </c>
      <c r="H170" s="429">
        <v>0</v>
      </c>
      <c r="I170" s="428" t="s">
        <v>518</v>
      </c>
      <c r="J170" s="430" t="s">
        <v>443</v>
      </c>
      <c r="K170" s="431" t="s">
        <v>285</v>
      </c>
      <c r="L170" s="431" t="s">
        <v>285</v>
      </c>
      <c r="M170" s="428"/>
      <c r="N170" s="934" t="s">
        <v>606</v>
      </c>
    </row>
    <row r="171" spans="1:14" ht="36" x14ac:dyDescent="0.2">
      <c r="A171" s="426"/>
      <c r="B171" s="427"/>
      <c r="C171" s="428"/>
      <c r="D171" s="428"/>
      <c r="E171" s="429">
        <v>0</v>
      </c>
      <c r="F171" s="429">
        <v>0</v>
      </c>
      <c r="G171" s="429">
        <v>0</v>
      </c>
      <c r="H171" s="429">
        <v>0</v>
      </c>
      <c r="I171" s="428" t="s">
        <v>235</v>
      </c>
      <c r="J171" s="430" t="s">
        <v>283</v>
      </c>
      <c r="K171" s="431" t="s">
        <v>287</v>
      </c>
      <c r="L171" s="431" t="s">
        <v>285</v>
      </c>
      <c r="M171" s="428"/>
      <c r="N171" s="934" t="s">
        <v>516</v>
      </c>
    </row>
    <row r="172" spans="1:14" x14ac:dyDescent="0.2">
      <c r="A172" s="426"/>
      <c r="B172" s="427"/>
      <c r="C172" s="428"/>
      <c r="D172" s="428" t="s">
        <v>59</v>
      </c>
      <c r="E172" s="429">
        <v>287.89999999999998</v>
      </c>
      <c r="F172" s="429">
        <v>287.89999999999998</v>
      </c>
      <c r="G172" s="429">
        <v>287.89999999999998</v>
      </c>
      <c r="H172" s="429">
        <v>0</v>
      </c>
      <c r="I172" s="428"/>
      <c r="J172" s="430"/>
      <c r="K172" s="431"/>
      <c r="L172" s="431"/>
      <c r="M172" s="428"/>
      <c r="N172" s="934"/>
    </row>
    <row r="173" spans="1:14" x14ac:dyDescent="0.2">
      <c r="A173" s="426"/>
      <c r="B173" s="427"/>
      <c r="C173" s="428"/>
      <c r="D173" s="428" t="s">
        <v>57</v>
      </c>
      <c r="E173" s="429">
        <v>195</v>
      </c>
      <c r="F173" s="429">
        <v>87.1</v>
      </c>
      <c r="G173" s="429">
        <v>87.1</v>
      </c>
      <c r="H173" s="429">
        <v>0</v>
      </c>
      <c r="I173" s="428"/>
      <c r="J173" s="430"/>
      <c r="K173" s="431"/>
      <c r="L173" s="431"/>
      <c r="M173" s="428"/>
      <c r="N173" s="934"/>
    </row>
    <row r="174" spans="1:14" ht="13.5" thickBot="1" x14ac:dyDescent="0.25">
      <c r="A174" s="426"/>
      <c r="B174" s="427"/>
      <c r="C174" s="428"/>
      <c r="D174" s="428" t="s">
        <v>73</v>
      </c>
      <c r="E174" s="429">
        <v>0</v>
      </c>
      <c r="F174" s="429">
        <v>267.8</v>
      </c>
      <c r="G174" s="429">
        <v>267.8</v>
      </c>
      <c r="H174" s="429">
        <v>0</v>
      </c>
      <c r="I174" s="428"/>
      <c r="J174" s="430"/>
      <c r="K174" s="431"/>
      <c r="L174" s="431"/>
      <c r="M174" s="428"/>
      <c r="N174" s="934"/>
    </row>
    <row r="175" spans="1:14" ht="382.5" x14ac:dyDescent="0.2">
      <c r="A175" s="420" t="s">
        <v>519</v>
      </c>
      <c r="B175" s="421" t="s">
        <v>75</v>
      </c>
      <c r="C175" s="422" t="s">
        <v>520</v>
      </c>
      <c r="D175" s="422"/>
      <c r="E175" s="423">
        <f>SUM(E176:E177)</f>
        <v>592.70000000000005</v>
      </c>
      <c r="F175" s="423">
        <f>SUM(F176:F177)</f>
        <v>548.9</v>
      </c>
      <c r="G175" s="423">
        <f>SUM(G176:G177)</f>
        <v>548.79999999999995</v>
      </c>
      <c r="H175" s="423">
        <f>SUM(H176:H177)</f>
        <v>0.1</v>
      </c>
      <c r="I175" s="422" t="s">
        <v>521</v>
      </c>
      <c r="J175" s="424" t="s">
        <v>368</v>
      </c>
      <c r="K175" s="425" t="s">
        <v>398</v>
      </c>
      <c r="L175" s="425" t="s">
        <v>383</v>
      </c>
      <c r="M175" s="422" t="s">
        <v>522</v>
      </c>
      <c r="N175" s="933" t="s">
        <v>607</v>
      </c>
    </row>
    <row r="176" spans="1:14" x14ac:dyDescent="0.2">
      <c r="A176" s="426"/>
      <c r="B176" s="427"/>
      <c r="C176" s="428"/>
      <c r="D176" s="428" t="s">
        <v>51</v>
      </c>
      <c r="E176" s="429">
        <v>61.7</v>
      </c>
      <c r="F176" s="429">
        <v>61.7</v>
      </c>
      <c r="G176" s="429">
        <v>61.7</v>
      </c>
      <c r="H176" s="429">
        <v>0</v>
      </c>
      <c r="I176" s="428"/>
      <c r="J176" s="430"/>
      <c r="K176" s="431"/>
      <c r="L176" s="431"/>
      <c r="M176" s="428"/>
      <c r="N176" s="934"/>
    </row>
    <row r="177" spans="1:14" ht="13.5" thickBot="1" x14ac:dyDescent="0.25">
      <c r="A177" s="426"/>
      <c r="B177" s="427"/>
      <c r="C177" s="428"/>
      <c r="D177" s="428" t="s">
        <v>22</v>
      </c>
      <c r="E177" s="429">
        <v>531</v>
      </c>
      <c r="F177" s="429">
        <v>487.2</v>
      </c>
      <c r="G177" s="429">
        <v>487.1</v>
      </c>
      <c r="H177" s="429">
        <v>0.1</v>
      </c>
      <c r="I177" s="428"/>
      <c r="J177" s="430"/>
      <c r="K177" s="431"/>
      <c r="L177" s="431"/>
      <c r="M177" s="428"/>
      <c r="N177" s="934"/>
    </row>
    <row r="178" spans="1:14" ht="132" x14ac:dyDescent="0.2">
      <c r="A178" s="420" t="s">
        <v>523</v>
      </c>
      <c r="B178" s="421" t="s">
        <v>33</v>
      </c>
      <c r="C178" s="422" t="s">
        <v>524</v>
      </c>
      <c r="D178" s="422"/>
      <c r="E178" s="423">
        <f>SUM(E179:E182)</f>
        <v>128</v>
      </c>
      <c r="F178" s="423">
        <f>SUM(F179:F182)</f>
        <v>247</v>
      </c>
      <c r="G178" s="423">
        <f>SUM(G179:G182)</f>
        <v>246.4</v>
      </c>
      <c r="H178" s="423">
        <f>SUM(H179:H182)</f>
        <v>0.6</v>
      </c>
      <c r="I178" s="422" t="s">
        <v>525</v>
      </c>
      <c r="J178" s="424" t="s">
        <v>283</v>
      </c>
      <c r="K178" s="425" t="s">
        <v>449</v>
      </c>
      <c r="L178" s="425" t="s">
        <v>344</v>
      </c>
      <c r="M178" s="422"/>
      <c r="N178" s="933" t="s">
        <v>608</v>
      </c>
    </row>
    <row r="179" spans="1:14" x14ac:dyDescent="0.2">
      <c r="A179" s="426"/>
      <c r="B179" s="427"/>
      <c r="C179" s="428"/>
      <c r="D179" s="428" t="s">
        <v>22</v>
      </c>
      <c r="E179" s="429">
        <v>93</v>
      </c>
      <c r="F179" s="429">
        <v>114.4</v>
      </c>
      <c r="G179" s="429">
        <v>114.4</v>
      </c>
      <c r="H179" s="429">
        <v>0</v>
      </c>
      <c r="I179" s="428"/>
      <c r="J179" s="430"/>
      <c r="K179" s="431"/>
      <c r="L179" s="431"/>
      <c r="M179" s="428"/>
      <c r="N179" s="934"/>
    </row>
    <row r="180" spans="1:14" x14ac:dyDescent="0.2">
      <c r="A180" s="426"/>
      <c r="B180" s="427"/>
      <c r="C180" s="428"/>
      <c r="D180" s="428" t="s">
        <v>51</v>
      </c>
      <c r="E180" s="429">
        <v>35</v>
      </c>
      <c r="F180" s="429">
        <v>66.900000000000006</v>
      </c>
      <c r="G180" s="429">
        <v>66.900000000000006</v>
      </c>
      <c r="H180" s="429">
        <v>0</v>
      </c>
      <c r="I180" s="428"/>
      <c r="J180" s="430"/>
      <c r="K180" s="431"/>
      <c r="L180" s="431"/>
      <c r="M180" s="428"/>
      <c r="N180" s="934"/>
    </row>
    <row r="181" spans="1:14" x14ac:dyDescent="0.2">
      <c r="A181" s="426"/>
      <c r="B181" s="427"/>
      <c r="C181" s="428"/>
      <c r="D181" s="428" t="s">
        <v>59</v>
      </c>
      <c r="E181" s="429">
        <v>0</v>
      </c>
      <c r="F181" s="429">
        <v>4.7</v>
      </c>
      <c r="G181" s="429">
        <v>4.7</v>
      </c>
      <c r="H181" s="429">
        <v>0</v>
      </c>
      <c r="I181" s="428"/>
      <c r="J181" s="430"/>
      <c r="K181" s="431"/>
      <c r="L181" s="431"/>
      <c r="M181" s="428"/>
      <c r="N181" s="934"/>
    </row>
    <row r="182" spans="1:14" ht="13.5" thickBot="1" x14ac:dyDescent="0.25">
      <c r="A182" s="426"/>
      <c r="B182" s="427"/>
      <c r="C182" s="428"/>
      <c r="D182" s="428" t="s">
        <v>73</v>
      </c>
      <c r="E182" s="429">
        <v>0</v>
      </c>
      <c r="F182" s="429">
        <v>61</v>
      </c>
      <c r="G182" s="429">
        <v>60.4</v>
      </c>
      <c r="H182" s="429">
        <v>0.6</v>
      </c>
      <c r="I182" s="428"/>
      <c r="J182" s="430"/>
      <c r="K182" s="431"/>
      <c r="L182" s="431"/>
      <c r="M182" s="428"/>
      <c r="N182" s="934"/>
    </row>
    <row r="183" spans="1:14" ht="45.75" thickBot="1" x14ac:dyDescent="0.25">
      <c r="A183" s="420" t="s">
        <v>526</v>
      </c>
      <c r="B183" s="421" t="s">
        <v>527</v>
      </c>
      <c r="C183" s="422" t="s">
        <v>528</v>
      </c>
      <c r="D183" s="422" t="s">
        <v>73</v>
      </c>
      <c r="E183" s="432">
        <v>0</v>
      </c>
      <c r="F183" s="432">
        <v>8</v>
      </c>
      <c r="G183" s="432">
        <v>3.1</v>
      </c>
      <c r="H183" s="432">
        <v>4.9000000000000004</v>
      </c>
      <c r="I183" s="422" t="s">
        <v>529</v>
      </c>
      <c r="J183" s="424" t="s">
        <v>283</v>
      </c>
      <c r="K183" s="425" t="s">
        <v>530</v>
      </c>
      <c r="L183" s="425" t="s">
        <v>609</v>
      </c>
      <c r="M183" s="422"/>
      <c r="N183" s="933" t="s">
        <v>610</v>
      </c>
    </row>
    <row r="184" spans="1:14" ht="45.75" thickBot="1" x14ac:dyDescent="0.25">
      <c r="A184" s="420" t="s">
        <v>531</v>
      </c>
      <c r="B184" s="421" t="s">
        <v>532</v>
      </c>
      <c r="C184" s="422" t="s">
        <v>528</v>
      </c>
      <c r="D184" s="422" t="s">
        <v>73</v>
      </c>
      <c r="E184" s="432">
        <v>0</v>
      </c>
      <c r="F184" s="432">
        <v>13.3</v>
      </c>
      <c r="G184" s="432">
        <v>0</v>
      </c>
      <c r="H184" s="432">
        <v>13.3</v>
      </c>
      <c r="I184" s="422" t="s">
        <v>316</v>
      </c>
      <c r="J184" s="424" t="s">
        <v>283</v>
      </c>
      <c r="K184" s="425" t="s">
        <v>287</v>
      </c>
      <c r="L184" s="425" t="s">
        <v>285</v>
      </c>
      <c r="M184" s="422"/>
      <c r="N184" s="933" t="s">
        <v>611</v>
      </c>
    </row>
    <row r="185" spans="1:14" ht="23.25" thickBot="1" x14ac:dyDescent="0.25">
      <c r="A185" s="420" t="s">
        <v>533</v>
      </c>
      <c r="B185" s="421" t="s">
        <v>534</v>
      </c>
      <c r="C185" s="422" t="s">
        <v>353</v>
      </c>
      <c r="D185" s="422"/>
      <c r="E185" s="423">
        <f>SUM(E186:E186)</f>
        <v>83.9</v>
      </c>
      <c r="F185" s="423">
        <f>SUM(F186:F186)</f>
        <v>83.9</v>
      </c>
      <c r="G185" s="423">
        <f>SUM(G186:G186)</f>
        <v>67.3</v>
      </c>
      <c r="H185" s="423">
        <f>SUM(H186:H186)</f>
        <v>16.600000000000001</v>
      </c>
      <c r="I185" s="422"/>
      <c r="J185" s="424"/>
      <c r="K185" s="425"/>
      <c r="L185" s="425"/>
      <c r="M185" s="422"/>
      <c r="N185" s="933"/>
    </row>
    <row r="186" spans="1:14" ht="48" x14ac:dyDescent="0.2">
      <c r="A186" s="420" t="s">
        <v>535</v>
      </c>
      <c r="B186" s="421" t="s">
        <v>534</v>
      </c>
      <c r="C186" s="422" t="s">
        <v>290</v>
      </c>
      <c r="D186" s="422"/>
      <c r="E186" s="423">
        <f>SUM(E187:E188)</f>
        <v>83.9</v>
      </c>
      <c r="F186" s="423">
        <f>SUM(F187:F188)</f>
        <v>83.9</v>
      </c>
      <c r="G186" s="423">
        <f>SUM(G187:G188)</f>
        <v>67.3</v>
      </c>
      <c r="H186" s="423">
        <f>SUM(H187:H188)</f>
        <v>16.600000000000001</v>
      </c>
      <c r="I186" s="422" t="s">
        <v>536</v>
      </c>
      <c r="J186" s="424" t="s">
        <v>283</v>
      </c>
      <c r="K186" s="425" t="s">
        <v>285</v>
      </c>
      <c r="L186" s="425" t="s">
        <v>285</v>
      </c>
      <c r="M186" s="422"/>
      <c r="N186" s="933" t="s">
        <v>612</v>
      </c>
    </row>
    <row r="187" spans="1:14" ht="22.5" x14ac:dyDescent="0.2">
      <c r="A187" s="426"/>
      <c r="B187" s="427"/>
      <c r="C187" s="428"/>
      <c r="D187" s="428"/>
      <c r="E187" s="429">
        <v>0</v>
      </c>
      <c r="F187" s="429">
        <v>0</v>
      </c>
      <c r="G187" s="429">
        <v>0</v>
      </c>
      <c r="H187" s="429">
        <v>0</v>
      </c>
      <c r="I187" s="428" t="s">
        <v>150</v>
      </c>
      <c r="J187" s="430" t="s">
        <v>297</v>
      </c>
      <c r="K187" s="431" t="s">
        <v>298</v>
      </c>
      <c r="L187" s="431" t="s">
        <v>298</v>
      </c>
      <c r="M187" s="428"/>
      <c r="N187" s="934" t="s">
        <v>565</v>
      </c>
    </row>
    <row r="188" spans="1:14" ht="13.5" thickBot="1" x14ac:dyDescent="0.25">
      <c r="A188" s="433"/>
      <c r="B188" s="434"/>
      <c r="C188" s="435"/>
      <c r="D188" s="435" t="s">
        <v>51</v>
      </c>
      <c r="E188" s="436">
        <v>83.9</v>
      </c>
      <c r="F188" s="436">
        <v>83.9</v>
      </c>
      <c r="G188" s="436">
        <v>67.3</v>
      </c>
      <c r="H188" s="436">
        <v>16.600000000000001</v>
      </c>
      <c r="I188" s="435"/>
      <c r="J188" s="437"/>
      <c r="K188" s="438"/>
      <c r="L188" s="438"/>
      <c r="M188" s="435"/>
      <c r="N188" s="935"/>
    </row>
    <row r="189" spans="1:14" x14ac:dyDescent="0.2">
      <c r="A189" s="439"/>
      <c r="B189" s="439"/>
      <c r="C189" s="440"/>
      <c r="D189" s="440"/>
      <c r="E189" s="441"/>
      <c r="F189" s="441"/>
      <c r="G189" s="441"/>
      <c r="H189" s="441"/>
      <c r="I189" s="440"/>
      <c r="J189" s="442"/>
      <c r="K189" s="443"/>
      <c r="L189" s="443"/>
      <c r="M189" s="440"/>
      <c r="N189" s="936"/>
    </row>
    <row r="190" spans="1:14" x14ac:dyDescent="0.2">
      <c r="A190" s="439"/>
      <c r="B190" s="439"/>
      <c r="C190" s="440"/>
      <c r="D190" s="440"/>
      <c r="E190" s="441"/>
      <c r="F190" s="441"/>
      <c r="G190" s="441"/>
      <c r="H190" s="441"/>
      <c r="I190" s="440"/>
      <c r="J190" s="442"/>
      <c r="K190" s="443"/>
      <c r="L190" s="443"/>
      <c r="M190" s="440"/>
      <c r="N190" s="936"/>
    </row>
    <row r="191" spans="1:14" x14ac:dyDescent="0.2">
      <c r="A191" s="439"/>
      <c r="B191" s="439"/>
      <c r="C191" s="440"/>
      <c r="D191" s="440"/>
      <c r="E191" s="441"/>
      <c r="F191" s="441"/>
      <c r="G191" s="441"/>
      <c r="H191" s="441"/>
      <c r="I191" s="440"/>
      <c r="J191" s="442"/>
      <c r="K191" s="443"/>
      <c r="L191" s="443"/>
      <c r="M191" s="440"/>
      <c r="N191" s="936"/>
    </row>
    <row r="192" spans="1:14" x14ac:dyDescent="0.2">
      <c r="A192" s="439"/>
      <c r="B192" s="439"/>
      <c r="C192" s="440"/>
      <c r="D192" s="440"/>
      <c r="E192" s="441"/>
      <c r="F192" s="441"/>
      <c r="G192" s="441"/>
      <c r="H192" s="441"/>
      <c r="I192" s="440"/>
      <c r="J192" s="442"/>
      <c r="K192" s="443"/>
      <c r="L192" s="443"/>
      <c r="M192" s="440"/>
      <c r="N192" s="936"/>
    </row>
    <row r="193" spans="1:14" x14ac:dyDescent="0.2">
      <c r="A193" s="439"/>
      <c r="B193" s="439"/>
      <c r="C193" s="440"/>
      <c r="D193" s="440"/>
      <c r="E193" s="441"/>
      <c r="F193" s="441"/>
      <c r="G193" s="441"/>
      <c r="H193" s="441"/>
      <c r="I193" s="440"/>
      <c r="J193" s="442"/>
      <c r="K193" s="443"/>
      <c r="L193" s="443"/>
      <c r="M193" s="440"/>
      <c r="N193" s="936"/>
    </row>
    <row r="194" spans="1:14" ht="48" x14ac:dyDescent="0.2">
      <c r="A194" s="362" t="s">
        <v>258</v>
      </c>
      <c r="B194" s="362" t="s">
        <v>259</v>
      </c>
      <c r="C194" s="362" t="s">
        <v>263</v>
      </c>
      <c r="D194" s="362" t="s">
        <v>264</v>
      </c>
      <c r="E194" s="362" t="s">
        <v>265</v>
      </c>
    </row>
    <row r="195" spans="1:14" x14ac:dyDescent="0.2">
      <c r="A195" s="427" t="s">
        <v>38</v>
      </c>
      <c r="B195" s="427" t="s">
        <v>537</v>
      </c>
      <c r="C195" s="429">
        <v>490.5</v>
      </c>
      <c r="D195" s="429">
        <v>0</v>
      </c>
      <c r="E195" s="429">
        <v>490.5</v>
      </c>
    </row>
    <row r="196" spans="1:14" x14ac:dyDescent="0.2">
      <c r="A196" s="427" t="s">
        <v>73</v>
      </c>
      <c r="B196" s="427" t="s">
        <v>538</v>
      </c>
      <c r="C196" s="429">
        <v>4666.3999999999996</v>
      </c>
      <c r="D196" s="429">
        <v>4388.1000000000004</v>
      </c>
      <c r="E196" s="429">
        <v>278.3</v>
      </c>
    </row>
    <row r="197" spans="1:14" ht="22.5" x14ac:dyDescent="0.2">
      <c r="A197" s="427" t="s">
        <v>51</v>
      </c>
      <c r="B197" s="427" t="s">
        <v>539</v>
      </c>
      <c r="C197" s="429">
        <v>4307.3999999999996</v>
      </c>
      <c r="D197" s="429">
        <v>3663.9</v>
      </c>
      <c r="E197" s="429">
        <v>643.5</v>
      </c>
    </row>
    <row r="198" spans="1:14" x14ac:dyDescent="0.2">
      <c r="A198" s="427" t="s">
        <v>57</v>
      </c>
      <c r="B198" s="427" t="s">
        <v>540</v>
      </c>
      <c r="C198" s="429">
        <v>1770.6</v>
      </c>
      <c r="D198" s="429">
        <v>1770.5</v>
      </c>
      <c r="E198" s="429">
        <v>0.1</v>
      </c>
    </row>
    <row r="199" spans="1:14" x14ac:dyDescent="0.2">
      <c r="A199" s="427" t="s">
        <v>59</v>
      </c>
      <c r="B199" s="427" t="s">
        <v>541</v>
      </c>
      <c r="C199" s="429">
        <v>901</v>
      </c>
      <c r="D199" s="429">
        <v>901</v>
      </c>
      <c r="E199" s="429">
        <v>0</v>
      </c>
    </row>
    <row r="200" spans="1:14" x14ac:dyDescent="0.2">
      <c r="A200" s="427" t="s">
        <v>39</v>
      </c>
      <c r="B200" s="427" t="s">
        <v>542</v>
      </c>
      <c r="C200" s="429">
        <v>174.3</v>
      </c>
      <c r="D200" s="429">
        <v>47.9</v>
      </c>
      <c r="E200" s="429">
        <v>126.4</v>
      </c>
    </row>
    <row r="201" spans="1:14" x14ac:dyDescent="0.2">
      <c r="A201" s="427" t="s">
        <v>299</v>
      </c>
      <c r="B201" s="427" t="s">
        <v>543</v>
      </c>
      <c r="C201" s="429">
        <v>688.5</v>
      </c>
      <c r="D201" s="429">
        <v>476.7</v>
      </c>
      <c r="E201" s="429">
        <v>211.8</v>
      </c>
    </row>
    <row r="202" spans="1:14" x14ac:dyDescent="0.2">
      <c r="A202" s="427" t="s">
        <v>72</v>
      </c>
      <c r="B202" s="427" t="s">
        <v>544</v>
      </c>
      <c r="C202" s="429">
        <v>480.6</v>
      </c>
      <c r="D202" s="429">
        <v>151.9</v>
      </c>
      <c r="E202" s="429">
        <v>328.7</v>
      </c>
    </row>
    <row r="203" spans="1:14" x14ac:dyDescent="0.2">
      <c r="A203" s="427" t="s">
        <v>42</v>
      </c>
      <c r="B203" s="427" t="s">
        <v>545</v>
      </c>
      <c r="C203" s="429">
        <v>1662.4</v>
      </c>
      <c r="D203" s="429">
        <v>1505.5</v>
      </c>
      <c r="E203" s="429">
        <v>156.9</v>
      </c>
    </row>
    <row r="204" spans="1:14" x14ac:dyDescent="0.2">
      <c r="A204" s="427" t="s">
        <v>22</v>
      </c>
      <c r="B204" s="427" t="s">
        <v>546</v>
      </c>
      <c r="C204" s="429">
        <v>7910.3</v>
      </c>
      <c r="D204" s="429">
        <v>6228.5</v>
      </c>
      <c r="E204" s="429">
        <v>1681.8</v>
      </c>
      <c r="G204" s="1027"/>
    </row>
    <row r="205" spans="1:14" ht="22.5" x14ac:dyDescent="0.2">
      <c r="A205" s="427" t="s">
        <v>154</v>
      </c>
      <c r="B205" s="427" t="s">
        <v>547</v>
      </c>
      <c r="C205" s="429">
        <v>4406.2</v>
      </c>
      <c r="D205" s="429">
        <v>4388</v>
      </c>
      <c r="E205" s="429">
        <v>18.2</v>
      </c>
    </row>
    <row r="206" spans="1:14" x14ac:dyDescent="0.2">
      <c r="A206" s="444"/>
      <c r="B206" s="445" t="s">
        <v>14</v>
      </c>
      <c r="C206" s="446">
        <f>SUM(C195:C205)</f>
        <v>27458.2</v>
      </c>
      <c r="D206" s="446">
        <f>SUM(D195:D205)</f>
        <v>23522</v>
      </c>
      <c r="E206" s="446">
        <f>SUM(E195:E205)</f>
        <v>3936.2</v>
      </c>
    </row>
    <row r="212" spans="3:3" x14ac:dyDescent="0.2">
      <c r="C212" s="1027"/>
    </row>
  </sheetData>
  <pageMargins left="0" right="0" top="0.19685039370078741" bottom="0.19685039370078741"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20"/>
  <sheetViews>
    <sheetView topLeftCell="A276" workbookViewId="0">
      <selection activeCell="O73" sqref="O73"/>
    </sheetView>
  </sheetViews>
  <sheetFormatPr defaultColWidth="9.140625" defaultRowHeight="12.75" x14ac:dyDescent="0.2"/>
  <cols>
    <col min="1" max="3" width="2.7109375" style="2" customWidth="1"/>
    <col min="4" max="4" width="3.140625" style="2" customWidth="1"/>
    <col min="5" max="5" width="36.28515625" style="2" customWidth="1"/>
    <col min="6" max="6" width="3.28515625" style="7" customWidth="1"/>
    <col min="7" max="7" width="3" style="10" customWidth="1"/>
    <col min="8" max="8" width="10.28515625" style="10" customWidth="1"/>
    <col min="9" max="9" width="8.85546875" style="3" customWidth="1"/>
    <col min="10" max="10" width="10.28515625" style="2" customWidth="1"/>
    <col min="11" max="12" width="9.85546875" style="2" customWidth="1"/>
    <col min="13" max="13" width="39.85546875" style="2" customWidth="1"/>
    <col min="14" max="14" width="6.28515625" style="2" customWidth="1"/>
    <col min="15" max="15" width="31.140625" style="1" customWidth="1"/>
    <col min="16" max="16384" width="9.140625" style="1"/>
  </cols>
  <sheetData>
    <row r="1" spans="1:15" s="503" customFormat="1" ht="16.5" customHeight="1" x14ac:dyDescent="0.25">
      <c r="M1" s="1715" t="s">
        <v>614</v>
      </c>
      <c r="N1" s="1716"/>
    </row>
    <row r="2" spans="1:15" ht="15" x14ac:dyDescent="0.2">
      <c r="A2" s="504"/>
      <c r="B2" s="504"/>
      <c r="C2" s="504"/>
      <c r="D2" s="504"/>
      <c r="E2" s="504"/>
      <c r="F2" s="505"/>
      <c r="G2" s="506"/>
      <c r="H2" s="506"/>
      <c r="I2" s="507"/>
      <c r="J2" s="504"/>
      <c r="K2" s="504"/>
      <c r="L2" s="504"/>
      <c r="M2" s="508"/>
      <c r="N2" s="508"/>
    </row>
    <row r="3" spans="1:15" ht="15" x14ac:dyDescent="0.2">
      <c r="A3" s="504"/>
      <c r="B3" s="504"/>
      <c r="C3" s="504"/>
      <c r="D3" s="504"/>
      <c r="E3" s="504"/>
      <c r="F3" s="505"/>
      <c r="G3" s="506"/>
      <c r="H3" s="506"/>
      <c r="I3" s="507"/>
      <c r="J3" s="504"/>
      <c r="K3" s="504"/>
      <c r="L3" s="504"/>
      <c r="M3" s="508"/>
      <c r="N3" s="508"/>
    </row>
    <row r="4" spans="1:15" s="2" customFormat="1" ht="15" customHeight="1" x14ac:dyDescent="0.2">
      <c r="A4" s="509"/>
      <c r="B4" s="509"/>
      <c r="C4" s="509"/>
      <c r="D4" s="1717" t="s">
        <v>615</v>
      </c>
      <c r="E4" s="1718"/>
      <c r="F4" s="1718"/>
      <c r="G4" s="1718"/>
      <c r="H4" s="1718"/>
      <c r="I4" s="1718"/>
      <c r="J4" s="1718"/>
      <c r="K4" s="1718"/>
      <c r="L4" s="1718"/>
      <c r="M4" s="1718"/>
      <c r="N4" s="510"/>
    </row>
    <row r="5" spans="1:15" ht="15.75" customHeight="1" x14ac:dyDescent="0.2">
      <c r="A5" s="1719" t="s">
        <v>25</v>
      </c>
      <c r="B5" s="1719"/>
      <c r="C5" s="1719"/>
      <c r="D5" s="1719"/>
      <c r="E5" s="1719"/>
      <c r="F5" s="1719"/>
      <c r="G5" s="1719"/>
      <c r="H5" s="1719"/>
      <c r="I5" s="1719"/>
      <c r="J5" s="1719"/>
      <c r="K5" s="1719"/>
      <c r="L5" s="1719"/>
      <c r="M5" s="1719"/>
      <c r="N5" s="1719"/>
    </row>
    <row r="6" spans="1:15" ht="15" customHeight="1" x14ac:dyDescent="0.2">
      <c r="A6" s="1720" t="s">
        <v>616</v>
      </c>
      <c r="B6" s="1720"/>
      <c r="C6" s="1720"/>
      <c r="D6" s="1720"/>
      <c r="E6" s="1720"/>
      <c r="F6" s="1720"/>
      <c r="G6" s="1720"/>
      <c r="H6" s="1720"/>
      <c r="I6" s="1720"/>
      <c r="J6" s="1720"/>
      <c r="K6" s="1720"/>
      <c r="L6" s="1720"/>
      <c r="M6" s="1720"/>
      <c r="N6" s="1720"/>
    </row>
    <row r="7" spans="1:15" ht="15" customHeight="1" thickBot="1" x14ac:dyDescent="0.25">
      <c r="A7" s="14"/>
      <c r="B7" s="14"/>
      <c r="C7" s="14"/>
      <c r="D7" s="14"/>
      <c r="E7" s="14"/>
      <c r="F7" s="15"/>
      <c r="G7" s="16"/>
      <c r="H7" s="16"/>
      <c r="I7" s="111"/>
      <c r="J7" s="14"/>
      <c r="K7" s="14"/>
      <c r="L7" s="14"/>
      <c r="M7" s="1721" t="s">
        <v>82</v>
      </c>
      <c r="N7" s="1721"/>
    </row>
    <row r="8" spans="1:15" s="511" customFormat="1" ht="30" customHeight="1" x14ac:dyDescent="0.2">
      <c r="A8" s="1722" t="s">
        <v>15</v>
      </c>
      <c r="B8" s="1725" t="s">
        <v>0</v>
      </c>
      <c r="C8" s="1725" t="s">
        <v>617</v>
      </c>
      <c r="D8" s="1725" t="s">
        <v>618</v>
      </c>
      <c r="E8" s="1728" t="s">
        <v>10</v>
      </c>
      <c r="F8" s="1697" t="s">
        <v>1</v>
      </c>
      <c r="G8" s="1700" t="s">
        <v>2</v>
      </c>
      <c r="H8" s="1703" t="s">
        <v>619</v>
      </c>
      <c r="I8" s="1706" t="s">
        <v>3</v>
      </c>
      <c r="J8" s="1709" t="s">
        <v>620</v>
      </c>
      <c r="K8" s="1709" t="s">
        <v>621</v>
      </c>
      <c r="L8" s="1709" t="s">
        <v>622</v>
      </c>
      <c r="M8" s="1731" t="s">
        <v>623</v>
      </c>
      <c r="N8" s="1732"/>
    </row>
    <row r="9" spans="1:15" s="511" customFormat="1" ht="18.75" customHeight="1" x14ac:dyDescent="0.2">
      <c r="A9" s="1723"/>
      <c r="B9" s="1726"/>
      <c r="C9" s="1726"/>
      <c r="D9" s="1726"/>
      <c r="E9" s="1729"/>
      <c r="F9" s="1698"/>
      <c r="G9" s="1701"/>
      <c r="H9" s="1704"/>
      <c r="I9" s="1707"/>
      <c r="J9" s="1710"/>
      <c r="K9" s="1710"/>
      <c r="L9" s="1710"/>
      <c r="M9" s="1733" t="s">
        <v>10</v>
      </c>
      <c r="N9" s="1735" t="s">
        <v>624</v>
      </c>
    </row>
    <row r="10" spans="1:15" s="511" customFormat="1" ht="63" customHeight="1" thickBot="1" x14ac:dyDescent="0.25">
      <c r="A10" s="1724"/>
      <c r="B10" s="1727"/>
      <c r="C10" s="1727"/>
      <c r="D10" s="1727"/>
      <c r="E10" s="1730"/>
      <c r="F10" s="1699"/>
      <c r="G10" s="1702"/>
      <c r="H10" s="1705"/>
      <c r="I10" s="1708"/>
      <c r="J10" s="1711"/>
      <c r="K10" s="1711"/>
      <c r="L10" s="1711"/>
      <c r="M10" s="1734"/>
      <c r="N10" s="1736"/>
    </row>
    <row r="11" spans="1:15" s="9" customFormat="1" ht="14.25" customHeight="1" x14ac:dyDescent="0.2">
      <c r="A11" s="1297" t="s">
        <v>52</v>
      </c>
      <c r="B11" s="1298"/>
      <c r="C11" s="1298"/>
      <c r="D11" s="1298"/>
      <c r="E11" s="1298"/>
      <c r="F11" s="1298"/>
      <c r="G11" s="1298"/>
      <c r="H11" s="1298"/>
      <c r="I11" s="1298"/>
      <c r="J11" s="1298"/>
      <c r="K11" s="1298"/>
      <c r="L11" s="1298"/>
      <c r="M11" s="1298"/>
      <c r="N11" s="1299"/>
    </row>
    <row r="12" spans="1:15" s="9" customFormat="1" ht="14.25" customHeight="1" x14ac:dyDescent="0.2">
      <c r="A12" s="1300" t="s">
        <v>23</v>
      </c>
      <c r="B12" s="1301"/>
      <c r="C12" s="1301"/>
      <c r="D12" s="1301"/>
      <c r="E12" s="1301"/>
      <c r="F12" s="1301"/>
      <c r="G12" s="1301"/>
      <c r="H12" s="1301"/>
      <c r="I12" s="1301"/>
      <c r="J12" s="1301"/>
      <c r="K12" s="1301"/>
      <c r="L12" s="1301"/>
      <c r="M12" s="1301"/>
      <c r="N12" s="1302"/>
    </row>
    <row r="13" spans="1:15" ht="16.5" customHeight="1" x14ac:dyDescent="0.2">
      <c r="A13" s="512" t="s">
        <v>4</v>
      </c>
      <c r="B13" s="1712" t="s">
        <v>26</v>
      </c>
      <c r="C13" s="1713"/>
      <c r="D13" s="1713"/>
      <c r="E13" s="1713"/>
      <c r="F13" s="1713"/>
      <c r="G13" s="1713"/>
      <c r="H13" s="1713"/>
      <c r="I13" s="1713"/>
      <c r="J13" s="1713"/>
      <c r="K13" s="1713"/>
      <c r="L13" s="1713"/>
      <c r="M13" s="1713"/>
      <c r="N13" s="1714"/>
    </row>
    <row r="14" spans="1:15" ht="15" customHeight="1" x14ac:dyDescent="0.2">
      <c r="A14" s="110" t="s">
        <v>4</v>
      </c>
      <c r="B14" s="12" t="s">
        <v>4</v>
      </c>
      <c r="C14" s="1260" t="s">
        <v>27</v>
      </c>
      <c r="D14" s="1261"/>
      <c r="E14" s="1261"/>
      <c r="F14" s="1261"/>
      <c r="G14" s="1261"/>
      <c r="H14" s="1261"/>
      <c r="I14" s="1261"/>
      <c r="J14" s="1261"/>
      <c r="K14" s="1261"/>
      <c r="L14" s="1261"/>
      <c r="M14" s="1261"/>
      <c r="N14" s="1262"/>
    </row>
    <row r="15" spans="1:15" ht="18" customHeight="1" x14ac:dyDescent="0.2">
      <c r="A15" s="478" t="s">
        <v>4</v>
      </c>
      <c r="B15" s="489" t="s">
        <v>4</v>
      </c>
      <c r="C15" s="513" t="s">
        <v>4</v>
      </c>
      <c r="D15" s="514"/>
      <c r="E15" s="261" t="s">
        <v>186</v>
      </c>
      <c r="F15" s="515" t="s">
        <v>41</v>
      </c>
      <c r="G15" s="470" t="s">
        <v>37</v>
      </c>
      <c r="H15" s="516"/>
      <c r="I15" s="517"/>
      <c r="J15" s="518"/>
      <c r="K15" s="519"/>
      <c r="L15" s="520"/>
      <c r="M15" s="521"/>
      <c r="N15" s="522"/>
    </row>
    <row r="16" spans="1:15" ht="14.1" customHeight="1" x14ac:dyDescent="0.2">
      <c r="A16" s="1315"/>
      <c r="B16" s="1326"/>
      <c r="C16" s="1550"/>
      <c r="D16" s="1330" t="s">
        <v>4</v>
      </c>
      <c r="E16" s="1295" t="s">
        <v>187</v>
      </c>
      <c r="F16" s="1322"/>
      <c r="G16" s="1536"/>
      <c r="H16" s="1695" t="s">
        <v>625</v>
      </c>
      <c r="I16" s="52" t="s">
        <v>73</v>
      </c>
      <c r="J16" s="115">
        <f>755.4-236.1-378-116.2</f>
        <v>25.1</v>
      </c>
      <c r="K16" s="523">
        <f>755.4-236.1-378-116.2+224.9</f>
        <v>250</v>
      </c>
      <c r="L16" s="524">
        <f>+K16-J16</f>
        <v>224.9</v>
      </c>
      <c r="M16" s="1197"/>
      <c r="N16" s="473"/>
      <c r="O16" s="1692" t="s">
        <v>626</v>
      </c>
    </row>
    <row r="17" spans="1:15" ht="14.1" customHeight="1" x14ac:dyDescent="0.2">
      <c r="A17" s="1315"/>
      <c r="B17" s="1326"/>
      <c r="C17" s="1550"/>
      <c r="D17" s="1316"/>
      <c r="E17" s="1694"/>
      <c r="F17" s="1322"/>
      <c r="G17" s="1536"/>
      <c r="H17" s="1696"/>
      <c r="I17" s="49" t="s">
        <v>22</v>
      </c>
      <c r="J17" s="41">
        <v>875.5</v>
      </c>
      <c r="K17" s="41">
        <f>875.5</f>
        <v>875.5</v>
      </c>
      <c r="L17" s="525"/>
      <c r="M17" s="1263"/>
      <c r="N17" s="357"/>
      <c r="O17" s="1692"/>
    </row>
    <row r="18" spans="1:15" ht="14.1" customHeight="1" x14ac:dyDescent="0.2">
      <c r="A18" s="1315"/>
      <c r="B18" s="1326"/>
      <c r="C18" s="1550"/>
      <c r="D18" s="1316"/>
      <c r="E18" s="1694"/>
      <c r="F18" s="1322"/>
      <c r="G18" s="1536"/>
      <c r="H18" s="1696"/>
      <c r="I18" s="49" t="s">
        <v>154</v>
      </c>
      <c r="J18" s="40">
        <v>1482.2</v>
      </c>
      <c r="K18" s="40">
        <f>1482.2-1232</f>
        <v>250.2</v>
      </c>
      <c r="L18" s="526"/>
      <c r="M18" s="456"/>
      <c r="N18" s="357"/>
      <c r="O18" s="1692"/>
    </row>
    <row r="19" spans="1:15" ht="14.1" customHeight="1" x14ac:dyDescent="0.2">
      <c r="A19" s="1315"/>
      <c r="B19" s="1326"/>
      <c r="C19" s="1550"/>
      <c r="D19" s="1316"/>
      <c r="E19" s="527"/>
      <c r="F19" s="1322"/>
      <c r="G19" s="1536"/>
      <c r="H19" s="1696"/>
      <c r="I19" s="49" t="s">
        <v>42</v>
      </c>
      <c r="J19" s="40">
        <v>200</v>
      </c>
      <c r="K19" s="40">
        <v>200</v>
      </c>
      <c r="L19" s="40"/>
      <c r="M19" s="456"/>
      <c r="N19" s="357"/>
      <c r="O19" s="1692"/>
    </row>
    <row r="20" spans="1:15" ht="14.1" customHeight="1" x14ac:dyDescent="0.2">
      <c r="A20" s="1315"/>
      <c r="B20" s="1326"/>
      <c r="C20" s="1550"/>
      <c r="D20" s="1316"/>
      <c r="E20" s="527"/>
      <c r="F20" s="1322"/>
      <c r="G20" s="1536"/>
      <c r="H20" s="1696"/>
      <c r="I20" s="49" t="s">
        <v>39</v>
      </c>
      <c r="J20" s="40">
        <v>104.9</v>
      </c>
      <c r="K20" s="40">
        <v>104.9</v>
      </c>
      <c r="L20" s="40"/>
      <c r="M20" s="456"/>
      <c r="N20" s="357"/>
      <c r="O20" s="1692"/>
    </row>
    <row r="21" spans="1:15" ht="14.1" customHeight="1" x14ac:dyDescent="0.2">
      <c r="A21" s="1315"/>
      <c r="B21" s="1326"/>
      <c r="C21" s="1550"/>
      <c r="D21" s="1316"/>
      <c r="E21" s="527"/>
      <c r="F21" s="1322"/>
      <c r="G21" s="1536"/>
      <c r="H21" s="1696"/>
      <c r="I21" s="49" t="s">
        <v>51</v>
      </c>
      <c r="J21" s="40">
        <v>186.9</v>
      </c>
      <c r="K21" s="40">
        <v>186.9</v>
      </c>
      <c r="L21" s="40"/>
      <c r="M21" s="456"/>
      <c r="N21" s="357"/>
      <c r="O21" s="1692"/>
    </row>
    <row r="22" spans="1:15" ht="25.5" customHeight="1" x14ac:dyDescent="0.2">
      <c r="A22" s="1315"/>
      <c r="B22" s="1326"/>
      <c r="C22" s="1550"/>
      <c r="D22" s="1316"/>
      <c r="E22" s="152" t="s">
        <v>107</v>
      </c>
      <c r="F22" s="1322"/>
      <c r="G22" s="1536"/>
      <c r="H22" s="1696"/>
      <c r="I22" s="71"/>
      <c r="J22" s="37"/>
      <c r="K22" s="37"/>
      <c r="L22" s="37"/>
      <c r="M22" s="50" t="s">
        <v>127</v>
      </c>
      <c r="N22" s="19">
        <v>67</v>
      </c>
      <c r="O22" s="1692"/>
    </row>
    <row r="23" spans="1:15" ht="40.5" customHeight="1" x14ac:dyDescent="0.2">
      <c r="A23" s="1315"/>
      <c r="B23" s="1326"/>
      <c r="C23" s="1550"/>
      <c r="D23" s="1316"/>
      <c r="E23" s="465" t="s">
        <v>91</v>
      </c>
      <c r="F23" s="1322"/>
      <c r="G23" s="1536"/>
      <c r="H23" s="528"/>
      <c r="I23" s="51"/>
      <c r="J23" s="39"/>
      <c r="K23" s="39"/>
      <c r="L23" s="39"/>
      <c r="M23" s="153" t="s">
        <v>128</v>
      </c>
      <c r="N23" s="474">
        <v>10</v>
      </c>
      <c r="O23" s="1692"/>
    </row>
    <row r="24" spans="1:15" ht="15" customHeight="1" x14ac:dyDescent="0.2">
      <c r="A24" s="447"/>
      <c r="B24" s="448"/>
      <c r="C24" s="529"/>
      <c r="D24" s="1268" t="s">
        <v>6</v>
      </c>
      <c r="E24" s="1295" t="s">
        <v>50</v>
      </c>
      <c r="F24" s="1670"/>
      <c r="G24" s="1322"/>
      <c r="H24" s="1554" t="s">
        <v>627</v>
      </c>
      <c r="I24" s="34"/>
      <c r="J24" s="34"/>
      <c r="K24" s="34"/>
      <c r="L24" s="34"/>
      <c r="M24" s="1324" t="s">
        <v>129</v>
      </c>
      <c r="N24" s="473">
        <v>100</v>
      </c>
    </row>
    <row r="25" spans="1:15" ht="15" customHeight="1" x14ac:dyDescent="0.2">
      <c r="A25" s="447"/>
      <c r="B25" s="448"/>
      <c r="C25" s="529"/>
      <c r="D25" s="1269"/>
      <c r="E25" s="1321"/>
      <c r="F25" s="1670"/>
      <c r="G25" s="1322"/>
      <c r="H25" s="1555"/>
      <c r="I25" s="40" t="s">
        <v>42</v>
      </c>
      <c r="J25" s="40">
        <v>1300</v>
      </c>
      <c r="K25" s="40">
        <v>1300</v>
      </c>
      <c r="L25" s="40"/>
      <c r="M25" s="1565"/>
      <c r="N25" s="357"/>
    </row>
    <row r="26" spans="1:15" ht="15" customHeight="1" x14ac:dyDescent="0.2">
      <c r="A26" s="447"/>
      <c r="B26" s="448"/>
      <c r="C26" s="529"/>
      <c r="D26" s="1693"/>
      <c r="E26" s="1343"/>
      <c r="F26" s="1670"/>
      <c r="G26" s="1322"/>
      <c r="H26" s="1555"/>
      <c r="I26" s="39" t="s">
        <v>39</v>
      </c>
      <c r="J26" s="39"/>
      <c r="K26" s="39"/>
      <c r="L26" s="39"/>
      <c r="M26" s="262"/>
      <c r="N26" s="474"/>
    </row>
    <row r="27" spans="1:15" ht="14.25" customHeight="1" x14ac:dyDescent="0.2">
      <c r="A27" s="447"/>
      <c r="B27" s="448"/>
      <c r="C27" s="529"/>
      <c r="D27" s="369" t="s">
        <v>24</v>
      </c>
      <c r="E27" s="1295" t="s">
        <v>139</v>
      </c>
      <c r="F27" s="239"/>
      <c r="G27" s="452"/>
      <c r="H27" s="1555"/>
      <c r="I27" s="49" t="s">
        <v>73</v>
      </c>
      <c r="J27" s="40">
        <f>845.7+10-200+320.6-71</f>
        <v>905.3</v>
      </c>
      <c r="K27" s="40">
        <f>845.7+10-200+320.6-71</f>
        <v>905.3</v>
      </c>
      <c r="L27" s="40"/>
      <c r="M27" s="1273" t="s">
        <v>130</v>
      </c>
      <c r="N27" s="133">
        <v>100</v>
      </c>
    </row>
    <row r="28" spans="1:15" ht="12.75" customHeight="1" x14ac:dyDescent="0.2">
      <c r="A28" s="447"/>
      <c r="B28" s="448"/>
      <c r="C28" s="529"/>
      <c r="D28" s="370"/>
      <c r="E28" s="1321"/>
      <c r="F28" s="1691"/>
      <c r="G28" s="452"/>
      <c r="H28" s="1555"/>
      <c r="I28" s="530" t="s">
        <v>22</v>
      </c>
      <c r="J28" s="325">
        <v>74</v>
      </c>
      <c r="K28" s="325">
        <v>74</v>
      </c>
      <c r="L28" s="526"/>
      <c r="M28" s="1263"/>
      <c r="N28" s="133"/>
    </row>
    <row r="29" spans="1:15" ht="15" customHeight="1" x14ac:dyDescent="0.2">
      <c r="A29" s="447"/>
      <c r="B29" s="448"/>
      <c r="C29" s="529"/>
      <c r="D29" s="370"/>
      <c r="E29" s="1321"/>
      <c r="F29" s="1691"/>
      <c r="G29" s="452"/>
      <c r="H29" s="1555"/>
      <c r="I29" s="531"/>
      <c r="J29" s="532"/>
      <c r="K29" s="532"/>
      <c r="L29" s="40"/>
      <c r="M29" s="456"/>
      <c r="N29" s="133"/>
    </row>
    <row r="30" spans="1:15" ht="16.5" customHeight="1" x14ac:dyDescent="0.2">
      <c r="A30" s="447"/>
      <c r="B30" s="448"/>
      <c r="C30" s="529"/>
      <c r="D30" s="371"/>
      <c r="E30" s="1343"/>
      <c r="F30" s="1691"/>
      <c r="G30" s="452"/>
      <c r="H30" s="1555"/>
      <c r="I30" s="533"/>
      <c r="J30" s="534"/>
      <c r="K30" s="534"/>
      <c r="L30" s="39"/>
      <c r="M30" s="466"/>
      <c r="N30" s="20"/>
    </row>
    <row r="31" spans="1:15" ht="15.75" customHeight="1" x14ac:dyDescent="0.2">
      <c r="A31" s="1315"/>
      <c r="B31" s="1310"/>
      <c r="C31" s="1550"/>
      <c r="D31" s="1330" t="s">
        <v>29</v>
      </c>
      <c r="E31" s="1295" t="s">
        <v>140</v>
      </c>
      <c r="F31" s="451"/>
      <c r="G31" s="1567"/>
      <c r="H31" s="535"/>
      <c r="I31" s="52" t="s">
        <v>22</v>
      </c>
      <c r="J31" s="34">
        <f>814.8+100</f>
        <v>914.8</v>
      </c>
      <c r="K31" s="34">
        <f>814.8+100</f>
        <v>914.8</v>
      </c>
      <c r="L31" s="34"/>
      <c r="M31" s="460" t="s">
        <v>117</v>
      </c>
      <c r="N31" s="536">
        <v>70</v>
      </c>
    </row>
    <row r="32" spans="1:15" ht="15" customHeight="1" x14ac:dyDescent="0.2">
      <c r="A32" s="1315"/>
      <c r="B32" s="1310"/>
      <c r="C32" s="1550"/>
      <c r="D32" s="1316"/>
      <c r="E32" s="1321"/>
      <c r="F32" s="451"/>
      <c r="G32" s="1567"/>
      <c r="H32" s="535"/>
      <c r="I32" s="49" t="s">
        <v>73</v>
      </c>
      <c r="J32" s="40">
        <f>1100-221.2</f>
        <v>878.8</v>
      </c>
      <c r="K32" s="40">
        <f>1100-221.2</f>
        <v>878.8</v>
      </c>
      <c r="L32" s="40"/>
      <c r="M32" s="460"/>
      <c r="N32" s="536"/>
    </row>
    <row r="33" spans="1:14" ht="15" customHeight="1" x14ac:dyDescent="0.2">
      <c r="A33" s="1315"/>
      <c r="B33" s="1310"/>
      <c r="C33" s="1550"/>
      <c r="D33" s="1316"/>
      <c r="E33" s="1321"/>
      <c r="F33" s="451"/>
      <c r="G33" s="1567"/>
      <c r="H33" s="535"/>
      <c r="I33" s="49" t="s">
        <v>42</v>
      </c>
      <c r="J33" s="40">
        <v>162.4</v>
      </c>
      <c r="K33" s="40">
        <v>162.4</v>
      </c>
      <c r="L33" s="40"/>
      <c r="M33" s="460"/>
      <c r="N33" s="536"/>
    </row>
    <row r="34" spans="1:14" ht="21.75" customHeight="1" x14ac:dyDescent="0.2">
      <c r="A34" s="1315"/>
      <c r="B34" s="1310"/>
      <c r="C34" s="1550"/>
      <c r="D34" s="1316"/>
      <c r="E34" s="1321"/>
      <c r="F34" s="451"/>
      <c r="G34" s="1567"/>
      <c r="H34" s="535"/>
      <c r="I34" s="49" t="s">
        <v>72</v>
      </c>
      <c r="J34" s="40">
        <v>151.9</v>
      </c>
      <c r="K34" s="40">
        <v>151.9</v>
      </c>
      <c r="L34" s="40"/>
      <c r="M34" s="460"/>
      <c r="N34" s="536"/>
    </row>
    <row r="35" spans="1:14" ht="36" customHeight="1" x14ac:dyDescent="0.2">
      <c r="A35" s="1315"/>
      <c r="B35" s="1310"/>
      <c r="C35" s="1550"/>
      <c r="D35" s="1425"/>
      <c r="E35" s="1343"/>
      <c r="F35" s="263"/>
      <c r="G35" s="1567"/>
      <c r="H35" s="535"/>
      <c r="I35" s="67" t="s">
        <v>51</v>
      </c>
      <c r="J35" s="39">
        <v>100</v>
      </c>
      <c r="K35" s="39">
        <v>100</v>
      </c>
      <c r="L35" s="39"/>
      <c r="M35" s="143"/>
      <c r="N35" s="537"/>
    </row>
    <row r="36" spans="1:14" ht="16.5" customHeight="1" x14ac:dyDescent="0.2">
      <c r="A36" s="1309"/>
      <c r="B36" s="1310"/>
      <c r="C36" s="1550"/>
      <c r="D36" s="370" t="s">
        <v>628</v>
      </c>
      <c r="E36" s="1292" t="s">
        <v>138</v>
      </c>
      <c r="F36" s="451"/>
      <c r="G36" s="1536"/>
      <c r="H36" s="1558"/>
      <c r="I36" s="52" t="s">
        <v>73</v>
      </c>
      <c r="J36" s="34">
        <f>200+200-200</f>
        <v>200</v>
      </c>
      <c r="K36" s="34">
        <f>200+200-200</f>
        <v>200</v>
      </c>
      <c r="L36" s="34"/>
      <c r="M36" s="1250" t="s">
        <v>126</v>
      </c>
      <c r="N36" s="264">
        <v>100</v>
      </c>
    </row>
    <row r="37" spans="1:14" ht="23.25" customHeight="1" x14ac:dyDescent="0.2">
      <c r="A37" s="1309"/>
      <c r="B37" s="1310"/>
      <c r="C37" s="1550"/>
      <c r="D37" s="370"/>
      <c r="E37" s="1292"/>
      <c r="F37" s="451"/>
      <c r="G37" s="1536"/>
      <c r="H37" s="1558"/>
      <c r="I37" s="49" t="s">
        <v>22</v>
      </c>
      <c r="J37" s="40">
        <f>500-143.4</f>
        <v>356.6</v>
      </c>
      <c r="K37" s="40">
        <f>500-143.4</f>
        <v>356.6</v>
      </c>
      <c r="L37" s="40"/>
      <c r="M37" s="1684"/>
      <c r="N37" s="265"/>
    </row>
    <row r="38" spans="1:14" ht="28.5" customHeight="1" x14ac:dyDescent="0.2">
      <c r="A38" s="1309"/>
      <c r="B38" s="1310"/>
      <c r="C38" s="1550"/>
      <c r="D38" s="370"/>
      <c r="E38" s="1292"/>
      <c r="F38" s="451"/>
      <c r="G38" s="1536"/>
      <c r="H38" s="1558"/>
      <c r="I38" s="1"/>
      <c r="J38" s="40"/>
      <c r="K38" s="40"/>
      <c r="L38" s="40"/>
      <c r="M38" s="538" t="s">
        <v>629</v>
      </c>
      <c r="N38" s="539"/>
    </row>
    <row r="39" spans="1:14" ht="41.25" customHeight="1" x14ac:dyDescent="0.2">
      <c r="A39" s="1309"/>
      <c r="B39" s="1310"/>
      <c r="C39" s="1550"/>
      <c r="D39" s="370"/>
      <c r="E39" s="1292"/>
      <c r="F39" s="451"/>
      <c r="G39" s="1536"/>
      <c r="H39" s="1558"/>
      <c r="I39" s="1"/>
      <c r="J39" s="40"/>
      <c r="K39" s="40"/>
      <c r="L39" s="40"/>
      <c r="M39" s="540" t="s">
        <v>109</v>
      </c>
      <c r="N39" s="539" t="s">
        <v>46</v>
      </c>
    </row>
    <row r="40" spans="1:14" ht="54" customHeight="1" x14ac:dyDescent="0.2">
      <c r="A40" s="1309"/>
      <c r="B40" s="1310"/>
      <c r="C40" s="1550"/>
      <c r="D40" s="371"/>
      <c r="E40" s="1292"/>
      <c r="F40" s="451"/>
      <c r="G40" s="1536"/>
      <c r="H40" s="1558"/>
      <c r="I40" s="49"/>
      <c r="J40" s="40"/>
      <c r="K40" s="40"/>
      <c r="L40" s="40"/>
      <c r="M40" s="124" t="s">
        <v>630</v>
      </c>
      <c r="N40" s="351"/>
    </row>
    <row r="41" spans="1:14" ht="14.25" customHeight="1" x14ac:dyDescent="0.2">
      <c r="A41" s="447"/>
      <c r="B41" s="448"/>
      <c r="C41" s="529"/>
      <c r="D41" s="541" t="s">
        <v>30</v>
      </c>
      <c r="E41" s="1291" t="s">
        <v>94</v>
      </c>
      <c r="F41" s="1666" t="s">
        <v>188</v>
      </c>
      <c r="G41" s="452"/>
      <c r="H41" s="542"/>
      <c r="I41" s="115" t="s">
        <v>22</v>
      </c>
      <c r="J41" s="34">
        <v>105</v>
      </c>
      <c r="K41" s="34">
        <v>105</v>
      </c>
      <c r="L41" s="34"/>
      <c r="M41" s="348" t="s">
        <v>40</v>
      </c>
      <c r="N41" s="543"/>
    </row>
    <row r="42" spans="1:14" ht="27.75" customHeight="1" x14ac:dyDescent="0.2">
      <c r="A42" s="447"/>
      <c r="B42" s="448"/>
      <c r="C42" s="529"/>
      <c r="D42" s="541"/>
      <c r="E42" s="1292"/>
      <c r="F42" s="1674"/>
      <c r="G42" s="452"/>
      <c r="H42" s="542"/>
      <c r="I42" s="41" t="s">
        <v>73</v>
      </c>
      <c r="J42" s="40">
        <f>243.1-21.9</f>
        <v>221.2</v>
      </c>
      <c r="K42" s="40">
        <f>243.1-21.9</f>
        <v>221.2</v>
      </c>
      <c r="L42" s="40"/>
      <c r="M42" s="1402" t="s">
        <v>631</v>
      </c>
      <c r="N42" s="543"/>
    </row>
    <row r="43" spans="1:14" ht="18.75" customHeight="1" x14ac:dyDescent="0.2">
      <c r="A43" s="447"/>
      <c r="B43" s="448"/>
      <c r="C43" s="529"/>
      <c r="D43" s="541"/>
      <c r="E43" s="1292"/>
      <c r="F43" s="1674"/>
      <c r="G43" s="452"/>
      <c r="H43" s="542"/>
      <c r="I43" s="41" t="s">
        <v>632</v>
      </c>
      <c r="J43" s="40"/>
      <c r="K43" s="40"/>
      <c r="L43" s="40"/>
      <c r="M43" s="1685"/>
      <c r="N43" s="543"/>
    </row>
    <row r="44" spans="1:14" ht="12.75" customHeight="1" x14ac:dyDescent="0.2">
      <c r="A44" s="447"/>
      <c r="B44" s="448"/>
      <c r="C44" s="529"/>
      <c r="D44" s="541"/>
      <c r="E44" s="1292"/>
      <c r="F44" s="260"/>
      <c r="G44" s="452"/>
      <c r="H44" s="542"/>
      <c r="I44" s="36" t="s">
        <v>633</v>
      </c>
      <c r="J44" s="39"/>
      <c r="K44" s="39"/>
      <c r="L44" s="39"/>
      <c r="M44" s="544"/>
      <c r="N44" s="543"/>
    </row>
    <row r="45" spans="1:14" ht="18.75" customHeight="1" x14ac:dyDescent="0.2">
      <c r="A45" s="478"/>
      <c r="B45" s="489"/>
      <c r="C45" s="1686" t="s">
        <v>634</v>
      </c>
      <c r="D45" s="369" t="s">
        <v>635</v>
      </c>
      <c r="E45" s="1270" t="s">
        <v>152</v>
      </c>
      <c r="F45" s="266" t="s">
        <v>41</v>
      </c>
      <c r="G45" s="482"/>
      <c r="H45" s="1554" t="s">
        <v>625</v>
      </c>
      <c r="I45" s="34" t="s">
        <v>22</v>
      </c>
      <c r="J45" s="34">
        <v>100</v>
      </c>
      <c r="K45" s="34">
        <v>100</v>
      </c>
      <c r="L45" s="34"/>
      <c r="M45" s="1688" t="s">
        <v>189</v>
      </c>
      <c r="N45" s="146"/>
    </row>
    <row r="46" spans="1:14" ht="33" customHeight="1" x14ac:dyDescent="0.2">
      <c r="A46" s="478"/>
      <c r="B46" s="489"/>
      <c r="C46" s="1687"/>
      <c r="D46" s="370"/>
      <c r="E46" s="1271"/>
      <c r="F46" s="1426" t="s">
        <v>182</v>
      </c>
      <c r="G46" s="470"/>
      <c r="H46" s="1558"/>
      <c r="I46" s="40" t="s">
        <v>38</v>
      </c>
      <c r="J46" s="40"/>
      <c r="K46" s="40"/>
      <c r="L46" s="40"/>
      <c r="M46" s="1689"/>
      <c r="N46" s="268"/>
    </row>
    <row r="47" spans="1:14" ht="30.75" customHeight="1" x14ac:dyDescent="0.2">
      <c r="A47" s="478"/>
      <c r="B47" s="480"/>
      <c r="C47" s="1687"/>
      <c r="D47" s="371"/>
      <c r="E47" s="1271"/>
      <c r="F47" s="1690"/>
      <c r="G47" s="470"/>
      <c r="H47" s="1563"/>
      <c r="I47" s="39"/>
      <c r="J47" s="39"/>
      <c r="K47" s="39"/>
      <c r="L47" s="39"/>
      <c r="M47" s="100" t="s">
        <v>636</v>
      </c>
      <c r="N47" s="268"/>
    </row>
    <row r="48" spans="1:14" ht="27.75" customHeight="1" x14ac:dyDescent="0.2">
      <c r="A48" s="1315"/>
      <c r="B48" s="1326"/>
      <c r="C48" s="1679" t="s">
        <v>637</v>
      </c>
      <c r="D48" s="1330" t="s">
        <v>638</v>
      </c>
      <c r="E48" s="1377" t="s">
        <v>190</v>
      </c>
      <c r="F48" s="1286" t="s">
        <v>81</v>
      </c>
      <c r="G48" s="1536"/>
      <c r="H48" s="1664"/>
      <c r="I48" s="126" t="s">
        <v>72</v>
      </c>
      <c r="J48" s="115">
        <v>328.7</v>
      </c>
      <c r="K48" s="115">
        <v>328.7</v>
      </c>
      <c r="L48" s="34"/>
      <c r="M48" s="461" t="s">
        <v>101</v>
      </c>
      <c r="N48" s="473">
        <v>2</v>
      </c>
    </row>
    <row r="49" spans="1:15" ht="30" customHeight="1" x14ac:dyDescent="0.2">
      <c r="A49" s="1315"/>
      <c r="B49" s="1326"/>
      <c r="C49" s="1680"/>
      <c r="D49" s="1316"/>
      <c r="E49" s="1683"/>
      <c r="F49" s="1577"/>
      <c r="G49" s="1536"/>
      <c r="H49" s="1664"/>
      <c r="I49" s="545" t="s">
        <v>22</v>
      </c>
      <c r="J49" s="546"/>
      <c r="K49" s="546"/>
      <c r="L49" s="547"/>
      <c r="M49" s="27" t="s">
        <v>155</v>
      </c>
      <c r="N49" s="199">
        <v>1</v>
      </c>
    </row>
    <row r="50" spans="1:15" ht="13.5" customHeight="1" x14ac:dyDescent="0.2">
      <c r="A50" s="1315"/>
      <c r="B50" s="1326"/>
      <c r="C50" s="1680"/>
      <c r="D50" s="1316"/>
      <c r="E50" s="1683"/>
      <c r="F50" s="1577"/>
      <c r="G50" s="1536"/>
      <c r="H50" s="1664"/>
      <c r="I50" s="29" t="s">
        <v>73</v>
      </c>
      <c r="J50" s="41"/>
      <c r="K50" s="41"/>
      <c r="L50" s="40"/>
      <c r="M50" s="1341" t="s">
        <v>639</v>
      </c>
      <c r="N50" s="357"/>
    </row>
    <row r="51" spans="1:15" ht="14.25" customHeight="1" x14ac:dyDescent="0.2">
      <c r="A51" s="1315"/>
      <c r="B51" s="1326"/>
      <c r="C51" s="1680"/>
      <c r="D51" s="1316"/>
      <c r="E51" s="1683"/>
      <c r="F51" s="548"/>
      <c r="G51" s="1536"/>
      <c r="H51" s="1664"/>
      <c r="I51" s="29" t="s">
        <v>632</v>
      </c>
      <c r="J51" s="41"/>
      <c r="K51" s="41"/>
      <c r="L51" s="40"/>
      <c r="M51" s="1678"/>
      <c r="N51" s="357"/>
    </row>
    <row r="52" spans="1:15" ht="16.5" customHeight="1" x14ac:dyDescent="0.2">
      <c r="A52" s="1315"/>
      <c r="B52" s="1326"/>
      <c r="C52" s="1680"/>
      <c r="D52" s="1316"/>
      <c r="E52" s="1296"/>
      <c r="F52" s="549"/>
      <c r="G52" s="1536"/>
      <c r="H52" s="1664"/>
      <c r="I52" s="28" t="s">
        <v>38</v>
      </c>
      <c r="J52" s="36"/>
      <c r="K52" s="36"/>
      <c r="L52" s="39"/>
      <c r="M52" s="153"/>
      <c r="N52" s="474"/>
    </row>
    <row r="53" spans="1:15" ht="13.5" customHeight="1" x14ac:dyDescent="0.2">
      <c r="A53" s="447"/>
      <c r="B53" s="453"/>
      <c r="C53" s="1681"/>
      <c r="D53" s="369" t="s">
        <v>640</v>
      </c>
      <c r="E53" s="1291" t="s">
        <v>250</v>
      </c>
      <c r="F53" s="1286" t="s">
        <v>81</v>
      </c>
      <c r="G53" s="53"/>
      <c r="H53" s="1558"/>
      <c r="I53" s="49" t="s">
        <v>22</v>
      </c>
      <c r="J53" s="40"/>
      <c r="K53" s="40"/>
      <c r="L53" s="40"/>
      <c r="M53" s="1250" t="s">
        <v>191</v>
      </c>
      <c r="N53" s="473">
        <v>1</v>
      </c>
    </row>
    <row r="54" spans="1:15" ht="12.75" customHeight="1" x14ac:dyDescent="0.2">
      <c r="A54" s="447"/>
      <c r="B54" s="453"/>
      <c r="C54" s="1681"/>
      <c r="D54" s="370"/>
      <c r="E54" s="1292"/>
      <c r="F54" s="1577"/>
      <c r="G54" s="53"/>
      <c r="H54" s="1558"/>
      <c r="I54" s="49" t="s">
        <v>51</v>
      </c>
      <c r="J54" s="40">
        <v>1.5</v>
      </c>
      <c r="K54" s="40">
        <v>1.5</v>
      </c>
      <c r="L54" s="40"/>
      <c r="M54" s="1263"/>
      <c r="N54" s="357"/>
    </row>
    <row r="55" spans="1:15" ht="29.25" customHeight="1" x14ac:dyDescent="0.2">
      <c r="A55" s="447"/>
      <c r="B55" s="453"/>
      <c r="C55" s="1682"/>
      <c r="D55" s="371"/>
      <c r="E55" s="1311"/>
      <c r="F55" s="1577"/>
      <c r="G55" s="449"/>
      <c r="H55" s="1558"/>
      <c r="I55" s="51"/>
      <c r="J55" s="39"/>
      <c r="K55" s="39"/>
      <c r="L55" s="39"/>
      <c r="M55" s="550" t="s">
        <v>641</v>
      </c>
      <c r="N55" s="551"/>
    </row>
    <row r="56" spans="1:15" ht="43.5" customHeight="1" x14ac:dyDescent="0.2">
      <c r="A56" s="447"/>
      <c r="B56" s="448"/>
      <c r="C56" s="529"/>
      <c r="D56" s="369" t="s">
        <v>642</v>
      </c>
      <c r="E56" s="1291" t="s">
        <v>142</v>
      </c>
      <c r="F56" s="239"/>
      <c r="G56" s="452"/>
      <c r="H56" s="1558"/>
      <c r="I56" s="49" t="s">
        <v>22</v>
      </c>
      <c r="J56" s="40">
        <f>43.3+100</f>
        <v>143.30000000000001</v>
      </c>
      <c r="K56" s="40">
        <f>43.3+100</f>
        <v>143.30000000000001</v>
      </c>
      <c r="L56" s="40"/>
      <c r="M56" s="1197" t="s">
        <v>145</v>
      </c>
      <c r="N56" s="133">
        <v>10</v>
      </c>
      <c r="O56" s="1677" t="s">
        <v>643</v>
      </c>
    </row>
    <row r="57" spans="1:15" ht="33.75" customHeight="1" x14ac:dyDescent="0.2">
      <c r="A57" s="447"/>
      <c r="B57" s="448"/>
      <c r="C57" s="529"/>
      <c r="D57" s="371"/>
      <c r="E57" s="1312"/>
      <c r="F57" s="193"/>
      <c r="G57" s="452"/>
      <c r="H57" s="1676"/>
      <c r="I57" s="39" t="s">
        <v>73</v>
      </c>
      <c r="J57" s="39">
        <f>57.4+630.3</f>
        <v>687.7</v>
      </c>
      <c r="K57" s="552">
        <f>57.4+630.3-224.9</f>
        <v>462.8</v>
      </c>
      <c r="L57" s="552">
        <f>K57-J57</f>
        <v>-224.9</v>
      </c>
      <c r="M57" s="1596"/>
      <c r="N57" s="20"/>
      <c r="O57" s="1677"/>
    </row>
    <row r="58" spans="1:15" ht="18.75" customHeight="1" x14ac:dyDescent="0.2">
      <c r="A58" s="1309"/>
      <c r="B58" s="1310"/>
      <c r="C58" s="1550"/>
      <c r="D58" s="1330" t="s">
        <v>644</v>
      </c>
      <c r="E58" s="1291" t="s">
        <v>49</v>
      </c>
      <c r="F58" s="449"/>
      <c r="G58" s="1567"/>
      <c r="H58" s="542"/>
      <c r="I58" s="52" t="s">
        <v>22</v>
      </c>
      <c r="J58" s="34">
        <v>50</v>
      </c>
      <c r="K58" s="34">
        <v>50</v>
      </c>
      <c r="L58" s="34"/>
      <c r="M58" s="1197" t="s">
        <v>105</v>
      </c>
      <c r="N58" s="257">
        <v>5</v>
      </c>
    </row>
    <row r="59" spans="1:15" ht="12" customHeight="1" x14ac:dyDescent="0.2">
      <c r="A59" s="1309"/>
      <c r="B59" s="1310"/>
      <c r="C59" s="1550"/>
      <c r="D59" s="1316"/>
      <c r="E59" s="1292"/>
      <c r="F59" s="449"/>
      <c r="G59" s="1567"/>
      <c r="H59" s="542"/>
      <c r="I59" s="49" t="s">
        <v>73</v>
      </c>
      <c r="J59" s="40"/>
      <c r="K59" s="40"/>
      <c r="L59" s="40"/>
      <c r="M59" s="1263"/>
      <c r="N59" s="133"/>
    </row>
    <row r="60" spans="1:15" ht="9.75" customHeight="1" x14ac:dyDescent="0.2">
      <c r="A60" s="1309"/>
      <c r="B60" s="1310"/>
      <c r="C60" s="1550"/>
      <c r="D60" s="1425"/>
      <c r="E60" s="1311"/>
      <c r="F60" s="449"/>
      <c r="G60" s="1567"/>
      <c r="H60" s="542"/>
      <c r="I60" s="67"/>
      <c r="J60" s="39"/>
      <c r="K60" s="39"/>
      <c r="L60" s="39"/>
      <c r="M60" s="112"/>
      <c r="N60" s="20"/>
    </row>
    <row r="61" spans="1:15" ht="15" customHeight="1" x14ac:dyDescent="0.2">
      <c r="A61" s="447"/>
      <c r="B61" s="448"/>
      <c r="C61" s="553"/>
      <c r="D61" s="1330" t="s">
        <v>645</v>
      </c>
      <c r="E61" s="1295" t="s">
        <v>192</v>
      </c>
      <c r="F61" s="554" t="s">
        <v>41</v>
      </c>
      <c r="G61" s="1671"/>
      <c r="H61" s="1673"/>
      <c r="I61" s="49" t="s">
        <v>73</v>
      </c>
      <c r="J61" s="40"/>
      <c r="K61" s="40"/>
      <c r="L61" s="34"/>
      <c r="M61" s="455" t="s">
        <v>40</v>
      </c>
      <c r="N61" s="473">
        <v>1</v>
      </c>
    </row>
    <row r="62" spans="1:15" ht="13.5" customHeight="1" x14ac:dyDescent="0.2">
      <c r="A62" s="447"/>
      <c r="B62" s="448"/>
      <c r="C62" s="553"/>
      <c r="D62" s="1316"/>
      <c r="E62" s="1321"/>
      <c r="F62" s="555"/>
      <c r="G62" s="1671"/>
      <c r="H62" s="1555"/>
      <c r="I62" s="49" t="s">
        <v>51</v>
      </c>
      <c r="J62" s="40">
        <v>11.8</v>
      </c>
      <c r="K62" s="40">
        <v>11.8</v>
      </c>
      <c r="L62" s="40"/>
      <c r="M62" s="460" t="s">
        <v>646</v>
      </c>
      <c r="N62" s="357"/>
    </row>
    <row r="63" spans="1:15" ht="12.75" customHeight="1" x14ac:dyDescent="0.2">
      <c r="A63" s="447"/>
      <c r="B63" s="448"/>
      <c r="C63" s="553"/>
      <c r="D63" s="1316"/>
      <c r="E63" s="1321"/>
      <c r="F63" s="555"/>
      <c r="G63" s="1671"/>
      <c r="H63" s="1555"/>
      <c r="I63" s="49" t="s">
        <v>22</v>
      </c>
      <c r="J63" s="40"/>
      <c r="K63" s="40"/>
      <c r="L63" s="40"/>
      <c r="M63" s="460"/>
      <c r="N63" s="357"/>
    </row>
    <row r="64" spans="1:15" ht="12.75" customHeight="1" x14ac:dyDescent="0.2">
      <c r="A64" s="447"/>
      <c r="B64" s="448"/>
      <c r="C64" s="553"/>
      <c r="D64" s="1316"/>
      <c r="E64" s="1321"/>
      <c r="F64" s="555"/>
      <c r="G64" s="1671"/>
      <c r="H64" s="1555"/>
      <c r="I64" s="49" t="s">
        <v>38</v>
      </c>
      <c r="J64" s="40"/>
      <c r="K64" s="40"/>
      <c r="L64" s="40"/>
      <c r="M64" s="460"/>
      <c r="N64" s="357"/>
    </row>
    <row r="65" spans="1:14" ht="15.75" customHeight="1" x14ac:dyDescent="0.2">
      <c r="A65" s="447"/>
      <c r="B65" s="448"/>
      <c r="C65" s="553"/>
      <c r="D65" s="1425"/>
      <c r="E65" s="1296"/>
      <c r="F65" s="260"/>
      <c r="G65" s="1671"/>
      <c r="H65" s="1555"/>
      <c r="I65" s="67" t="s">
        <v>39</v>
      </c>
      <c r="J65" s="39"/>
      <c r="K65" s="39"/>
      <c r="L65" s="39"/>
      <c r="M65" s="488"/>
      <c r="N65" s="474"/>
    </row>
    <row r="66" spans="1:14" ht="16.5" customHeight="1" x14ac:dyDescent="0.2">
      <c r="A66" s="447"/>
      <c r="B66" s="448"/>
      <c r="C66" s="529"/>
      <c r="D66" s="369" t="s">
        <v>647</v>
      </c>
      <c r="E66" s="1291" t="s">
        <v>96</v>
      </c>
      <c r="F66" s="1666" t="s">
        <v>188</v>
      </c>
      <c r="G66" s="452"/>
      <c r="H66" s="1558"/>
      <c r="I66" s="49" t="s">
        <v>51</v>
      </c>
      <c r="J66" s="40">
        <v>18.2</v>
      </c>
      <c r="K66" s="40">
        <v>18.2</v>
      </c>
      <c r="L66" s="34"/>
      <c r="M66" s="463" t="s">
        <v>40</v>
      </c>
      <c r="N66" s="257">
        <v>1</v>
      </c>
    </row>
    <row r="67" spans="1:14" ht="21" customHeight="1" x14ac:dyDescent="0.2">
      <c r="A67" s="447"/>
      <c r="B67" s="448"/>
      <c r="C67" s="553"/>
      <c r="D67" s="370"/>
      <c r="E67" s="1292"/>
      <c r="F67" s="1674"/>
      <c r="G67" s="452"/>
      <c r="H67" s="1558"/>
      <c r="I67" s="49"/>
      <c r="J67" s="40"/>
      <c r="K67" s="40"/>
      <c r="L67" s="40"/>
      <c r="M67" s="460"/>
      <c r="N67" s="133"/>
    </row>
    <row r="68" spans="1:14" ht="16.5" customHeight="1" x14ac:dyDescent="0.2">
      <c r="A68" s="447"/>
      <c r="B68" s="448"/>
      <c r="C68" s="553"/>
      <c r="D68" s="371"/>
      <c r="E68" s="1312"/>
      <c r="F68" s="1675"/>
      <c r="G68" s="452"/>
      <c r="H68" s="1558"/>
      <c r="I68" s="51"/>
      <c r="J68" s="39"/>
      <c r="K68" s="39"/>
      <c r="L68" s="39"/>
      <c r="M68" s="488"/>
      <c r="N68" s="474"/>
    </row>
    <row r="69" spans="1:14" ht="21.75" customHeight="1" x14ac:dyDescent="0.2">
      <c r="A69" s="447"/>
      <c r="B69" s="448"/>
      <c r="C69" s="553"/>
      <c r="D69" s="1316" t="s">
        <v>648</v>
      </c>
      <c r="E69" s="1292" t="s">
        <v>193</v>
      </c>
      <c r="F69" s="1670" t="s">
        <v>178</v>
      </c>
      <c r="G69" s="1671"/>
      <c r="H69" s="556"/>
      <c r="I69" s="269" t="s">
        <v>51</v>
      </c>
      <c r="J69" s="40">
        <v>100</v>
      </c>
      <c r="K69" s="40">
        <v>100</v>
      </c>
      <c r="L69" s="40"/>
      <c r="M69" s="1197" t="s">
        <v>40</v>
      </c>
      <c r="N69" s="357">
        <v>1</v>
      </c>
    </row>
    <row r="70" spans="1:14" ht="17.25" customHeight="1" x14ac:dyDescent="0.2">
      <c r="A70" s="447"/>
      <c r="B70" s="448"/>
      <c r="C70" s="553"/>
      <c r="D70" s="1425"/>
      <c r="E70" s="1311"/>
      <c r="F70" s="1667"/>
      <c r="G70" s="1671"/>
      <c r="H70" s="557"/>
      <c r="I70" s="67" t="s">
        <v>22</v>
      </c>
      <c r="J70" s="39">
        <v>0</v>
      </c>
      <c r="K70" s="39">
        <v>0</v>
      </c>
      <c r="L70" s="552"/>
      <c r="M70" s="1342"/>
      <c r="N70" s="474"/>
    </row>
    <row r="71" spans="1:14" ht="17.25" customHeight="1" x14ac:dyDescent="0.2">
      <c r="A71" s="447"/>
      <c r="B71" s="453"/>
      <c r="C71" s="558"/>
      <c r="D71" s="1330" t="s">
        <v>649</v>
      </c>
      <c r="E71" s="1291" t="s">
        <v>141</v>
      </c>
      <c r="F71" s="1666"/>
      <c r="G71" s="1671"/>
      <c r="H71" s="1672"/>
      <c r="I71" s="52" t="s">
        <v>51</v>
      </c>
      <c r="J71" s="115">
        <v>0.8</v>
      </c>
      <c r="K71" s="115">
        <v>0.8</v>
      </c>
      <c r="L71" s="115"/>
      <c r="M71" s="458" t="s">
        <v>69</v>
      </c>
      <c r="N71" s="473">
        <v>1</v>
      </c>
    </row>
    <row r="72" spans="1:14" ht="21.75" customHeight="1" x14ac:dyDescent="0.2">
      <c r="A72" s="447"/>
      <c r="B72" s="453"/>
      <c r="C72" s="558"/>
      <c r="D72" s="1425"/>
      <c r="E72" s="1292"/>
      <c r="F72" s="1667"/>
      <c r="G72" s="1671"/>
      <c r="H72" s="1672"/>
      <c r="I72" s="51"/>
      <c r="J72" s="271"/>
      <c r="K72" s="271"/>
      <c r="L72" s="271"/>
      <c r="M72" s="17"/>
      <c r="N72" s="474"/>
    </row>
    <row r="73" spans="1:14" ht="14.25" customHeight="1" x14ac:dyDescent="0.2">
      <c r="A73" s="1315"/>
      <c r="B73" s="1326"/>
      <c r="C73" s="1550"/>
      <c r="D73" s="1330" t="s">
        <v>650</v>
      </c>
      <c r="E73" s="1291" t="s">
        <v>194</v>
      </c>
      <c r="F73" s="1668"/>
      <c r="G73" s="1663"/>
      <c r="H73" s="1664"/>
      <c r="I73" s="29" t="s">
        <v>22</v>
      </c>
      <c r="J73" s="40">
        <v>10</v>
      </c>
      <c r="K73" s="40">
        <v>10</v>
      </c>
      <c r="L73" s="40"/>
      <c r="M73" s="455" t="s">
        <v>40</v>
      </c>
      <c r="N73" s="473">
        <v>1</v>
      </c>
    </row>
    <row r="74" spans="1:14" ht="21" customHeight="1" x14ac:dyDescent="0.2">
      <c r="A74" s="1315"/>
      <c r="B74" s="1326"/>
      <c r="C74" s="1550"/>
      <c r="D74" s="1316"/>
      <c r="E74" s="1292"/>
      <c r="F74" s="1514"/>
      <c r="G74" s="1663"/>
      <c r="H74" s="1664"/>
      <c r="I74" s="49" t="s">
        <v>38</v>
      </c>
      <c r="J74" s="40"/>
      <c r="K74" s="40"/>
      <c r="L74" s="40"/>
      <c r="M74" s="1665" t="s">
        <v>651</v>
      </c>
      <c r="N74" s="357"/>
    </row>
    <row r="75" spans="1:14" ht="18.75" customHeight="1" x14ac:dyDescent="0.2">
      <c r="A75" s="1315"/>
      <c r="B75" s="1326"/>
      <c r="C75" s="1550"/>
      <c r="D75" s="1425"/>
      <c r="E75" s="1311"/>
      <c r="F75" s="1669"/>
      <c r="G75" s="1663"/>
      <c r="H75" s="1664"/>
      <c r="I75" s="67"/>
      <c r="J75" s="39"/>
      <c r="K75" s="39"/>
      <c r="L75" s="39"/>
      <c r="M75" s="1274"/>
      <c r="N75" s="474"/>
    </row>
    <row r="76" spans="1:14" ht="17.25" customHeight="1" x14ac:dyDescent="0.2">
      <c r="A76" s="447"/>
      <c r="B76" s="453"/>
      <c r="C76" s="559"/>
      <c r="D76" s="370" t="s">
        <v>652</v>
      </c>
      <c r="E76" s="1271" t="s">
        <v>143</v>
      </c>
      <c r="F76" s="273" t="s">
        <v>178</v>
      </c>
      <c r="G76" s="452"/>
      <c r="H76" s="535"/>
      <c r="I76" s="49" t="s">
        <v>39</v>
      </c>
      <c r="J76" s="40">
        <v>21.5</v>
      </c>
      <c r="K76" s="40">
        <v>21.5</v>
      </c>
      <c r="L76" s="560"/>
      <c r="M76" s="460" t="s">
        <v>40</v>
      </c>
      <c r="N76" s="357">
        <v>1</v>
      </c>
    </row>
    <row r="77" spans="1:14" ht="18" customHeight="1" x14ac:dyDescent="0.2">
      <c r="A77" s="447"/>
      <c r="B77" s="453"/>
      <c r="C77" s="561"/>
      <c r="D77" s="371"/>
      <c r="E77" s="1329"/>
      <c r="F77" s="241"/>
      <c r="G77" s="452"/>
      <c r="H77" s="535"/>
      <c r="I77" s="51"/>
      <c r="J77" s="32"/>
      <c r="K77" s="32"/>
      <c r="L77" s="32"/>
      <c r="M77" s="100"/>
      <c r="N77" s="474"/>
    </row>
    <row r="78" spans="1:14" ht="17.25" customHeight="1" x14ac:dyDescent="0.2">
      <c r="A78" s="447"/>
      <c r="B78" s="448"/>
      <c r="C78" s="529"/>
      <c r="D78" s="370" t="s">
        <v>653</v>
      </c>
      <c r="E78" s="1295" t="s">
        <v>195</v>
      </c>
      <c r="F78" s="1666"/>
      <c r="G78" s="562"/>
      <c r="H78" s="563"/>
      <c r="I78" s="52" t="s">
        <v>51</v>
      </c>
      <c r="J78" s="34">
        <v>10</v>
      </c>
      <c r="K78" s="34">
        <v>10</v>
      </c>
      <c r="L78" s="34"/>
      <c r="M78" s="326" t="s">
        <v>69</v>
      </c>
      <c r="N78" s="564"/>
    </row>
    <row r="79" spans="1:14" ht="19.5" customHeight="1" x14ac:dyDescent="0.2">
      <c r="A79" s="447"/>
      <c r="B79" s="448"/>
      <c r="C79" s="529"/>
      <c r="D79" s="371"/>
      <c r="E79" s="1343"/>
      <c r="F79" s="1667"/>
      <c r="G79" s="562"/>
      <c r="H79" s="563"/>
      <c r="I79" s="565"/>
      <c r="J79" s="39"/>
      <c r="K79" s="39"/>
      <c r="L79" s="39"/>
      <c r="M79" s="17"/>
      <c r="N79" s="357"/>
    </row>
    <row r="80" spans="1:14" ht="13.5" customHeight="1" x14ac:dyDescent="0.2">
      <c r="A80" s="447"/>
      <c r="B80" s="448"/>
      <c r="C80" s="561"/>
      <c r="D80" s="369" t="s">
        <v>654</v>
      </c>
      <c r="E80" s="1551" t="s">
        <v>196</v>
      </c>
      <c r="F80" s="467"/>
      <c r="G80" s="449"/>
      <c r="H80" s="566"/>
      <c r="I80" s="49" t="s">
        <v>22</v>
      </c>
      <c r="J80" s="40">
        <v>28</v>
      </c>
      <c r="K80" s="40">
        <v>28</v>
      </c>
      <c r="L80" s="40"/>
      <c r="M80" s="1273" t="s">
        <v>99</v>
      </c>
      <c r="N80" s="473">
        <v>100</v>
      </c>
    </row>
    <row r="81" spans="1:14" ht="16.5" customHeight="1" x14ac:dyDescent="0.2">
      <c r="A81" s="447"/>
      <c r="B81" s="448"/>
      <c r="C81" s="561"/>
      <c r="D81" s="370"/>
      <c r="E81" s="1553"/>
      <c r="F81" s="468"/>
      <c r="G81" s="452"/>
      <c r="H81" s="566"/>
      <c r="I81" s="49"/>
      <c r="J81" s="40"/>
      <c r="K81" s="40"/>
      <c r="L81" s="40"/>
      <c r="M81" s="1273"/>
      <c r="N81" s="357"/>
    </row>
    <row r="82" spans="1:14" s="8" customFormat="1" ht="42.75" customHeight="1" x14ac:dyDescent="0.2">
      <c r="A82" s="447"/>
      <c r="B82" s="448"/>
      <c r="C82" s="529"/>
      <c r="D82" s="370"/>
      <c r="E82" s="1593"/>
      <c r="F82" s="567"/>
      <c r="G82" s="568"/>
      <c r="H82" s="569"/>
      <c r="I82" s="570"/>
      <c r="J82" s="136"/>
      <c r="K82" s="136"/>
      <c r="L82" s="136"/>
      <c r="M82" s="1659"/>
      <c r="N82" s="571"/>
    </row>
    <row r="83" spans="1:14" ht="15" customHeight="1" thickBot="1" x14ac:dyDescent="0.25">
      <c r="A83" s="495"/>
      <c r="B83" s="572"/>
      <c r="C83" s="573"/>
      <c r="D83" s="574"/>
      <c r="E83" s="575"/>
      <c r="F83" s="576"/>
      <c r="G83" s="577"/>
      <c r="H83" s="578"/>
      <c r="I83" s="85" t="s">
        <v>5</v>
      </c>
      <c r="J83" s="72">
        <f>SUM(J16:J81)</f>
        <v>9756.1</v>
      </c>
      <c r="K83" s="72">
        <f>SUM(K16:K81)</f>
        <v>8524.1</v>
      </c>
      <c r="L83" s="72">
        <f>SUM(L16:L81)</f>
        <v>0</v>
      </c>
      <c r="M83" s="579"/>
      <c r="N83" s="580"/>
    </row>
    <row r="84" spans="1:14" ht="14.25" customHeight="1" thickBot="1" x14ac:dyDescent="0.25">
      <c r="A84" s="47" t="s">
        <v>4</v>
      </c>
      <c r="B84" s="118" t="s">
        <v>4</v>
      </c>
      <c r="C84" s="1345" t="s">
        <v>7</v>
      </c>
      <c r="D84" s="1346"/>
      <c r="E84" s="1346"/>
      <c r="F84" s="1346"/>
      <c r="G84" s="1346"/>
      <c r="H84" s="1346"/>
      <c r="I84" s="1347"/>
      <c r="J84" s="74">
        <f>J83</f>
        <v>9756.1</v>
      </c>
      <c r="K84" s="74">
        <f t="shared" ref="K84:L84" si="0">K83</f>
        <v>8524.1</v>
      </c>
      <c r="L84" s="74">
        <f t="shared" si="0"/>
        <v>0</v>
      </c>
      <c r="M84" s="484"/>
      <c r="N84" s="502"/>
    </row>
    <row r="85" spans="1:14" ht="35.25" hidden="1" customHeight="1" x14ac:dyDescent="0.2">
      <c r="A85" s="581" t="s">
        <v>4</v>
      </c>
      <c r="B85" s="582" t="s">
        <v>4</v>
      </c>
      <c r="C85" s="583" t="s">
        <v>4</v>
      </c>
      <c r="D85" s="584"/>
      <c r="E85" s="585" t="s">
        <v>655</v>
      </c>
      <c r="F85" s="586" t="s">
        <v>656</v>
      </c>
      <c r="G85" s="587" t="s">
        <v>37</v>
      </c>
      <c r="H85" s="588"/>
      <c r="I85" s="589"/>
      <c r="J85" s="590"/>
      <c r="K85" s="590"/>
      <c r="L85" s="590"/>
      <c r="M85" s="591"/>
      <c r="N85" s="592"/>
    </row>
    <row r="86" spans="1:14" ht="18.75" hidden="1" customHeight="1" x14ac:dyDescent="0.2">
      <c r="A86" s="581"/>
      <c r="B86" s="582"/>
      <c r="C86" s="583"/>
      <c r="D86" s="593" t="s">
        <v>4</v>
      </c>
      <c r="E86" s="1660" t="s">
        <v>152</v>
      </c>
      <c r="F86" s="594" t="s">
        <v>41</v>
      </c>
      <c r="G86" s="595"/>
      <c r="H86" s="1635" t="s">
        <v>625</v>
      </c>
      <c r="I86" s="596" t="s">
        <v>657</v>
      </c>
      <c r="J86" s="596"/>
      <c r="K86" s="596"/>
      <c r="L86" s="596"/>
      <c r="M86" s="1661" t="s">
        <v>658</v>
      </c>
      <c r="N86" s="597"/>
    </row>
    <row r="87" spans="1:14" ht="33" hidden="1" customHeight="1" x14ac:dyDescent="0.2">
      <c r="A87" s="581"/>
      <c r="B87" s="582"/>
      <c r="C87" s="583"/>
      <c r="D87" s="595"/>
      <c r="E87" s="1655"/>
      <c r="F87" s="598" t="s">
        <v>659</v>
      </c>
      <c r="G87" s="587"/>
      <c r="H87" s="1641"/>
      <c r="I87" s="599"/>
      <c r="J87" s="599"/>
      <c r="K87" s="599"/>
      <c r="L87" s="599"/>
      <c r="M87" s="1662"/>
      <c r="N87" s="600"/>
    </row>
    <row r="88" spans="1:14" ht="27" hidden="1" customHeight="1" x14ac:dyDescent="0.2">
      <c r="A88" s="1616"/>
      <c r="B88" s="1648"/>
      <c r="C88" s="1618"/>
      <c r="D88" s="1619" t="s">
        <v>6</v>
      </c>
      <c r="E88" s="1658" t="s">
        <v>190</v>
      </c>
      <c r="F88" s="601" t="s">
        <v>41</v>
      </c>
      <c r="G88" s="1643"/>
      <c r="H88" s="1641"/>
      <c r="I88" s="602" t="s">
        <v>660</v>
      </c>
      <c r="J88" s="603"/>
      <c r="K88" s="603"/>
      <c r="L88" s="603"/>
      <c r="M88" s="604" t="s">
        <v>101</v>
      </c>
      <c r="N88" s="605">
        <v>2</v>
      </c>
    </row>
    <row r="89" spans="1:14" ht="26.25" hidden="1" customHeight="1" x14ac:dyDescent="0.2">
      <c r="A89" s="1616"/>
      <c r="B89" s="1648"/>
      <c r="C89" s="1618"/>
      <c r="D89" s="1638"/>
      <c r="E89" s="1639"/>
      <c r="F89" s="606" t="s">
        <v>81</v>
      </c>
      <c r="G89" s="1643"/>
      <c r="H89" s="1641"/>
      <c r="I89" s="607"/>
      <c r="J89" s="608"/>
      <c r="K89" s="608"/>
      <c r="L89" s="608"/>
      <c r="M89" s="609" t="s">
        <v>155</v>
      </c>
      <c r="N89" s="610">
        <v>1</v>
      </c>
    </row>
    <row r="90" spans="1:14" ht="15.75" hidden="1" customHeight="1" x14ac:dyDescent="0.2">
      <c r="A90" s="1616"/>
      <c r="B90" s="1648"/>
      <c r="C90" s="1618"/>
      <c r="D90" s="1619" t="s">
        <v>24</v>
      </c>
      <c r="E90" s="1633" t="s">
        <v>140</v>
      </c>
      <c r="F90" s="611" t="s">
        <v>41</v>
      </c>
      <c r="G90" s="1649"/>
      <c r="H90" s="612"/>
      <c r="I90" s="613" t="s">
        <v>657</v>
      </c>
      <c r="J90" s="599"/>
      <c r="K90" s="599"/>
      <c r="L90" s="599"/>
      <c r="M90" s="614" t="s">
        <v>117</v>
      </c>
      <c r="N90" s="615">
        <v>100</v>
      </c>
    </row>
    <row r="91" spans="1:14" ht="15" hidden="1" customHeight="1" x14ac:dyDescent="0.2">
      <c r="A91" s="1616"/>
      <c r="B91" s="1648"/>
      <c r="C91" s="1618"/>
      <c r="D91" s="1638"/>
      <c r="E91" s="1634"/>
      <c r="F91" s="616"/>
      <c r="G91" s="1649"/>
      <c r="H91" s="612"/>
      <c r="I91" s="613" t="s">
        <v>661</v>
      </c>
      <c r="J91" s="599"/>
      <c r="K91" s="599"/>
      <c r="L91" s="599"/>
      <c r="M91" s="614"/>
      <c r="N91" s="615"/>
    </row>
    <row r="92" spans="1:14" ht="15" hidden="1" customHeight="1" x14ac:dyDescent="0.2">
      <c r="A92" s="1616"/>
      <c r="B92" s="1648"/>
      <c r="C92" s="1618"/>
      <c r="D92" s="1638"/>
      <c r="E92" s="1634"/>
      <c r="F92" s="616"/>
      <c r="G92" s="1649"/>
      <c r="H92" s="612"/>
      <c r="I92" s="613" t="s">
        <v>662</v>
      </c>
      <c r="J92" s="599"/>
      <c r="K92" s="599"/>
      <c r="L92" s="599"/>
      <c r="M92" s="614"/>
      <c r="N92" s="615"/>
    </row>
    <row r="93" spans="1:14" ht="15" hidden="1" customHeight="1" x14ac:dyDescent="0.2">
      <c r="A93" s="1616"/>
      <c r="B93" s="1648"/>
      <c r="C93" s="1618"/>
      <c r="D93" s="1638"/>
      <c r="E93" s="1634"/>
      <c r="F93" s="616"/>
      <c r="G93" s="1649"/>
      <c r="H93" s="612"/>
      <c r="I93" s="613" t="s">
        <v>663</v>
      </c>
      <c r="J93" s="599"/>
      <c r="K93" s="599"/>
      <c r="L93" s="599"/>
      <c r="M93" s="614"/>
      <c r="N93" s="615"/>
    </row>
    <row r="94" spans="1:14" ht="16.5" hidden="1" customHeight="1" x14ac:dyDescent="0.2">
      <c r="A94" s="1616"/>
      <c r="B94" s="1648"/>
      <c r="C94" s="1618"/>
      <c r="D94" s="1620"/>
      <c r="E94" s="1657"/>
      <c r="F94" s="617"/>
      <c r="G94" s="1649"/>
      <c r="H94" s="612"/>
      <c r="I94" s="618" t="s">
        <v>664</v>
      </c>
      <c r="J94" s="619"/>
      <c r="K94" s="619"/>
      <c r="L94" s="619"/>
      <c r="M94" s="620"/>
      <c r="N94" s="621"/>
    </row>
    <row r="95" spans="1:14" ht="18.75" hidden="1" customHeight="1" x14ac:dyDescent="0.2">
      <c r="A95" s="622"/>
      <c r="B95" s="623"/>
      <c r="C95" s="624"/>
      <c r="D95" s="593" t="s">
        <v>29</v>
      </c>
      <c r="E95" s="1605" t="s">
        <v>250</v>
      </c>
      <c r="F95" s="601" t="s">
        <v>41</v>
      </c>
      <c r="G95" s="625"/>
      <c r="H95" s="1610" t="s">
        <v>627</v>
      </c>
      <c r="I95" s="613" t="s">
        <v>664</v>
      </c>
      <c r="J95" s="599"/>
      <c r="K95" s="599"/>
      <c r="L95" s="599"/>
      <c r="M95" s="1645" t="s">
        <v>665</v>
      </c>
      <c r="N95" s="626">
        <v>1</v>
      </c>
    </row>
    <row r="96" spans="1:14" ht="21" hidden="1" customHeight="1" x14ac:dyDescent="0.2">
      <c r="A96" s="622"/>
      <c r="B96" s="623"/>
      <c r="C96" s="624"/>
      <c r="D96" s="595"/>
      <c r="E96" s="1606"/>
      <c r="F96" s="1653" t="s">
        <v>81</v>
      </c>
      <c r="G96" s="625"/>
      <c r="H96" s="1599"/>
      <c r="I96" s="627"/>
      <c r="J96" s="628"/>
      <c r="K96" s="628"/>
      <c r="L96" s="628"/>
      <c r="M96" s="1611"/>
      <c r="N96" s="629"/>
    </row>
    <row r="97" spans="1:14" ht="24.75" hidden="1" customHeight="1" x14ac:dyDescent="0.2">
      <c r="A97" s="622"/>
      <c r="B97" s="623"/>
      <c r="C97" s="624"/>
      <c r="D97" s="630"/>
      <c r="E97" s="1613"/>
      <c r="F97" s="1654"/>
      <c r="G97" s="625"/>
      <c r="H97" s="1599"/>
      <c r="I97" s="631"/>
      <c r="J97" s="619"/>
      <c r="K97" s="619"/>
      <c r="L97" s="619"/>
      <c r="M97" s="632"/>
      <c r="N97" s="633"/>
    </row>
    <row r="98" spans="1:14" ht="17.25" hidden="1" customHeight="1" x14ac:dyDescent="0.2">
      <c r="A98" s="622"/>
      <c r="B98" s="623"/>
      <c r="C98" s="624"/>
      <c r="D98" s="595" t="s">
        <v>628</v>
      </c>
      <c r="E98" s="1655" t="s">
        <v>143</v>
      </c>
      <c r="F98" s="634" t="s">
        <v>41</v>
      </c>
      <c r="G98" s="635"/>
      <c r="H98" s="612"/>
      <c r="I98" s="599" t="s">
        <v>666</v>
      </c>
      <c r="J98" s="599"/>
      <c r="K98" s="599"/>
      <c r="L98" s="599"/>
      <c r="M98" s="614" t="s">
        <v>40</v>
      </c>
      <c r="N98" s="629">
        <v>1</v>
      </c>
    </row>
    <row r="99" spans="1:14" ht="18" hidden="1" customHeight="1" x14ac:dyDescent="0.2">
      <c r="A99" s="622"/>
      <c r="B99" s="623"/>
      <c r="C99" s="636"/>
      <c r="D99" s="630"/>
      <c r="E99" s="1656"/>
      <c r="F99" s="637" t="s">
        <v>178</v>
      </c>
      <c r="G99" s="638"/>
      <c r="H99" s="639"/>
      <c r="I99" s="619"/>
      <c r="J99" s="640"/>
      <c r="K99" s="640"/>
      <c r="L99" s="640"/>
      <c r="M99" s="641"/>
      <c r="N99" s="610"/>
    </row>
    <row r="100" spans="1:14" ht="17.25" hidden="1" customHeight="1" x14ac:dyDescent="0.2">
      <c r="A100" s="642"/>
      <c r="B100" s="643"/>
      <c r="C100" s="644"/>
      <c r="D100" s="645"/>
      <c r="E100" s="646"/>
      <c r="F100" s="647"/>
      <c r="G100" s="644"/>
      <c r="H100" s="648"/>
      <c r="I100" s="649" t="s">
        <v>5</v>
      </c>
      <c r="J100" s="650">
        <f>SUM(J85:J99)</f>
        <v>0</v>
      </c>
      <c r="K100" s="650">
        <f>SUM(K85:K99)</f>
        <v>0</v>
      </c>
      <c r="L100" s="650">
        <f>SUM(L85:L99)</f>
        <v>0</v>
      </c>
      <c r="M100" s="651"/>
      <c r="N100" s="652"/>
    </row>
    <row r="101" spans="1:14" ht="32.25" hidden="1" customHeight="1" x14ac:dyDescent="0.2">
      <c r="A101" s="653" t="s">
        <v>4</v>
      </c>
      <c r="B101" s="654" t="s">
        <v>4</v>
      </c>
      <c r="C101" s="655" t="s">
        <v>6</v>
      </c>
      <c r="D101" s="656"/>
      <c r="E101" s="657" t="s">
        <v>667</v>
      </c>
      <c r="F101" s="658" t="s">
        <v>668</v>
      </c>
      <c r="G101" s="659" t="s">
        <v>37</v>
      </c>
      <c r="H101" s="660"/>
      <c r="I101" s="661"/>
      <c r="J101" s="662"/>
      <c r="K101" s="662"/>
      <c r="L101" s="662"/>
      <c r="M101" s="663"/>
      <c r="N101" s="664"/>
    </row>
    <row r="102" spans="1:14" ht="16.5" hidden="1" customHeight="1" x14ac:dyDescent="0.2">
      <c r="A102" s="1647"/>
      <c r="B102" s="1648"/>
      <c r="C102" s="1618"/>
      <c r="D102" s="595" t="s">
        <v>4</v>
      </c>
      <c r="E102" s="1606" t="s">
        <v>138</v>
      </c>
      <c r="F102" s="665" t="s">
        <v>41</v>
      </c>
      <c r="G102" s="1643"/>
      <c r="H102" s="1599" t="s">
        <v>627</v>
      </c>
      <c r="I102" s="666" t="s">
        <v>661</v>
      </c>
      <c r="J102" s="596"/>
      <c r="K102" s="596"/>
      <c r="L102" s="596"/>
      <c r="M102" s="1645" t="s">
        <v>109</v>
      </c>
      <c r="N102" s="667">
        <v>1</v>
      </c>
    </row>
    <row r="103" spans="1:14" ht="23.25" hidden="1" customHeight="1" x14ac:dyDescent="0.2">
      <c r="A103" s="1647"/>
      <c r="B103" s="1648"/>
      <c r="C103" s="1618"/>
      <c r="D103" s="595"/>
      <c r="E103" s="1606"/>
      <c r="F103" s="665"/>
      <c r="G103" s="1643"/>
      <c r="H103" s="1599"/>
      <c r="I103" s="613" t="s">
        <v>657</v>
      </c>
      <c r="J103" s="599"/>
      <c r="K103" s="599"/>
      <c r="L103" s="599"/>
      <c r="M103" s="1646"/>
      <c r="N103" s="668"/>
    </row>
    <row r="104" spans="1:14" ht="39.75" hidden="1" customHeight="1" x14ac:dyDescent="0.2">
      <c r="A104" s="1647"/>
      <c r="B104" s="1648"/>
      <c r="C104" s="1618"/>
      <c r="D104" s="669"/>
      <c r="E104" s="1606"/>
      <c r="F104" s="665"/>
      <c r="G104" s="1643"/>
      <c r="H104" s="1599"/>
      <c r="I104" s="613"/>
      <c r="J104" s="599"/>
      <c r="K104" s="599"/>
      <c r="L104" s="599"/>
      <c r="M104" s="670" t="s">
        <v>126</v>
      </c>
      <c r="N104" s="671">
        <v>100</v>
      </c>
    </row>
    <row r="105" spans="1:14" ht="28.5" hidden="1" customHeight="1" x14ac:dyDescent="0.2">
      <c r="A105" s="1647"/>
      <c r="B105" s="1648"/>
      <c r="C105" s="1618"/>
      <c r="D105" s="669"/>
      <c r="E105" s="1606"/>
      <c r="F105" s="665"/>
      <c r="G105" s="1643"/>
      <c r="H105" s="1599"/>
      <c r="I105" s="672"/>
      <c r="J105" s="599"/>
      <c r="K105" s="599"/>
      <c r="L105" s="599"/>
      <c r="M105" s="670" t="s">
        <v>629</v>
      </c>
      <c r="N105" s="671" t="s">
        <v>669</v>
      </c>
    </row>
    <row r="106" spans="1:14" ht="24.75" hidden="1" customHeight="1" x14ac:dyDescent="0.2">
      <c r="A106" s="1647"/>
      <c r="B106" s="1648"/>
      <c r="C106" s="1618"/>
      <c r="D106" s="1619" t="s">
        <v>6</v>
      </c>
      <c r="E106" s="1605" t="s">
        <v>49</v>
      </c>
      <c r="F106" s="673" t="s">
        <v>41</v>
      </c>
      <c r="G106" s="1649"/>
      <c r="H106" s="674"/>
      <c r="I106" s="666" t="s">
        <v>657</v>
      </c>
      <c r="J106" s="596"/>
      <c r="K106" s="596"/>
      <c r="L106" s="596"/>
      <c r="M106" s="675" t="s">
        <v>105</v>
      </c>
      <c r="N106" s="676">
        <v>5</v>
      </c>
    </row>
    <row r="107" spans="1:14" ht="9.75" hidden="1" customHeight="1" x14ac:dyDescent="0.2">
      <c r="A107" s="1647"/>
      <c r="B107" s="1648"/>
      <c r="C107" s="1618"/>
      <c r="D107" s="1620"/>
      <c r="E107" s="1613"/>
      <c r="F107" s="677"/>
      <c r="G107" s="1649"/>
      <c r="H107" s="674"/>
      <c r="I107" s="618"/>
      <c r="J107" s="619"/>
      <c r="K107" s="619"/>
      <c r="L107" s="619"/>
      <c r="M107" s="678"/>
      <c r="N107" s="679"/>
    </row>
    <row r="108" spans="1:14" ht="17.25" hidden="1" customHeight="1" x14ac:dyDescent="0.2">
      <c r="A108" s="622"/>
      <c r="B108" s="623"/>
      <c r="C108" s="680"/>
      <c r="D108" s="1619" t="s">
        <v>24</v>
      </c>
      <c r="E108" s="1605" t="s">
        <v>141</v>
      </c>
      <c r="F108" s="1608" t="s">
        <v>41</v>
      </c>
      <c r="G108" s="1629"/>
      <c r="H108" s="1641"/>
      <c r="I108" s="666" t="s">
        <v>664</v>
      </c>
      <c r="J108" s="603"/>
      <c r="K108" s="603"/>
      <c r="L108" s="603"/>
      <c r="M108" s="681" t="s">
        <v>69</v>
      </c>
      <c r="N108" s="626">
        <v>1</v>
      </c>
    </row>
    <row r="109" spans="1:14" ht="21.75" hidden="1" customHeight="1" x14ac:dyDescent="0.2">
      <c r="A109" s="622"/>
      <c r="B109" s="623"/>
      <c r="C109" s="680"/>
      <c r="D109" s="1620"/>
      <c r="E109" s="1606"/>
      <c r="F109" s="1628"/>
      <c r="G109" s="1629"/>
      <c r="H109" s="1641"/>
      <c r="I109" s="631"/>
      <c r="J109" s="682"/>
      <c r="K109" s="682"/>
      <c r="L109" s="682"/>
      <c r="M109" s="683"/>
      <c r="N109" s="610"/>
    </row>
    <row r="110" spans="1:14" ht="16.5" hidden="1" customHeight="1" x14ac:dyDescent="0.2">
      <c r="A110" s="642"/>
      <c r="B110" s="643"/>
      <c r="C110" s="644"/>
      <c r="D110" s="645"/>
      <c r="E110" s="684"/>
      <c r="F110" s="685"/>
      <c r="G110" s="645"/>
      <c r="H110" s="686"/>
      <c r="I110" s="687" t="s">
        <v>5</v>
      </c>
      <c r="J110" s="688">
        <f>SUM(J102:J109)</f>
        <v>0</v>
      </c>
      <c r="K110" s="688">
        <f>SUM(K102:K109)</f>
        <v>0</v>
      </c>
      <c r="L110" s="688">
        <f>SUM(L102:L109)</f>
        <v>0</v>
      </c>
      <c r="M110" s="689"/>
      <c r="N110" s="652"/>
    </row>
    <row r="111" spans="1:14" ht="36" hidden="1" customHeight="1" x14ac:dyDescent="0.2">
      <c r="A111" s="622" t="s">
        <v>4</v>
      </c>
      <c r="B111" s="690" t="s">
        <v>4</v>
      </c>
      <c r="C111" s="691" t="s">
        <v>24</v>
      </c>
      <c r="D111" s="692"/>
      <c r="E111" s="693" t="s">
        <v>670</v>
      </c>
      <c r="F111" s="694" t="s">
        <v>671</v>
      </c>
      <c r="G111" s="695" t="s">
        <v>37</v>
      </c>
      <c r="H111" s="696"/>
      <c r="I111" s="697"/>
      <c r="J111" s="698"/>
      <c r="K111" s="698"/>
      <c r="L111" s="698"/>
      <c r="M111" s="699"/>
      <c r="N111" s="700"/>
    </row>
    <row r="112" spans="1:14" ht="14.1" hidden="1" customHeight="1" x14ac:dyDescent="0.2">
      <c r="A112" s="1616"/>
      <c r="B112" s="1617"/>
      <c r="C112" s="1618"/>
      <c r="D112" s="1642" t="s">
        <v>4</v>
      </c>
      <c r="E112" s="1633" t="s">
        <v>187</v>
      </c>
      <c r="F112" s="1631" t="s">
        <v>41</v>
      </c>
      <c r="G112" s="1642"/>
      <c r="H112" s="1635" t="s">
        <v>625</v>
      </c>
      <c r="I112" s="666" t="s">
        <v>661</v>
      </c>
      <c r="J112" s="603"/>
      <c r="K112" s="603"/>
      <c r="L112" s="603"/>
      <c r="M112" s="1600"/>
      <c r="N112" s="626"/>
    </row>
    <row r="113" spans="1:14" ht="14.1" hidden="1" customHeight="1" x14ac:dyDescent="0.2">
      <c r="A113" s="1616"/>
      <c r="B113" s="1617"/>
      <c r="C113" s="1618"/>
      <c r="D113" s="1643"/>
      <c r="E113" s="1639"/>
      <c r="F113" s="1632"/>
      <c r="G113" s="1643"/>
      <c r="H113" s="1652"/>
      <c r="I113" s="613" t="s">
        <v>657</v>
      </c>
      <c r="J113" s="701"/>
      <c r="K113" s="701"/>
      <c r="L113" s="701"/>
      <c r="M113" s="1611"/>
      <c r="N113" s="629"/>
    </row>
    <row r="114" spans="1:14" ht="14.1" hidden="1" customHeight="1" x14ac:dyDescent="0.2">
      <c r="A114" s="1616"/>
      <c r="B114" s="1617"/>
      <c r="C114" s="1618"/>
      <c r="D114" s="1643"/>
      <c r="E114" s="1644"/>
      <c r="F114" s="1632"/>
      <c r="G114" s="1643"/>
      <c r="H114" s="1652"/>
      <c r="I114" s="613" t="s">
        <v>672</v>
      </c>
      <c r="J114" s="599"/>
      <c r="K114" s="599"/>
      <c r="L114" s="599"/>
      <c r="M114" s="702"/>
      <c r="N114" s="629"/>
    </row>
    <row r="115" spans="1:14" ht="14.1" hidden="1" customHeight="1" x14ac:dyDescent="0.2">
      <c r="A115" s="1616"/>
      <c r="B115" s="1617"/>
      <c r="C115" s="1618"/>
      <c r="D115" s="1643"/>
      <c r="E115" s="703"/>
      <c r="F115" s="1632"/>
      <c r="G115" s="1643"/>
      <c r="H115" s="1652"/>
      <c r="I115" s="613" t="s">
        <v>662</v>
      </c>
      <c r="J115" s="599"/>
      <c r="K115" s="599"/>
      <c r="L115" s="599"/>
      <c r="M115" s="702"/>
      <c r="N115" s="629"/>
    </row>
    <row r="116" spans="1:14" ht="14.1" hidden="1" customHeight="1" x14ac:dyDescent="0.2">
      <c r="A116" s="1616"/>
      <c r="B116" s="1617"/>
      <c r="C116" s="1618"/>
      <c r="D116" s="1643"/>
      <c r="E116" s="703"/>
      <c r="F116" s="1632"/>
      <c r="G116" s="1643"/>
      <c r="H116" s="1652"/>
      <c r="I116" s="613" t="s">
        <v>666</v>
      </c>
      <c r="J116" s="599"/>
      <c r="K116" s="599"/>
      <c r="L116" s="599"/>
      <c r="M116" s="702"/>
      <c r="N116" s="629"/>
    </row>
    <row r="117" spans="1:14" ht="14.1" hidden="1" customHeight="1" x14ac:dyDescent="0.2">
      <c r="A117" s="1616"/>
      <c r="B117" s="1617"/>
      <c r="C117" s="1618"/>
      <c r="D117" s="1643"/>
      <c r="E117" s="703"/>
      <c r="F117" s="1632"/>
      <c r="G117" s="1643"/>
      <c r="H117" s="1652"/>
      <c r="I117" s="613" t="s">
        <v>664</v>
      </c>
      <c r="J117" s="599"/>
      <c r="K117" s="599"/>
      <c r="L117" s="599"/>
      <c r="M117" s="702"/>
      <c r="N117" s="629"/>
    </row>
    <row r="118" spans="1:14" ht="25.5" hidden="1" customHeight="1" x14ac:dyDescent="0.2">
      <c r="A118" s="1616"/>
      <c r="B118" s="1617"/>
      <c r="C118" s="1618"/>
      <c r="D118" s="1643"/>
      <c r="E118" s="704" t="s">
        <v>673</v>
      </c>
      <c r="F118" s="1632"/>
      <c r="G118" s="1643"/>
      <c r="H118" s="1652"/>
      <c r="I118" s="613"/>
      <c r="J118" s="599"/>
      <c r="K118" s="599"/>
      <c r="L118" s="599"/>
      <c r="M118" s="705" t="s">
        <v>127</v>
      </c>
      <c r="N118" s="706">
        <v>100</v>
      </c>
    </row>
    <row r="119" spans="1:14" ht="40.5" hidden="1" customHeight="1" x14ac:dyDescent="0.2">
      <c r="A119" s="1616"/>
      <c r="B119" s="1617"/>
      <c r="C119" s="1618"/>
      <c r="D119" s="1643"/>
      <c r="E119" s="707" t="s">
        <v>674</v>
      </c>
      <c r="F119" s="1650"/>
      <c r="G119" s="1651"/>
      <c r="H119" s="696"/>
      <c r="I119" s="631"/>
      <c r="J119" s="619"/>
      <c r="K119" s="619"/>
      <c r="L119" s="619"/>
      <c r="M119" s="609" t="s">
        <v>128</v>
      </c>
      <c r="N119" s="610">
        <v>80</v>
      </c>
    </row>
    <row r="120" spans="1:14" ht="15" hidden="1" customHeight="1" x14ac:dyDescent="0.2">
      <c r="A120" s="622"/>
      <c r="B120" s="690"/>
      <c r="C120" s="708"/>
      <c r="D120" s="1619" t="s">
        <v>6</v>
      </c>
      <c r="E120" s="1633" t="s">
        <v>192</v>
      </c>
      <c r="F120" s="709" t="s">
        <v>41</v>
      </c>
      <c r="G120" s="1629"/>
      <c r="H120" s="1625" t="s">
        <v>675</v>
      </c>
      <c r="I120" s="613" t="s">
        <v>664</v>
      </c>
      <c r="J120" s="599"/>
      <c r="K120" s="599"/>
      <c r="L120" s="599"/>
      <c r="M120" s="675" t="s">
        <v>40</v>
      </c>
      <c r="N120" s="626">
        <v>1</v>
      </c>
    </row>
    <row r="121" spans="1:14" ht="15" hidden="1" customHeight="1" x14ac:dyDescent="0.2">
      <c r="A121" s="622"/>
      <c r="B121" s="690"/>
      <c r="C121" s="708"/>
      <c r="D121" s="1638"/>
      <c r="E121" s="1634"/>
      <c r="F121" s="710"/>
      <c r="G121" s="1629"/>
      <c r="H121" s="1640"/>
      <c r="I121" s="613"/>
      <c r="J121" s="599"/>
      <c r="K121" s="599"/>
      <c r="L121" s="599"/>
      <c r="M121" s="614"/>
      <c r="N121" s="629"/>
    </row>
    <row r="122" spans="1:14" ht="21" hidden="1" customHeight="1" x14ac:dyDescent="0.2">
      <c r="A122" s="622"/>
      <c r="B122" s="690"/>
      <c r="C122" s="708"/>
      <c r="D122" s="1638"/>
      <c r="E122" s="1639"/>
      <c r="F122" s="711"/>
      <c r="G122" s="1629"/>
      <c r="H122" s="1640"/>
      <c r="I122" s="618"/>
      <c r="J122" s="619"/>
      <c r="K122" s="619"/>
      <c r="L122" s="619"/>
      <c r="M122" s="632"/>
      <c r="N122" s="610"/>
    </row>
    <row r="123" spans="1:14" ht="21.75" hidden="1" customHeight="1" x14ac:dyDescent="0.2">
      <c r="A123" s="622"/>
      <c r="B123" s="690"/>
      <c r="C123" s="708"/>
      <c r="D123" s="1619" t="s">
        <v>24</v>
      </c>
      <c r="E123" s="1605" t="s">
        <v>193</v>
      </c>
      <c r="F123" s="1627" t="s">
        <v>41</v>
      </c>
      <c r="G123" s="1629"/>
      <c r="H123" s="712"/>
      <c r="I123" s="713" t="s">
        <v>664</v>
      </c>
      <c r="J123" s="599"/>
      <c r="K123" s="599"/>
      <c r="L123" s="599"/>
      <c r="M123" s="1600" t="s">
        <v>40</v>
      </c>
      <c r="N123" s="629">
        <v>1</v>
      </c>
    </row>
    <row r="124" spans="1:14" ht="17.25" hidden="1" customHeight="1" x14ac:dyDescent="0.2">
      <c r="A124" s="622"/>
      <c r="B124" s="690"/>
      <c r="C124" s="708"/>
      <c r="D124" s="1620"/>
      <c r="E124" s="1613"/>
      <c r="F124" s="1628"/>
      <c r="G124" s="1629"/>
      <c r="H124" s="714"/>
      <c r="I124" s="618" t="s">
        <v>657</v>
      </c>
      <c r="J124" s="619"/>
      <c r="K124" s="619"/>
      <c r="L124" s="619"/>
      <c r="M124" s="1630"/>
      <c r="N124" s="610"/>
    </row>
    <row r="125" spans="1:14" ht="16.5" hidden="1" customHeight="1" x14ac:dyDescent="0.2">
      <c r="A125" s="642"/>
      <c r="B125" s="643"/>
      <c r="C125" s="644"/>
      <c r="D125" s="645"/>
      <c r="E125" s="684"/>
      <c r="F125" s="685"/>
      <c r="G125" s="645"/>
      <c r="H125" s="686"/>
      <c r="I125" s="687" t="s">
        <v>5</v>
      </c>
      <c r="J125" s="688">
        <f>SUM(J112:J124)</f>
        <v>0</v>
      </c>
      <c r="K125" s="688">
        <f>SUM(K112:K124)</f>
        <v>0</v>
      </c>
      <c r="L125" s="688">
        <f>SUM(L112:L124)</f>
        <v>0</v>
      </c>
      <c r="M125" s="689"/>
      <c r="N125" s="652"/>
    </row>
    <row r="126" spans="1:14" ht="33" hidden="1" customHeight="1" x14ac:dyDescent="0.2">
      <c r="A126" s="653" t="s">
        <v>4</v>
      </c>
      <c r="B126" s="715" t="s">
        <v>4</v>
      </c>
      <c r="C126" s="655" t="s">
        <v>29</v>
      </c>
      <c r="D126" s="716"/>
      <c r="E126" s="657" t="s">
        <v>676</v>
      </c>
      <c r="F126" s="717" t="s">
        <v>677</v>
      </c>
      <c r="G126" s="718" t="s">
        <v>37</v>
      </c>
      <c r="H126" s="719"/>
      <c r="I126" s="661"/>
      <c r="J126" s="720"/>
      <c r="K126" s="720"/>
      <c r="L126" s="720"/>
      <c r="M126" s="721"/>
      <c r="N126" s="664"/>
    </row>
    <row r="127" spans="1:14" ht="15" hidden="1" customHeight="1" x14ac:dyDescent="0.2">
      <c r="A127" s="622"/>
      <c r="B127" s="690"/>
      <c r="C127" s="691"/>
      <c r="D127" s="1631" t="s">
        <v>4</v>
      </c>
      <c r="E127" s="1633" t="s">
        <v>50</v>
      </c>
      <c r="F127" s="1608" t="s">
        <v>41</v>
      </c>
      <c r="G127" s="1632"/>
      <c r="H127" s="1635" t="s">
        <v>678</v>
      </c>
      <c r="I127" s="596"/>
      <c r="J127" s="596"/>
      <c r="K127" s="596"/>
      <c r="L127" s="596"/>
      <c r="M127" s="1614" t="s">
        <v>129</v>
      </c>
      <c r="N127" s="626">
        <v>100</v>
      </c>
    </row>
    <row r="128" spans="1:14" ht="15" hidden="1" customHeight="1" x14ac:dyDescent="0.2">
      <c r="A128" s="622"/>
      <c r="B128" s="690"/>
      <c r="C128" s="691"/>
      <c r="D128" s="1632"/>
      <c r="E128" s="1634"/>
      <c r="F128" s="1627"/>
      <c r="G128" s="1632"/>
      <c r="H128" s="1636"/>
      <c r="I128" s="599" t="s">
        <v>662</v>
      </c>
      <c r="J128" s="599"/>
      <c r="K128" s="599"/>
      <c r="L128" s="599"/>
      <c r="M128" s="1615"/>
      <c r="N128" s="629"/>
    </row>
    <row r="129" spans="1:14" ht="15" hidden="1" customHeight="1" x14ac:dyDescent="0.2">
      <c r="A129" s="622"/>
      <c r="B129" s="690"/>
      <c r="C129" s="691"/>
      <c r="D129" s="1632"/>
      <c r="E129" s="1634"/>
      <c r="F129" s="1627"/>
      <c r="G129" s="1632"/>
      <c r="H129" s="1636"/>
      <c r="I129" s="599"/>
      <c r="J129" s="599"/>
      <c r="K129" s="599"/>
      <c r="L129" s="599"/>
      <c r="M129" s="722"/>
      <c r="N129" s="629"/>
    </row>
    <row r="130" spans="1:14" ht="15" hidden="1" customHeight="1" x14ac:dyDescent="0.2">
      <c r="A130" s="622"/>
      <c r="B130" s="690"/>
      <c r="C130" s="691"/>
      <c r="D130" s="1632"/>
      <c r="E130" s="1634"/>
      <c r="F130" s="1627"/>
      <c r="G130" s="1632"/>
      <c r="H130" s="1637"/>
      <c r="I130" s="619"/>
      <c r="J130" s="619"/>
      <c r="K130" s="619"/>
      <c r="L130" s="619"/>
      <c r="M130" s="723"/>
      <c r="N130" s="610"/>
    </row>
    <row r="131" spans="1:14" ht="14.25" hidden="1" customHeight="1" x14ac:dyDescent="0.2">
      <c r="A131" s="1616"/>
      <c r="B131" s="1617"/>
      <c r="C131" s="1618"/>
      <c r="D131" s="1619" t="s">
        <v>6</v>
      </c>
      <c r="E131" s="1605" t="s">
        <v>194</v>
      </c>
      <c r="F131" s="1621" t="s">
        <v>41</v>
      </c>
      <c r="G131" s="1623"/>
      <c r="H131" s="1625" t="s">
        <v>625</v>
      </c>
      <c r="I131" s="724" t="s">
        <v>657</v>
      </c>
      <c r="J131" s="599"/>
      <c r="K131" s="599"/>
      <c r="L131" s="599"/>
      <c r="M131" s="675" t="s">
        <v>40</v>
      </c>
      <c r="N131" s="626">
        <v>1</v>
      </c>
    </row>
    <row r="132" spans="1:14" ht="18.75" hidden="1" customHeight="1" x14ac:dyDescent="0.2">
      <c r="A132" s="1616"/>
      <c r="B132" s="1617"/>
      <c r="C132" s="1618"/>
      <c r="D132" s="1620"/>
      <c r="E132" s="1613"/>
      <c r="F132" s="1622"/>
      <c r="G132" s="1624"/>
      <c r="H132" s="1626"/>
      <c r="I132" s="618"/>
      <c r="J132" s="619"/>
      <c r="K132" s="619"/>
      <c r="L132" s="619"/>
      <c r="M132" s="609"/>
      <c r="N132" s="610"/>
    </row>
    <row r="133" spans="1:14" ht="16.5" hidden="1" customHeight="1" x14ac:dyDescent="0.2">
      <c r="A133" s="642"/>
      <c r="B133" s="643"/>
      <c r="C133" s="644"/>
      <c r="D133" s="645"/>
      <c r="E133" s="684"/>
      <c r="F133" s="685"/>
      <c r="G133" s="645"/>
      <c r="H133" s="686"/>
      <c r="I133" s="687" t="s">
        <v>5</v>
      </c>
      <c r="J133" s="688">
        <f>SUM(J127:J132)</f>
        <v>0</v>
      </c>
      <c r="K133" s="688">
        <f>SUM(K127:K132)</f>
        <v>0</v>
      </c>
      <c r="L133" s="688">
        <f>SUM(L127:L132)</f>
        <v>0</v>
      </c>
      <c r="M133" s="689"/>
      <c r="N133" s="652"/>
    </row>
    <row r="134" spans="1:14" ht="33" hidden="1" customHeight="1" x14ac:dyDescent="0.2">
      <c r="A134" s="653" t="s">
        <v>4</v>
      </c>
      <c r="B134" s="715" t="s">
        <v>4</v>
      </c>
      <c r="C134" s="655" t="s">
        <v>628</v>
      </c>
      <c r="D134" s="716"/>
      <c r="E134" s="725" t="s">
        <v>679</v>
      </c>
      <c r="F134" s="717" t="s">
        <v>680</v>
      </c>
      <c r="G134" s="659" t="s">
        <v>37</v>
      </c>
      <c r="H134" s="726"/>
      <c r="I134" s="727"/>
      <c r="J134" s="720"/>
      <c r="K134" s="720"/>
      <c r="L134" s="720"/>
      <c r="M134" s="728"/>
      <c r="N134" s="729"/>
    </row>
    <row r="135" spans="1:14" ht="14.25" hidden="1" customHeight="1" x14ac:dyDescent="0.2">
      <c r="A135" s="622"/>
      <c r="B135" s="690"/>
      <c r="C135" s="691"/>
      <c r="D135" s="593" t="s">
        <v>4</v>
      </c>
      <c r="E135" s="1605" t="s">
        <v>139</v>
      </c>
      <c r="F135" s="730" t="s">
        <v>41</v>
      </c>
      <c r="G135" s="635"/>
      <c r="H135" s="1599" t="s">
        <v>681</v>
      </c>
      <c r="I135" s="613" t="s">
        <v>661</v>
      </c>
      <c r="J135" s="599"/>
      <c r="K135" s="599"/>
      <c r="L135" s="599"/>
      <c r="M135" s="1600" t="s">
        <v>130</v>
      </c>
      <c r="N135" s="731">
        <v>100</v>
      </c>
    </row>
    <row r="136" spans="1:14" ht="12.75" hidden="1" customHeight="1" x14ac:dyDescent="0.2">
      <c r="A136" s="622"/>
      <c r="B136" s="690"/>
      <c r="C136" s="691"/>
      <c r="D136" s="595"/>
      <c r="E136" s="1606"/>
      <c r="F136" s="1612"/>
      <c r="G136" s="635"/>
      <c r="H136" s="1599"/>
      <c r="I136" s="732" t="s">
        <v>657</v>
      </c>
      <c r="J136" s="733"/>
      <c r="K136" s="733"/>
      <c r="L136" s="733"/>
      <c r="M136" s="1611"/>
      <c r="N136" s="731"/>
    </row>
    <row r="137" spans="1:14" ht="15" hidden="1" customHeight="1" x14ac:dyDescent="0.2">
      <c r="A137" s="622"/>
      <c r="B137" s="690"/>
      <c r="C137" s="691"/>
      <c r="D137" s="669"/>
      <c r="E137" s="1606"/>
      <c r="F137" s="1612"/>
      <c r="G137" s="635"/>
      <c r="H137" s="1599"/>
      <c r="I137" s="734"/>
      <c r="J137" s="735"/>
      <c r="K137" s="735"/>
      <c r="L137" s="735"/>
      <c r="M137" s="702"/>
      <c r="N137" s="731"/>
    </row>
    <row r="138" spans="1:14" ht="16.5" hidden="1" customHeight="1" x14ac:dyDescent="0.2">
      <c r="A138" s="622"/>
      <c r="B138" s="690"/>
      <c r="C138" s="691"/>
      <c r="D138" s="669"/>
      <c r="E138" s="1606"/>
      <c r="F138" s="1612"/>
      <c r="G138" s="635"/>
      <c r="H138" s="1599"/>
      <c r="I138" s="736"/>
      <c r="J138" s="737"/>
      <c r="K138" s="737"/>
      <c r="L138" s="737"/>
      <c r="M138" s="609"/>
      <c r="N138" s="679"/>
    </row>
    <row r="139" spans="1:14" ht="15.75" hidden="1" customHeight="1" x14ac:dyDescent="0.2">
      <c r="A139" s="622"/>
      <c r="B139" s="690"/>
      <c r="C139" s="691"/>
      <c r="D139" s="593" t="s">
        <v>6</v>
      </c>
      <c r="E139" s="1605" t="s">
        <v>142</v>
      </c>
      <c r="F139" s="730" t="s">
        <v>41</v>
      </c>
      <c r="G139" s="635"/>
      <c r="H139" s="1599"/>
      <c r="I139" s="613" t="s">
        <v>657</v>
      </c>
      <c r="J139" s="599"/>
      <c r="K139" s="599"/>
      <c r="L139" s="599"/>
      <c r="M139" s="614" t="s">
        <v>145</v>
      </c>
      <c r="N139" s="738">
        <v>10</v>
      </c>
    </row>
    <row r="140" spans="1:14" ht="19.5" hidden="1" customHeight="1" x14ac:dyDescent="0.2">
      <c r="A140" s="622"/>
      <c r="B140" s="690"/>
      <c r="C140" s="691"/>
      <c r="D140" s="630"/>
      <c r="E140" s="1613"/>
      <c r="F140" s="739"/>
      <c r="G140" s="635"/>
      <c r="H140" s="1599"/>
      <c r="I140" s="619"/>
      <c r="J140" s="619"/>
      <c r="K140" s="619"/>
      <c r="L140" s="619"/>
      <c r="M140" s="620"/>
      <c r="N140" s="679"/>
    </row>
    <row r="141" spans="1:14" ht="15" hidden="1" customHeight="1" x14ac:dyDescent="0.2">
      <c r="A141" s="622"/>
      <c r="B141" s="690"/>
      <c r="C141" s="691"/>
      <c r="D141" s="595" t="s">
        <v>24</v>
      </c>
      <c r="E141" s="1605" t="s">
        <v>96</v>
      </c>
      <c r="F141" s="1608" t="s">
        <v>682</v>
      </c>
      <c r="G141" s="635"/>
      <c r="H141" s="1599"/>
      <c r="I141" s="613" t="s">
        <v>664</v>
      </c>
      <c r="J141" s="599"/>
      <c r="K141" s="599"/>
      <c r="L141" s="599"/>
      <c r="M141" s="740" t="s">
        <v>40</v>
      </c>
      <c r="N141" s="676">
        <v>1</v>
      </c>
    </row>
    <row r="142" spans="1:14" ht="21" hidden="1" customHeight="1" x14ac:dyDescent="0.2">
      <c r="A142" s="622"/>
      <c r="B142" s="690"/>
      <c r="C142" s="708"/>
      <c r="D142" s="595"/>
      <c r="E142" s="1606"/>
      <c r="F142" s="1609"/>
      <c r="G142" s="635"/>
      <c r="H142" s="1599"/>
      <c r="I142" s="613"/>
      <c r="J142" s="599"/>
      <c r="K142" s="599"/>
      <c r="L142" s="599"/>
      <c r="M142" s="614"/>
      <c r="N142" s="731"/>
    </row>
    <row r="143" spans="1:14" ht="18.75" hidden="1" customHeight="1" x14ac:dyDescent="0.2">
      <c r="A143" s="622"/>
      <c r="B143" s="690"/>
      <c r="C143" s="708"/>
      <c r="D143" s="630"/>
      <c r="E143" s="1607"/>
      <c r="F143" s="1609"/>
      <c r="G143" s="635"/>
      <c r="H143" s="1599"/>
      <c r="I143" s="631"/>
      <c r="J143" s="619"/>
      <c r="K143" s="619"/>
      <c r="L143" s="619"/>
      <c r="M143" s="632"/>
      <c r="N143" s="610"/>
    </row>
    <row r="144" spans="1:14" ht="16.5" hidden="1" customHeight="1" x14ac:dyDescent="0.2">
      <c r="A144" s="642"/>
      <c r="B144" s="643"/>
      <c r="C144" s="644"/>
      <c r="D144" s="645"/>
      <c r="E144" s="684"/>
      <c r="F144" s="685"/>
      <c r="G144" s="645"/>
      <c r="H144" s="686"/>
      <c r="I144" s="649" t="s">
        <v>5</v>
      </c>
      <c r="J144" s="650">
        <f>SUM(J135:J143)</f>
        <v>0</v>
      </c>
      <c r="K144" s="650">
        <f>SUM(K135:K143)</f>
        <v>0</v>
      </c>
      <c r="L144" s="650">
        <f>SUM(L135:L143)</f>
        <v>0</v>
      </c>
      <c r="M144" s="689"/>
      <c r="N144" s="652"/>
    </row>
    <row r="145" spans="1:14" ht="29.25" hidden="1" customHeight="1" x14ac:dyDescent="0.2">
      <c r="A145" s="622" t="s">
        <v>4</v>
      </c>
      <c r="B145" s="690" t="s">
        <v>4</v>
      </c>
      <c r="C145" s="691" t="s">
        <v>30</v>
      </c>
      <c r="D145" s="677"/>
      <c r="E145" s="741" t="s">
        <v>683</v>
      </c>
      <c r="F145" s="742" t="s">
        <v>684</v>
      </c>
      <c r="G145" s="743" t="s">
        <v>37</v>
      </c>
      <c r="H145" s="744"/>
      <c r="I145" s="720"/>
      <c r="J145" s="745"/>
      <c r="K145" s="745"/>
      <c r="L145" s="745"/>
      <c r="M145" s="746"/>
      <c r="N145" s="700"/>
    </row>
    <row r="146" spans="1:14" ht="14.25" hidden="1" customHeight="1" x14ac:dyDescent="0.2">
      <c r="A146" s="622"/>
      <c r="B146" s="690"/>
      <c r="C146" s="691"/>
      <c r="D146" s="747" t="s">
        <v>4</v>
      </c>
      <c r="E146" s="1605" t="s">
        <v>94</v>
      </c>
      <c r="F146" s="1608" t="s">
        <v>682</v>
      </c>
      <c r="G146" s="635"/>
      <c r="H146" s="1610" t="s">
        <v>685</v>
      </c>
      <c r="I146" s="701" t="s">
        <v>661</v>
      </c>
      <c r="J146" s="599"/>
      <c r="K146" s="599"/>
      <c r="L146" s="599"/>
      <c r="M146" s="740" t="s">
        <v>40</v>
      </c>
      <c r="N146" s="748">
        <v>1</v>
      </c>
    </row>
    <row r="147" spans="1:14" ht="13.5" hidden="1" customHeight="1" x14ac:dyDescent="0.2">
      <c r="A147" s="622"/>
      <c r="B147" s="690"/>
      <c r="C147" s="691"/>
      <c r="D147" s="747"/>
      <c r="E147" s="1606"/>
      <c r="F147" s="1609"/>
      <c r="G147" s="635"/>
      <c r="H147" s="1599"/>
      <c r="I147" s="701"/>
      <c r="J147" s="599"/>
      <c r="K147" s="599"/>
      <c r="L147" s="599"/>
      <c r="M147" s="749"/>
      <c r="N147" s="748"/>
    </row>
    <row r="148" spans="1:14" ht="26.25" hidden="1" customHeight="1" x14ac:dyDescent="0.2">
      <c r="A148" s="622"/>
      <c r="B148" s="690"/>
      <c r="C148" s="691"/>
      <c r="D148" s="750"/>
      <c r="E148" s="1606"/>
      <c r="F148" s="751"/>
      <c r="G148" s="635"/>
      <c r="H148" s="1599"/>
      <c r="I148" s="608"/>
      <c r="J148" s="619"/>
      <c r="K148" s="619"/>
      <c r="L148" s="619"/>
      <c r="M148" s="749"/>
      <c r="N148" s="748"/>
    </row>
    <row r="149" spans="1:14" ht="15" hidden="1" customHeight="1" x14ac:dyDescent="0.2">
      <c r="A149" s="752"/>
      <c r="B149" s="753"/>
      <c r="C149" s="754"/>
      <c r="D149" s="645"/>
      <c r="E149" s="684"/>
      <c r="F149" s="685"/>
      <c r="G149" s="645"/>
      <c r="H149" s="686"/>
      <c r="I149" s="688" t="s">
        <v>5</v>
      </c>
      <c r="J149" s="648">
        <f>SUM(J146:J148)</f>
        <v>0</v>
      </c>
      <c r="K149" s="648">
        <f>SUM(K146:K148)</f>
        <v>0</v>
      </c>
      <c r="L149" s="648">
        <f>SUM(L146:L148)</f>
        <v>0</v>
      </c>
      <c r="M149" s="689"/>
      <c r="N149" s="652"/>
    </row>
    <row r="150" spans="1:14" ht="27" hidden="1" customHeight="1" x14ac:dyDescent="0.2">
      <c r="A150" s="622" t="s">
        <v>4</v>
      </c>
      <c r="B150" s="690" t="s">
        <v>4</v>
      </c>
      <c r="C150" s="624" t="s">
        <v>635</v>
      </c>
      <c r="D150" s="677"/>
      <c r="E150" s="755" t="s">
        <v>686</v>
      </c>
      <c r="F150" s="756"/>
      <c r="G150" s="757" t="s">
        <v>37</v>
      </c>
      <c r="H150" s="1598" t="s">
        <v>627</v>
      </c>
      <c r="I150" s="758"/>
      <c r="J150" s="759"/>
      <c r="K150" s="759"/>
      <c r="L150" s="759"/>
      <c r="M150" s="760"/>
      <c r="N150" s="664"/>
    </row>
    <row r="151" spans="1:14" ht="13.5" hidden="1" customHeight="1" x14ac:dyDescent="0.2">
      <c r="A151" s="622"/>
      <c r="B151" s="690"/>
      <c r="C151" s="636"/>
      <c r="D151" s="669" t="s">
        <v>4</v>
      </c>
      <c r="E151" s="761" t="s">
        <v>67</v>
      </c>
      <c r="F151" s="762"/>
      <c r="G151" s="669"/>
      <c r="H151" s="1599"/>
      <c r="I151" s="613" t="s">
        <v>657</v>
      </c>
      <c r="J151" s="599"/>
      <c r="K151" s="599"/>
      <c r="L151" s="599"/>
      <c r="M151" s="1600" t="s">
        <v>99</v>
      </c>
      <c r="N151" s="626">
        <v>100</v>
      </c>
    </row>
    <row r="152" spans="1:14" ht="16.5" hidden="1" customHeight="1" x14ac:dyDescent="0.2">
      <c r="A152" s="622"/>
      <c r="B152" s="690"/>
      <c r="C152" s="636"/>
      <c r="D152" s="677"/>
      <c r="E152" s="763"/>
      <c r="F152" s="764"/>
      <c r="G152" s="635"/>
      <c r="H152" s="765"/>
      <c r="I152" s="631"/>
      <c r="J152" s="619"/>
      <c r="K152" s="619"/>
      <c r="L152" s="619"/>
      <c r="M152" s="1601"/>
      <c r="N152" s="629"/>
    </row>
    <row r="153" spans="1:14" s="8" customFormat="1" ht="54.75" hidden="1" customHeight="1" x14ac:dyDescent="0.2">
      <c r="A153" s="622"/>
      <c r="B153" s="690"/>
      <c r="C153" s="691"/>
      <c r="D153" s="669" t="s">
        <v>6</v>
      </c>
      <c r="E153" s="766" t="s">
        <v>687</v>
      </c>
      <c r="F153" s="767"/>
      <c r="G153" s="743"/>
      <c r="H153" s="768"/>
      <c r="I153" s="769" t="s">
        <v>657</v>
      </c>
      <c r="J153" s="770"/>
      <c r="K153" s="770"/>
      <c r="L153" s="770"/>
      <c r="M153" s="1601"/>
      <c r="N153" s="771"/>
    </row>
    <row r="154" spans="1:14" ht="15" hidden="1" customHeight="1" x14ac:dyDescent="0.2">
      <c r="A154" s="752"/>
      <c r="B154" s="753"/>
      <c r="C154" s="754"/>
      <c r="D154" s="645"/>
      <c r="E154" s="684"/>
      <c r="F154" s="685"/>
      <c r="G154" s="645"/>
      <c r="H154" s="686"/>
      <c r="I154" s="687" t="s">
        <v>5</v>
      </c>
      <c r="J154" s="650">
        <f t="shared" ref="J154:L154" si="1">SUM(J151:J153)</f>
        <v>0</v>
      </c>
      <c r="K154" s="650">
        <f t="shared" si="1"/>
        <v>0</v>
      </c>
      <c r="L154" s="650">
        <f t="shared" si="1"/>
        <v>0</v>
      </c>
      <c r="M154" s="689"/>
      <c r="N154" s="652"/>
    </row>
    <row r="155" spans="1:14" ht="14.25" hidden="1" customHeight="1" x14ac:dyDescent="0.2">
      <c r="A155" s="772" t="s">
        <v>4</v>
      </c>
      <c r="B155" s="773" t="s">
        <v>4</v>
      </c>
      <c r="C155" s="1602" t="s">
        <v>7</v>
      </c>
      <c r="D155" s="1603"/>
      <c r="E155" s="1603"/>
      <c r="F155" s="1603"/>
      <c r="G155" s="1603"/>
      <c r="H155" s="1603"/>
      <c r="I155" s="1604"/>
      <c r="J155" s="774">
        <f>J154+J149+J144+J133+J125+J110+J100</f>
        <v>0</v>
      </c>
      <c r="K155" s="774">
        <f>K154+K149+K144+K133+K125+K110+K100</f>
        <v>0</v>
      </c>
      <c r="L155" s="774">
        <f>L154+L149+L144+L133+L125+L110+L100</f>
        <v>0</v>
      </c>
      <c r="M155" s="775"/>
      <c r="N155" s="776"/>
    </row>
    <row r="156" spans="1:14" ht="14.25" customHeight="1" thickBot="1" x14ac:dyDescent="0.25">
      <c r="A156" s="47" t="s">
        <v>4</v>
      </c>
      <c r="B156" s="118" t="s">
        <v>6</v>
      </c>
      <c r="C156" s="1333" t="s">
        <v>28</v>
      </c>
      <c r="D156" s="1333"/>
      <c r="E156" s="1333"/>
      <c r="F156" s="1333"/>
      <c r="G156" s="1333"/>
      <c r="H156" s="1333"/>
      <c r="I156" s="1333"/>
      <c r="J156" s="1334"/>
      <c r="K156" s="1334"/>
      <c r="L156" s="1334"/>
      <c r="M156" s="1333"/>
      <c r="N156" s="1336"/>
    </row>
    <row r="157" spans="1:14" ht="30" customHeight="1" x14ac:dyDescent="0.2">
      <c r="A157" s="494" t="s">
        <v>4</v>
      </c>
      <c r="B157" s="117" t="s">
        <v>6</v>
      </c>
      <c r="C157" s="777" t="s">
        <v>4</v>
      </c>
      <c r="D157" s="778"/>
      <c r="E157" s="779" t="s">
        <v>47</v>
      </c>
      <c r="F157" s="780" t="s">
        <v>85</v>
      </c>
      <c r="G157" s="781"/>
      <c r="H157" s="782"/>
      <c r="I157" s="783"/>
      <c r="J157" s="784"/>
      <c r="K157" s="784"/>
      <c r="L157" s="784"/>
      <c r="M157" s="785"/>
      <c r="N157" s="786"/>
    </row>
    <row r="158" spans="1:14" ht="14.25" customHeight="1" x14ac:dyDescent="0.2">
      <c r="A158" s="447"/>
      <c r="B158" s="448"/>
      <c r="C158" s="529"/>
      <c r="D158" s="449" t="s">
        <v>4</v>
      </c>
      <c r="E158" s="476" t="s">
        <v>43</v>
      </c>
      <c r="F158" s="457"/>
      <c r="G158" s="482">
        <v>6</v>
      </c>
      <c r="H158" s="1558" t="s">
        <v>688</v>
      </c>
      <c r="I158" s="49" t="s">
        <v>22</v>
      </c>
      <c r="J158" s="40">
        <f>2865.4+10.5+56.3-400-5</f>
        <v>2527.1999999999998</v>
      </c>
      <c r="K158" s="40">
        <f>2865.4+10.5+56.3-400-5</f>
        <v>2527.1999999999998</v>
      </c>
      <c r="L158" s="40"/>
      <c r="M158" s="787"/>
      <c r="N158" s="127"/>
    </row>
    <row r="159" spans="1:14" ht="14.25" customHeight="1" x14ac:dyDescent="0.2">
      <c r="A159" s="447"/>
      <c r="B159" s="448"/>
      <c r="C159" s="529"/>
      <c r="D159" s="449"/>
      <c r="E159" s="476"/>
      <c r="F159" s="457"/>
      <c r="G159" s="482"/>
      <c r="H159" s="1558"/>
      <c r="I159" s="49" t="s">
        <v>51</v>
      </c>
      <c r="J159" s="40">
        <v>2062.6</v>
      </c>
      <c r="K159" s="40">
        <v>2062.6</v>
      </c>
      <c r="L159" s="40"/>
      <c r="M159" s="337"/>
      <c r="N159" s="338"/>
    </row>
    <row r="160" spans="1:14" ht="14.25" customHeight="1" x14ac:dyDescent="0.2">
      <c r="A160" s="447"/>
      <c r="B160" s="448"/>
      <c r="C160" s="529"/>
      <c r="D160" s="449"/>
      <c r="E160" s="476"/>
      <c r="F160" s="457"/>
      <c r="G160" s="482"/>
      <c r="H160" s="1558"/>
      <c r="I160" s="49" t="s">
        <v>59</v>
      </c>
      <c r="J160" s="40">
        <f>97+75.2+63.9</f>
        <v>236.1</v>
      </c>
      <c r="K160" s="40">
        <f>97+75.2+63.9</f>
        <v>236.1</v>
      </c>
      <c r="L160" s="40"/>
      <c r="M160" s="337"/>
      <c r="N160" s="338"/>
    </row>
    <row r="161" spans="1:15" ht="14.25" customHeight="1" x14ac:dyDescent="0.2">
      <c r="A161" s="447"/>
      <c r="B161" s="448"/>
      <c r="C161" s="529"/>
      <c r="D161" s="449"/>
      <c r="E161" s="476"/>
      <c r="F161" s="457"/>
      <c r="G161" s="482"/>
      <c r="H161" s="1558"/>
      <c r="I161" s="788" t="s">
        <v>57</v>
      </c>
      <c r="J161" s="547">
        <v>10</v>
      </c>
      <c r="K161" s="547">
        <v>10</v>
      </c>
      <c r="L161" s="547"/>
      <c r="M161" s="789"/>
      <c r="N161" s="790"/>
    </row>
    <row r="162" spans="1:15" ht="14.25" customHeight="1" x14ac:dyDescent="0.2">
      <c r="A162" s="447"/>
      <c r="B162" s="448"/>
      <c r="C162" s="529"/>
      <c r="D162" s="449"/>
      <c r="E162" s="1337" t="s">
        <v>61</v>
      </c>
      <c r="F162" s="457"/>
      <c r="G162" s="449"/>
      <c r="H162" s="1555"/>
      <c r="I162" s="49" t="s">
        <v>22</v>
      </c>
      <c r="J162" s="40">
        <v>118.8</v>
      </c>
      <c r="K162" s="40">
        <v>118.8</v>
      </c>
      <c r="L162" s="40"/>
      <c r="M162" s="460" t="s">
        <v>35</v>
      </c>
      <c r="N162" s="23">
        <v>6</v>
      </c>
    </row>
    <row r="163" spans="1:15" ht="13.5" customHeight="1" x14ac:dyDescent="0.2">
      <c r="A163" s="447"/>
      <c r="B163" s="448"/>
      <c r="C163" s="529"/>
      <c r="D163" s="449"/>
      <c r="E163" s="1337"/>
      <c r="F163" s="451"/>
      <c r="G163" s="449"/>
      <c r="H163" s="1555"/>
      <c r="I163" s="49"/>
      <c r="J163" s="40"/>
      <c r="K163" s="40"/>
      <c r="L163" s="40"/>
      <c r="M163" s="350"/>
      <c r="N163" s="199"/>
    </row>
    <row r="164" spans="1:15" ht="28.5" customHeight="1" x14ac:dyDescent="0.2">
      <c r="A164" s="447"/>
      <c r="B164" s="448"/>
      <c r="C164" s="529"/>
      <c r="D164" s="449"/>
      <c r="E164" s="791" t="s">
        <v>62</v>
      </c>
      <c r="F164" s="451"/>
      <c r="G164" s="449"/>
      <c r="H164" s="792"/>
      <c r="I164" s="49"/>
      <c r="J164" s="40"/>
      <c r="K164" s="40"/>
      <c r="L164" s="40"/>
      <c r="M164" s="50" t="s">
        <v>689</v>
      </c>
      <c r="N164" s="793">
        <v>2</v>
      </c>
    </row>
    <row r="165" spans="1:15" ht="19.5" customHeight="1" x14ac:dyDescent="0.2">
      <c r="A165" s="447"/>
      <c r="B165" s="448"/>
      <c r="C165" s="529"/>
      <c r="D165" s="449"/>
      <c r="E165" s="794"/>
      <c r="F165" s="451"/>
      <c r="G165" s="449"/>
      <c r="H165" s="792"/>
      <c r="I165" s="49"/>
      <c r="J165" s="40"/>
      <c r="K165" s="40"/>
      <c r="L165" s="40"/>
      <c r="M165" s="350" t="s">
        <v>102</v>
      </c>
      <c r="N165" s="795">
        <v>4</v>
      </c>
    </row>
    <row r="166" spans="1:15" ht="26.25" customHeight="1" x14ac:dyDescent="0.2">
      <c r="A166" s="447"/>
      <c r="B166" s="448"/>
      <c r="C166" s="529"/>
      <c r="D166" s="449"/>
      <c r="E166" s="125" t="s">
        <v>63</v>
      </c>
      <c r="F166" s="451"/>
      <c r="G166" s="449"/>
      <c r="H166" s="792"/>
      <c r="I166" s="796"/>
      <c r="J166" s="40"/>
      <c r="K166" s="40"/>
      <c r="L166" s="40"/>
      <c r="M166" s="350" t="s">
        <v>103</v>
      </c>
      <c r="N166" s="797" t="s">
        <v>690</v>
      </c>
    </row>
    <row r="167" spans="1:15" ht="15.75" customHeight="1" x14ac:dyDescent="0.2">
      <c r="A167" s="447"/>
      <c r="B167" s="448"/>
      <c r="C167" s="529"/>
      <c r="D167" s="482"/>
      <c r="E167" s="1339" t="s">
        <v>95</v>
      </c>
      <c r="F167" s="451"/>
      <c r="G167" s="449"/>
      <c r="H167" s="254"/>
      <c r="I167" s="49"/>
      <c r="J167" s="40"/>
      <c r="K167" s="40"/>
      <c r="L167" s="40"/>
      <c r="M167" s="1341" t="s">
        <v>197</v>
      </c>
      <c r="N167" s="97">
        <v>6</v>
      </c>
    </row>
    <row r="168" spans="1:15" ht="24.75" customHeight="1" x14ac:dyDescent="0.2">
      <c r="A168" s="447"/>
      <c r="B168" s="448"/>
      <c r="C168" s="529"/>
      <c r="D168" s="798"/>
      <c r="E168" s="1593"/>
      <c r="F168" s="469"/>
      <c r="G168" s="449"/>
      <c r="H168" s="254"/>
      <c r="I168" s="49"/>
      <c r="J168" s="40"/>
      <c r="K168" s="40"/>
      <c r="L168" s="40"/>
      <c r="M168" s="1342"/>
      <c r="N168" s="474"/>
    </row>
    <row r="169" spans="1:15" ht="14.25" customHeight="1" x14ac:dyDescent="0.2">
      <c r="A169" s="447"/>
      <c r="B169" s="448"/>
      <c r="C169" s="529"/>
      <c r="D169" s="482" t="s">
        <v>6</v>
      </c>
      <c r="E169" s="251" t="s">
        <v>114</v>
      </c>
      <c r="F169" s="457"/>
      <c r="G169" s="449"/>
      <c r="H169" s="254"/>
      <c r="I169" s="799"/>
      <c r="J169" s="275"/>
      <c r="K169" s="275"/>
      <c r="L169" s="275"/>
      <c r="M169" s="460"/>
      <c r="N169" s="137"/>
    </row>
    <row r="170" spans="1:15" ht="52.5" customHeight="1" x14ac:dyDescent="0.2">
      <c r="A170" s="447"/>
      <c r="B170" s="448"/>
      <c r="C170" s="529"/>
      <c r="D170" s="482"/>
      <c r="E170" s="800" t="s">
        <v>251</v>
      </c>
      <c r="F170" s="451"/>
      <c r="G170" s="449"/>
      <c r="H170" s="254"/>
      <c r="I170" s="51" t="s">
        <v>22</v>
      </c>
      <c r="J170" s="39">
        <v>400</v>
      </c>
      <c r="K170" s="39">
        <v>400</v>
      </c>
      <c r="L170" s="39"/>
      <c r="M170" s="153" t="s">
        <v>111</v>
      </c>
      <c r="N170" s="801">
        <v>21</v>
      </c>
      <c r="O170" s="31"/>
    </row>
    <row r="171" spans="1:15" ht="32.25" customHeight="1" x14ac:dyDescent="0.2">
      <c r="A171" s="447"/>
      <c r="B171" s="448"/>
      <c r="C171" s="529"/>
      <c r="D171" s="482"/>
      <c r="E171" s="1594" t="s">
        <v>115</v>
      </c>
      <c r="F171" s="451"/>
      <c r="G171" s="449"/>
      <c r="H171" s="254"/>
      <c r="I171" s="52" t="s">
        <v>22</v>
      </c>
      <c r="J171" s="34">
        <v>31.2</v>
      </c>
      <c r="K171" s="34">
        <v>31.2</v>
      </c>
      <c r="L171" s="34"/>
      <c r="M171" s="1251" t="s">
        <v>146</v>
      </c>
      <c r="N171" s="802">
        <v>18</v>
      </c>
      <c r="O171" s="31"/>
    </row>
    <row r="172" spans="1:15" ht="15.75" customHeight="1" x14ac:dyDescent="0.2">
      <c r="A172" s="447"/>
      <c r="B172" s="448"/>
      <c r="C172" s="529"/>
      <c r="D172" s="798"/>
      <c r="E172" s="1595"/>
      <c r="F172" s="451"/>
      <c r="G172" s="449"/>
      <c r="H172" s="254"/>
      <c r="I172" s="51"/>
      <c r="J172" s="39"/>
      <c r="K172" s="39"/>
      <c r="L172" s="39"/>
      <c r="M172" s="1596"/>
      <c r="N172" s="148"/>
      <c r="O172" s="31"/>
    </row>
    <row r="173" spans="1:15" ht="18" customHeight="1" x14ac:dyDescent="0.2">
      <c r="A173" s="1315"/>
      <c r="B173" s="1310"/>
      <c r="C173" s="1550"/>
      <c r="D173" s="1313" t="s">
        <v>24</v>
      </c>
      <c r="E173" s="1271" t="s">
        <v>36</v>
      </c>
      <c r="F173" s="1266"/>
      <c r="G173" s="1536"/>
      <c r="H173" s="803"/>
      <c r="I173" s="49" t="s">
        <v>22</v>
      </c>
      <c r="J173" s="40">
        <v>59.5</v>
      </c>
      <c r="K173" s="40">
        <v>59.5</v>
      </c>
      <c r="L173" s="40"/>
      <c r="M173" s="1597" t="s">
        <v>45</v>
      </c>
      <c r="N173" s="1590">
        <v>7</v>
      </c>
    </row>
    <row r="174" spans="1:15" ht="18" customHeight="1" x14ac:dyDescent="0.2">
      <c r="A174" s="1315"/>
      <c r="B174" s="1310"/>
      <c r="C174" s="1550"/>
      <c r="D174" s="1313"/>
      <c r="E174" s="1329"/>
      <c r="F174" s="1293"/>
      <c r="G174" s="1536"/>
      <c r="H174" s="803"/>
      <c r="I174" s="51"/>
      <c r="J174" s="39"/>
      <c r="K174" s="39"/>
      <c r="L174" s="39"/>
      <c r="M174" s="1355"/>
      <c r="N174" s="1591"/>
    </row>
    <row r="175" spans="1:15" ht="18" customHeight="1" x14ac:dyDescent="0.2">
      <c r="A175" s="1315"/>
      <c r="B175" s="1326"/>
      <c r="C175" s="1550"/>
      <c r="D175" s="1544" t="s">
        <v>29</v>
      </c>
      <c r="E175" s="1360" t="s">
        <v>198</v>
      </c>
      <c r="F175" s="1592"/>
      <c r="G175" s="1567"/>
      <c r="H175" s="1558"/>
      <c r="I175" s="52" t="s">
        <v>22</v>
      </c>
      <c r="J175" s="34">
        <v>44</v>
      </c>
      <c r="K175" s="34">
        <v>44</v>
      </c>
      <c r="L175" s="34"/>
      <c r="M175" s="804" t="s">
        <v>125</v>
      </c>
      <c r="N175" s="805"/>
    </row>
    <row r="176" spans="1:15" ht="18.75" customHeight="1" x14ac:dyDescent="0.2">
      <c r="A176" s="1315"/>
      <c r="B176" s="1326"/>
      <c r="C176" s="1550"/>
      <c r="D176" s="1313"/>
      <c r="E176" s="1361"/>
      <c r="F176" s="1592"/>
      <c r="G176" s="1567"/>
      <c r="H176" s="1558"/>
      <c r="I176" s="49" t="s">
        <v>59</v>
      </c>
      <c r="J176" s="40">
        <v>55</v>
      </c>
      <c r="K176" s="40">
        <v>55</v>
      </c>
      <c r="L176" s="40"/>
      <c r="M176" s="50" t="s">
        <v>144</v>
      </c>
      <c r="N176" s="806">
        <v>1</v>
      </c>
    </row>
    <row r="177" spans="1:14" ht="25.5" customHeight="1" x14ac:dyDescent="0.2">
      <c r="A177" s="1315"/>
      <c r="B177" s="1326"/>
      <c r="C177" s="1550"/>
      <c r="D177" s="1313"/>
      <c r="E177" s="1361"/>
      <c r="F177" s="1592"/>
      <c r="G177" s="1567"/>
      <c r="H177" s="1558"/>
      <c r="I177" s="49"/>
      <c r="J177" s="40"/>
      <c r="K177" s="40"/>
      <c r="L177" s="40"/>
      <c r="M177" s="472" t="s">
        <v>110</v>
      </c>
      <c r="N177" s="807">
        <v>1</v>
      </c>
    </row>
    <row r="178" spans="1:14" ht="15" customHeight="1" x14ac:dyDescent="0.2">
      <c r="A178" s="447"/>
      <c r="B178" s="448"/>
      <c r="C178" s="529"/>
      <c r="D178" s="470"/>
      <c r="E178" s="476"/>
      <c r="F178" s="451"/>
      <c r="G178" s="452"/>
      <c r="H178" s="803"/>
      <c r="I178" s="49"/>
      <c r="J178" s="40"/>
      <c r="K178" s="40"/>
      <c r="L178" s="40"/>
      <c r="M178" s="50" t="s">
        <v>199</v>
      </c>
      <c r="N178" s="806">
        <v>1</v>
      </c>
    </row>
    <row r="179" spans="1:14" ht="15" customHeight="1" x14ac:dyDescent="0.2">
      <c r="A179" s="447"/>
      <c r="B179" s="448"/>
      <c r="C179" s="529"/>
      <c r="D179" s="470"/>
      <c r="E179" s="476"/>
      <c r="F179" s="457"/>
      <c r="G179" s="452"/>
      <c r="H179" s="803"/>
      <c r="I179" s="49"/>
      <c r="J179" s="40"/>
      <c r="K179" s="40"/>
      <c r="L179" s="40"/>
      <c r="M179" s="460" t="s">
        <v>200</v>
      </c>
      <c r="N179" s="808">
        <v>1</v>
      </c>
    </row>
    <row r="180" spans="1:14" ht="25.5" customHeight="1" x14ac:dyDescent="0.2">
      <c r="A180" s="447"/>
      <c r="B180" s="448"/>
      <c r="C180" s="529"/>
      <c r="D180" s="470"/>
      <c r="E180" s="476"/>
      <c r="F180" s="457"/>
      <c r="G180" s="452"/>
      <c r="H180" s="803"/>
      <c r="I180" s="49"/>
      <c r="J180" s="40"/>
      <c r="K180" s="40"/>
      <c r="L180" s="40"/>
      <c r="M180" s="550" t="s">
        <v>691</v>
      </c>
      <c r="N180" s="809">
        <v>1</v>
      </c>
    </row>
    <row r="181" spans="1:14" ht="22.5" customHeight="1" x14ac:dyDescent="0.2">
      <c r="A181" s="1315"/>
      <c r="B181" s="1326"/>
      <c r="C181" s="1550"/>
      <c r="D181" s="1526" t="s">
        <v>628</v>
      </c>
      <c r="E181" s="1270" t="s">
        <v>93</v>
      </c>
      <c r="F181" s="1266" t="s">
        <v>201</v>
      </c>
      <c r="G181" s="1567"/>
      <c r="H181" s="803"/>
      <c r="I181" s="52" t="s">
        <v>57</v>
      </c>
      <c r="J181" s="34">
        <v>188.7</v>
      </c>
      <c r="K181" s="34">
        <v>188.7</v>
      </c>
      <c r="L181" s="34"/>
      <c r="M181" s="458" t="s">
        <v>202</v>
      </c>
      <c r="N181" s="810">
        <v>205</v>
      </c>
    </row>
    <row r="182" spans="1:14" ht="26.25" customHeight="1" x14ac:dyDescent="0.2">
      <c r="A182" s="1315"/>
      <c r="B182" s="1326"/>
      <c r="C182" s="1550"/>
      <c r="D182" s="1522"/>
      <c r="E182" s="1329"/>
      <c r="F182" s="1293"/>
      <c r="G182" s="1567"/>
      <c r="H182" s="803"/>
      <c r="I182" s="51" t="s">
        <v>59</v>
      </c>
      <c r="J182" s="39">
        <v>250</v>
      </c>
      <c r="K182" s="39">
        <v>250</v>
      </c>
      <c r="L182" s="39"/>
      <c r="M182" s="488" t="s">
        <v>203</v>
      </c>
      <c r="N182" s="811">
        <f>65+18</f>
        <v>83</v>
      </c>
    </row>
    <row r="183" spans="1:14" ht="19.5" customHeight="1" x14ac:dyDescent="0.2">
      <c r="A183" s="464"/>
      <c r="B183" s="448"/>
      <c r="C183" s="559"/>
      <c r="D183" s="482" t="s">
        <v>30</v>
      </c>
      <c r="E183" s="1361" t="s">
        <v>134</v>
      </c>
      <c r="F183" s="485"/>
      <c r="G183" s="452"/>
      <c r="H183" s="1558"/>
      <c r="I183" s="49" t="s">
        <v>59</v>
      </c>
      <c r="J183" s="40">
        <v>3</v>
      </c>
      <c r="K183" s="40">
        <v>3</v>
      </c>
      <c r="L183" s="40"/>
      <c r="M183" s="492" t="s">
        <v>135</v>
      </c>
      <c r="N183" s="355">
        <v>1</v>
      </c>
    </row>
    <row r="184" spans="1:14" ht="15" customHeight="1" x14ac:dyDescent="0.2">
      <c r="A184" s="464"/>
      <c r="B184" s="448"/>
      <c r="C184" s="559"/>
      <c r="D184" s="798"/>
      <c r="E184" s="1361"/>
      <c r="F184" s="63"/>
      <c r="G184" s="168"/>
      <c r="H184" s="1573"/>
      <c r="I184" s="51"/>
      <c r="J184" s="39"/>
      <c r="K184" s="39"/>
      <c r="L184" s="39"/>
      <c r="M184" s="100"/>
      <c r="N184" s="543"/>
    </row>
    <row r="185" spans="1:14" ht="18" customHeight="1" thickBot="1" x14ac:dyDescent="0.25">
      <c r="A185" s="447"/>
      <c r="B185" s="448"/>
      <c r="C185" s="553"/>
      <c r="D185" s="812"/>
      <c r="E185" s="813"/>
      <c r="F185" s="814"/>
      <c r="G185" s="558"/>
      <c r="H185" s="815"/>
      <c r="I185" s="816" t="s">
        <v>5</v>
      </c>
      <c r="J185" s="72">
        <f>SUM(J158:J184)</f>
        <v>5986.1</v>
      </c>
      <c r="K185" s="72">
        <f>SUM(K158:K184)</f>
        <v>5986.1</v>
      </c>
      <c r="L185" s="72">
        <f>SUM(L158:L184)</f>
        <v>0</v>
      </c>
      <c r="M185" s="817"/>
      <c r="N185" s="580"/>
    </row>
    <row r="186" spans="1:14" ht="27.75" customHeight="1" x14ac:dyDescent="0.2">
      <c r="A186" s="477" t="s">
        <v>4</v>
      </c>
      <c r="B186" s="479" t="s">
        <v>6</v>
      </c>
      <c r="C186" s="818" t="s">
        <v>6</v>
      </c>
      <c r="D186" s="481"/>
      <c r="E186" s="278" t="s">
        <v>204</v>
      </c>
      <c r="F186" s="279"/>
      <c r="G186" s="280"/>
      <c r="H186" s="782"/>
      <c r="I186" s="44"/>
      <c r="J186" s="783"/>
      <c r="K186" s="783"/>
      <c r="L186" s="783"/>
      <c r="M186" s="819"/>
      <c r="N186" s="820"/>
    </row>
    <row r="187" spans="1:14" ht="17.25" customHeight="1" x14ac:dyDescent="0.2">
      <c r="A187" s="464"/>
      <c r="B187" s="448"/>
      <c r="C187" s="559"/>
      <c r="D187" s="499" t="s">
        <v>4</v>
      </c>
      <c r="E187" s="1270" t="s">
        <v>88</v>
      </c>
      <c r="F187" s="1266" t="s">
        <v>179</v>
      </c>
      <c r="G187" s="470">
        <v>6</v>
      </c>
      <c r="H187" s="1554" t="s">
        <v>692</v>
      </c>
      <c r="I187" s="49" t="s">
        <v>57</v>
      </c>
      <c r="J187" s="49">
        <f>+K187</f>
        <v>53.8</v>
      </c>
      <c r="K187" s="49">
        <f>33.4+48-27.6</f>
        <v>53.8</v>
      </c>
      <c r="L187" s="821"/>
      <c r="M187" s="460" t="s">
        <v>137</v>
      </c>
      <c r="N187" s="822">
        <v>9</v>
      </c>
    </row>
    <row r="188" spans="1:14" ht="12" customHeight="1" x14ac:dyDescent="0.2">
      <c r="A188" s="464"/>
      <c r="B188" s="448"/>
      <c r="C188" s="559"/>
      <c r="D188" s="470"/>
      <c r="E188" s="1271"/>
      <c r="F188" s="1322"/>
      <c r="G188" s="470"/>
      <c r="H188" s="1555"/>
      <c r="I188" s="49" t="s">
        <v>59</v>
      </c>
      <c r="J188" s="49">
        <v>6.8</v>
      </c>
      <c r="K188" s="49">
        <v>6.8</v>
      </c>
      <c r="L188" s="821"/>
      <c r="M188" s="460"/>
      <c r="N188" s="357"/>
    </row>
    <row r="189" spans="1:14" ht="11.25" customHeight="1" x14ac:dyDescent="0.2">
      <c r="A189" s="464"/>
      <c r="B189" s="448"/>
      <c r="C189" s="559"/>
      <c r="D189" s="470"/>
      <c r="E189" s="1553"/>
      <c r="F189" s="1586"/>
      <c r="G189" s="452"/>
      <c r="H189" s="1587"/>
      <c r="I189" s="49"/>
      <c r="J189" s="40"/>
      <c r="K189" s="40"/>
      <c r="L189" s="526"/>
      <c r="M189" s="350"/>
      <c r="N189" s="199"/>
    </row>
    <row r="190" spans="1:14" ht="30" customHeight="1" x14ac:dyDescent="0.2">
      <c r="A190" s="464"/>
      <c r="B190" s="448"/>
      <c r="C190" s="559"/>
      <c r="D190" s="470"/>
      <c r="E190" s="462"/>
      <c r="F190" s="63"/>
      <c r="G190" s="168"/>
      <c r="H190" s="823" t="s">
        <v>136</v>
      </c>
      <c r="I190" s="51"/>
      <c r="J190" s="51"/>
      <c r="K190" s="51"/>
      <c r="L190" s="824"/>
      <c r="M190" s="100" t="s">
        <v>89</v>
      </c>
      <c r="N190" s="474">
        <v>8</v>
      </c>
    </row>
    <row r="191" spans="1:14" ht="16.5" customHeight="1" x14ac:dyDescent="0.2">
      <c r="A191" s="132"/>
      <c r="B191" s="480"/>
      <c r="C191" s="825"/>
      <c r="D191" s="499" t="s">
        <v>6</v>
      </c>
      <c r="E191" s="1270" t="s">
        <v>147</v>
      </c>
      <c r="F191" s="273" t="s">
        <v>41</v>
      </c>
      <c r="G191" s="142" t="s">
        <v>37</v>
      </c>
      <c r="H191" s="1554" t="s">
        <v>693</v>
      </c>
      <c r="I191" s="352" t="s">
        <v>57</v>
      </c>
      <c r="J191" s="52">
        <f>595.9-190+26.5+30</f>
        <v>462.4</v>
      </c>
      <c r="K191" s="52">
        <f>595.9-190+26.5+30</f>
        <v>462.4</v>
      </c>
      <c r="L191" s="826"/>
      <c r="M191" s="804" t="s">
        <v>205</v>
      </c>
      <c r="N191" s="827" t="s">
        <v>206</v>
      </c>
    </row>
    <row r="192" spans="1:14" ht="24.75" customHeight="1" x14ac:dyDescent="0.2">
      <c r="A192" s="132"/>
      <c r="B192" s="480"/>
      <c r="C192" s="825"/>
      <c r="D192" s="470"/>
      <c r="E192" s="1588"/>
      <c r="F192" s="451"/>
      <c r="G192" s="452"/>
      <c r="H192" s="1555"/>
      <c r="I192" s="285" t="s">
        <v>51</v>
      </c>
      <c r="J192" s="49">
        <v>0.4</v>
      </c>
      <c r="K192" s="49">
        <v>0.4</v>
      </c>
      <c r="L192" s="821"/>
      <c r="M192" s="828" t="s">
        <v>148</v>
      </c>
      <c r="N192" s="829" t="s">
        <v>46</v>
      </c>
    </row>
    <row r="193" spans="1:14" ht="39.75" customHeight="1" x14ac:dyDescent="0.2">
      <c r="A193" s="132"/>
      <c r="B193" s="480"/>
      <c r="C193" s="825"/>
      <c r="D193" s="500"/>
      <c r="E193" s="471" t="s">
        <v>207</v>
      </c>
      <c r="F193" s="469"/>
      <c r="G193" s="168"/>
      <c r="H193" s="1589"/>
      <c r="I193" s="286" t="s">
        <v>22</v>
      </c>
      <c r="J193" s="51">
        <f>+K193</f>
        <v>60</v>
      </c>
      <c r="K193" s="51">
        <v>60</v>
      </c>
      <c r="L193" s="824"/>
      <c r="M193" s="488" t="s">
        <v>208</v>
      </c>
      <c r="N193" s="830"/>
    </row>
    <row r="194" spans="1:14" ht="18" customHeight="1" thickBot="1" x14ac:dyDescent="0.25">
      <c r="A194" s="495"/>
      <c r="B194" s="572"/>
      <c r="C194" s="573"/>
      <c r="D194" s="831"/>
      <c r="E194" s="832"/>
      <c r="F194" s="833"/>
      <c r="G194" s="831"/>
      <c r="H194" s="834"/>
      <c r="I194" s="98" t="s">
        <v>5</v>
      </c>
      <c r="J194" s="98">
        <f>SUM(J187:J193)</f>
        <v>583.4</v>
      </c>
      <c r="K194" s="98">
        <f>SUM(K187:K193)</f>
        <v>583.4</v>
      </c>
      <c r="L194" s="835">
        <f>SUM(L187:L193)</f>
        <v>0</v>
      </c>
      <c r="M194" s="817"/>
      <c r="N194" s="836"/>
    </row>
    <row r="195" spans="1:14" ht="14.25" customHeight="1" x14ac:dyDescent="0.2">
      <c r="A195" s="1364" t="s">
        <v>4</v>
      </c>
      <c r="B195" s="1367" t="s">
        <v>6</v>
      </c>
      <c r="C195" s="1370" t="s">
        <v>24</v>
      </c>
      <c r="D195" s="1584"/>
      <c r="E195" s="1374" t="s">
        <v>87</v>
      </c>
      <c r="F195" s="242" t="s">
        <v>41</v>
      </c>
      <c r="G195" s="1370">
        <v>5</v>
      </c>
      <c r="H195" s="1569" t="s">
        <v>625</v>
      </c>
      <c r="I195" s="40" t="s">
        <v>51</v>
      </c>
      <c r="J195" s="87">
        <f>344.9+113</f>
        <v>457.9</v>
      </c>
      <c r="K195" s="22">
        <f>344.9+113</f>
        <v>457.9</v>
      </c>
      <c r="L195" s="87"/>
      <c r="M195" s="1216" t="s">
        <v>149</v>
      </c>
      <c r="N195" s="169">
        <v>18</v>
      </c>
    </row>
    <row r="196" spans="1:14" ht="14.25" customHeight="1" x14ac:dyDescent="0.2">
      <c r="A196" s="1365"/>
      <c r="B196" s="1368"/>
      <c r="C196" s="1313"/>
      <c r="D196" s="1536"/>
      <c r="E196" s="1271"/>
      <c r="F196" s="240" t="s">
        <v>178</v>
      </c>
      <c r="G196" s="1313"/>
      <c r="H196" s="1558"/>
      <c r="I196" s="40" t="s">
        <v>22</v>
      </c>
      <c r="J196" s="40">
        <f>+K196</f>
        <v>274.8</v>
      </c>
      <c r="K196" s="22">
        <f>294.6-19.8</f>
        <v>274.8</v>
      </c>
      <c r="L196" s="526"/>
      <c r="M196" s="1217"/>
      <c r="N196" s="357"/>
    </row>
    <row r="197" spans="1:14" ht="16.5" customHeight="1" x14ac:dyDescent="0.2">
      <c r="A197" s="1365"/>
      <c r="B197" s="1368"/>
      <c r="C197" s="1313"/>
      <c r="D197" s="1536"/>
      <c r="E197" s="1271"/>
      <c r="F197" s="240"/>
      <c r="G197" s="1313"/>
      <c r="H197" s="1558"/>
      <c r="I197" s="40" t="s">
        <v>154</v>
      </c>
      <c r="J197" s="40">
        <f>+K197</f>
        <v>4151.7</v>
      </c>
      <c r="K197" s="22">
        <f>4264.5-112.8</f>
        <v>4151.7</v>
      </c>
      <c r="L197" s="526"/>
      <c r="M197" s="1583"/>
      <c r="N197" s="357"/>
    </row>
    <row r="198" spans="1:14" ht="16.5" customHeight="1" thickBot="1" x14ac:dyDescent="0.25">
      <c r="A198" s="1366"/>
      <c r="B198" s="1369"/>
      <c r="C198" s="1371"/>
      <c r="D198" s="1585"/>
      <c r="E198" s="252"/>
      <c r="F198" s="243"/>
      <c r="G198" s="1371"/>
      <c r="H198" s="1582"/>
      <c r="I198" s="54" t="s">
        <v>5</v>
      </c>
      <c r="J198" s="54">
        <f>SUM(J195:J197)</f>
        <v>4884.3999999999996</v>
      </c>
      <c r="K198" s="85">
        <f>SUM(K195:K197)</f>
        <v>4884.3999999999996</v>
      </c>
      <c r="L198" s="54">
        <f>SUM(L195:L197)</f>
        <v>0</v>
      </c>
      <c r="M198" s="205"/>
      <c r="N198" s="167"/>
    </row>
    <row r="199" spans="1:14" ht="14.25" customHeight="1" x14ac:dyDescent="0.2">
      <c r="A199" s="1364" t="s">
        <v>4</v>
      </c>
      <c r="B199" s="1367" t="s">
        <v>6</v>
      </c>
      <c r="C199" s="1370" t="s">
        <v>29</v>
      </c>
      <c r="D199" s="1584"/>
      <c r="E199" s="1374" t="s">
        <v>256</v>
      </c>
      <c r="F199" s="240" t="s">
        <v>178</v>
      </c>
      <c r="G199" s="1370" t="s">
        <v>46</v>
      </c>
      <c r="H199" s="1569" t="s">
        <v>694</v>
      </c>
      <c r="I199" s="40" t="s">
        <v>51</v>
      </c>
      <c r="J199" s="40">
        <v>665</v>
      </c>
      <c r="K199" s="40">
        <v>665</v>
      </c>
      <c r="L199" s="38">
        <f>K199-J199</f>
        <v>0</v>
      </c>
      <c r="M199" s="1216" t="s">
        <v>695</v>
      </c>
      <c r="N199" s="169">
        <v>1</v>
      </c>
    </row>
    <row r="200" spans="1:14" ht="14.25" customHeight="1" x14ac:dyDescent="0.2">
      <c r="A200" s="1365"/>
      <c r="B200" s="1368"/>
      <c r="C200" s="1313"/>
      <c r="D200" s="1536"/>
      <c r="E200" s="1271"/>
      <c r="F200" s="240"/>
      <c r="G200" s="1313"/>
      <c r="H200" s="1558"/>
      <c r="I200" s="40"/>
      <c r="J200" s="40"/>
      <c r="K200" s="40"/>
      <c r="L200" s="38"/>
      <c r="M200" s="1217"/>
      <c r="N200" s="357"/>
    </row>
    <row r="201" spans="1:14" ht="8.25" customHeight="1" x14ac:dyDescent="0.2">
      <c r="A201" s="1365"/>
      <c r="B201" s="1368"/>
      <c r="C201" s="1313"/>
      <c r="D201" s="1536"/>
      <c r="E201" s="1271"/>
      <c r="F201" s="240"/>
      <c r="G201" s="1313"/>
      <c r="H201" s="1558"/>
      <c r="I201" s="40"/>
      <c r="J201" s="40"/>
      <c r="K201" s="40"/>
      <c r="L201" s="38"/>
      <c r="M201" s="1218"/>
      <c r="N201" s="357"/>
    </row>
    <row r="202" spans="1:14" ht="16.5" customHeight="1" thickBot="1" x14ac:dyDescent="0.25">
      <c r="A202" s="1366"/>
      <c r="B202" s="1369"/>
      <c r="C202" s="1371"/>
      <c r="D202" s="1585"/>
      <c r="E202" s="252"/>
      <c r="F202" s="243"/>
      <c r="G202" s="1371"/>
      <c r="H202" s="1582"/>
      <c r="I202" s="54" t="s">
        <v>5</v>
      </c>
      <c r="J202" s="54">
        <f>SUM(J199:J201)</f>
        <v>665</v>
      </c>
      <c r="K202" s="54">
        <f>SUM(K199:K201)</f>
        <v>665</v>
      </c>
      <c r="L202" s="578">
        <f>SUM(L199:L201)</f>
        <v>0</v>
      </c>
      <c r="M202" s="205"/>
      <c r="N202" s="167"/>
    </row>
    <row r="203" spans="1:14" ht="14.25" customHeight="1" thickBot="1" x14ac:dyDescent="0.25">
      <c r="A203" s="55" t="s">
        <v>4</v>
      </c>
      <c r="B203" s="118" t="s">
        <v>6</v>
      </c>
      <c r="C203" s="1345" t="s">
        <v>7</v>
      </c>
      <c r="D203" s="1346"/>
      <c r="E203" s="1346"/>
      <c r="F203" s="1346"/>
      <c r="G203" s="1346"/>
      <c r="H203" s="1346"/>
      <c r="I203" s="1347"/>
      <c r="J203" s="837">
        <f>J198+J194+J185+J202</f>
        <v>12118.9</v>
      </c>
      <c r="K203" s="837">
        <f t="shared" ref="K203:L203" si="2">K198+K194+K185+K202</f>
        <v>12118.9</v>
      </c>
      <c r="L203" s="74">
        <f t="shared" si="2"/>
        <v>0</v>
      </c>
      <c r="M203" s="1379"/>
      <c r="N203" s="1380"/>
    </row>
    <row r="204" spans="1:14" ht="18" customHeight="1" thickBot="1" x14ac:dyDescent="0.25">
      <c r="A204" s="47" t="s">
        <v>4</v>
      </c>
      <c r="B204" s="118" t="s">
        <v>24</v>
      </c>
      <c r="C204" s="1335" t="s">
        <v>83</v>
      </c>
      <c r="D204" s="1381"/>
      <c r="E204" s="1381"/>
      <c r="F204" s="1381"/>
      <c r="G204" s="1381"/>
      <c r="H204" s="1381"/>
      <c r="I204" s="1381"/>
      <c r="J204" s="1381"/>
      <c r="K204" s="1381"/>
      <c r="L204" s="1381"/>
      <c r="M204" s="1381"/>
      <c r="N204" s="1382"/>
    </row>
    <row r="205" spans="1:14" ht="27" customHeight="1" x14ac:dyDescent="0.2">
      <c r="A205" s="494" t="s">
        <v>4</v>
      </c>
      <c r="B205" s="117" t="s">
        <v>24</v>
      </c>
      <c r="C205" s="777" t="s">
        <v>4</v>
      </c>
      <c r="D205" s="380"/>
      <c r="E205" s="838" t="s">
        <v>80</v>
      </c>
      <c r="F205" s="62" t="s">
        <v>178</v>
      </c>
      <c r="G205" s="498"/>
      <c r="H205" s="839"/>
      <c r="I205" s="56"/>
      <c r="J205" s="783"/>
      <c r="K205" s="56"/>
      <c r="L205" s="840"/>
      <c r="M205" s="819"/>
      <c r="N205" s="841"/>
    </row>
    <row r="206" spans="1:14" ht="13.5" customHeight="1" x14ac:dyDescent="0.2">
      <c r="A206" s="447"/>
      <c r="B206" s="448"/>
      <c r="C206" s="529"/>
      <c r="D206" s="349" t="s">
        <v>4</v>
      </c>
      <c r="E206" s="1295" t="s">
        <v>78</v>
      </c>
      <c r="F206" s="1383" t="s">
        <v>60</v>
      </c>
      <c r="G206" s="142" t="s">
        <v>31</v>
      </c>
      <c r="H206" s="1554" t="s">
        <v>696</v>
      </c>
      <c r="I206" s="34" t="s">
        <v>73</v>
      </c>
      <c r="J206" s="34">
        <f>+K206</f>
        <v>100.7</v>
      </c>
      <c r="K206" s="34">
        <f>224-125+1.7</f>
        <v>100.7</v>
      </c>
      <c r="L206" s="842"/>
      <c r="M206" s="843"/>
      <c r="N206" s="23"/>
    </row>
    <row r="207" spans="1:14" ht="15" customHeight="1" x14ac:dyDescent="0.2">
      <c r="A207" s="447"/>
      <c r="B207" s="448"/>
      <c r="C207" s="529"/>
      <c r="D207" s="449"/>
      <c r="E207" s="1321"/>
      <c r="F207" s="1385"/>
      <c r="G207" s="452"/>
      <c r="H207" s="1558"/>
      <c r="I207" s="40" t="s">
        <v>57</v>
      </c>
      <c r="J207" s="40">
        <f>254.1</f>
        <v>254.1</v>
      </c>
      <c r="K207" s="40">
        <f>254.1</f>
        <v>254.1</v>
      </c>
      <c r="L207" s="65"/>
      <c r="M207" s="492"/>
      <c r="N207" s="543"/>
    </row>
    <row r="208" spans="1:14" ht="12.75" customHeight="1" x14ac:dyDescent="0.2">
      <c r="A208" s="447"/>
      <c r="B208" s="448"/>
      <c r="C208" s="529"/>
      <c r="D208" s="449"/>
      <c r="E208" s="1321"/>
      <c r="F208" s="1577"/>
      <c r="G208" s="452"/>
      <c r="H208" s="1558"/>
      <c r="I208" s="40" t="s">
        <v>59</v>
      </c>
      <c r="J208" s="40">
        <v>33.299999999999997</v>
      </c>
      <c r="K208" s="40">
        <v>33.299999999999997</v>
      </c>
      <c r="L208" s="65"/>
      <c r="M208" s="492"/>
      <c r="N208" s="543"/>
    </row>
    <row r="209" spans="1:14" ht="13.5" customHeight="1" x14ac:dyDescent="0.2">
      <c r="A209" s="447"/>
      <c r="B209" s="448"/>
      <c r="C209" s="529"/>
      <c r="D209" s="449"/>
      <c r="E209" s="1321"/>
      <c r="F209" s="844"/>
      <c r="G209" s="452"/>
      <c r="H209" s="1558"/>
      <c r="I209" s="40" t="s">
        <v>51</v>
      </c>
      <c r="J209" s="40">
        <v>0</v>
      </c>
      <c r="K209" s="40">
        <v>0</v>
      </c>
      <c r="L209" s="65"/>
      <c r="M209" s="845"/>
      <c r="N209" s="199"/>
    </row>
    <row r="210" spans="1:14" ht="25.5" customHeight="1" x14ac:dyDescent="0.2">
      <c r="A210" s="447"/>
      <c r="B210" s="448"/>
      <c r="C210" s="529"/>
      <c r="D210" s="449"/>
      <c r="E210" s="1321"/>
      <c r="F210" s="485"/>
      <c r="G210" s="452"/>
      <c r="H210" s="1558"/>
      <c r="I210" s="40" t="s">
        <v>22</v>
      </c>
      <c r="J210" s="40">
        <f>+K210</f>
        <v>68.599999999999994</v>
      </c>
      <c r="K210" s="40">
        <v>68.599999999999994</v>
      </c>
      <c r="L210" s="846"/>
      <c r="M210" s="291" t="s">
        <v>84</v>
      </c>
      <c r="N210" s="290">
        <v>14.5</v>
      </c>
    </row>
    <row r="211" spans="1:14" ht="15" customHeight="1" x14ac:dyDescent="0.2">
      <c r="A211" s="447"/>
      <c r="B211" s="448"/>
      <c r="C211" s="529"/>
      <c r="D211" s="449"/>
      <c r="E211" s="1321"/>
      <c r="F211" s="485"/>
      <c r="G211" s="452"/>
      <c r="H211" s="1558"/>
      <c r="I211" s="40"/>
      <c r="J211" s="49"/>
      <c r="K211" s="40"/>
      <c r="L211" s="846"/>
      <c r="M211" s="83" t="s">
        <v>32</v>
      </c>
      <c r="N211" s="357">
        <f>66+5</f>
        <v>71</v>
      </c>
    </row>
    <row r="212" spans="1:14" ht="15.75" customHeight="1" x14ac:dyDescent="0.2">
      <c r="A212" s="447"/>
      <c r="B212" s="448"/>
      <c r="C212" s="529"/>
      <c r="D212" s="449"/>
      <c r="E212" s="1321"/>
      <c r="F212" s="485"/>
      <c r="G212" s="452"/>
      <c r="H212" s="1558"/>
      <c r="I212" s="40"/>
      <c r="J212" s="49"/>
      <c r="K212" s="40"/>
      <c r="L212" s="847"/>
      <c r="M212" s="288" t="s">
        <v>209</v>
      </c>
      <c r="N212" s="19">
        <v>100</v>
      </c>
    </row>
    <row r="213" spans="1:14" ht="13.5" customHeight="1" x14ac:dyDescent="0.2">
      <c r="A213" s="447"/>
      <c r="B213" s="448"/>
      <c r="C213" s="529"/>
      <c r="D213" s="449"/>
      <c r="E213" s="1321"/>
      <c r="F213" s="485"/>
      <c r="G213" s="452"/>
      <c r="H213" s="1558"/>
      <c r="I213" s="40"/>
      <c r="J213" s="49"/>
      <c r="K213" s="40"/>
      <c r="L213" s="847"/>
      <c r="M213" s="1578" t="s">
        <v>210</v>
      </c>
      <c r="N213" s="848" t="s">
        <v>211</v>
      </c>
    </row>
    <row r="214" spans="1:14" ht="15" customHeight="1" x14ac:dyDescent="0.2">
      <c r="A214" s="447"/>
      <c r="B214" s="448"/>
      <c r="C214" s="529"/>
      <c r="D214" s="449"/>
      <c r="E214" s="1321"/>
      <c r="F214" s="485"/>
      <c r="G214" s="452"/>
      <c r="H214" s="1558"/>
      <c r="I214" s="40"/>
      <c r="J214" s="49"/>
      <c r="K214" s="40"/>
      <c r="L214" s="847"/>
      <c r="M214" s="1579"/>
      <c r="N214" s="199"/>
    </row>
    <row r="215" spans="1:14" ht="27" customHeight="1" x14ac:dyDescent="0.2">
      <c r="A215" s="447"/>
      <c r="B215" s="448"/>
      <c r="C215" s="529"/>
      <c r="D215" s="449"/>
      <c r="E215" s="1321"/>
      <c r="F215" s="485"/>
      <c r="G215" s="452"/>
      <c r="H215" s="1558"/>
      <c r="I215" s="40"/>
      <c r="J215" s="49"/>
      <c r="K215" s="40"/>
      <c r="L215" s="847"/>
      <c r="M215" s="291" t="s">
        <v>212</v>
      </c>
      <c r="N215" s="19">
        <v>1</v>
      </c>
    </row>
    <row r="216" spans="1:14" ht="19.5" customHeight="1" x14ac:dyDescent="0.2">
      <c r="A216" s="447"/>
      <c r="B216" s="448"/>
      <c r="C216" s="529"/>
      <c r="D216" s="449"/>
      <c r="E216" s="1321"/>
      <c r="F216" s="485"/>
      <c r="G216" s="452"/>
      <c r="H216" s="1558"/>
      <c r="I216" s="40"/>
      <c r="J216" s="49"/>
      <c r="K216" s="40"/>
      <c r="L216" s="846"/>
      <c r="M216" s="1580" t="s">
        <v>697</v>
      </c>
      <c r="N216" s="357">
        <v>5</v>
      </c>
    </row>
    <row r="217" spans="1:14" ht="46.5" customHeight="1" x14ac:dyDescent="0.2">
      <c r="A217" s="447"/>
      <c r="B217" s="448"/>
      <c r="C217" s="529"/>
      <c r="D217" s="849"/>
      <c r="E217" s="1321"/>
      <c r="F217" s="485"/>
      <c r="G217" s="452"/>
      <c r="H217" s="1558"/>
      <c r="I217" s="39"/>
      <c r="J217" s="788"/>
      <c r="K217" s="547"/>
      <c r="L217" s="850"/>
      <c r="M217" s="1581"/>
      <c r="N217" s="474"/>
    </row>
    <row r="218" spans="1:14" ht="15" customHeight="1" x14ac:dyDescent="0.2">
      <c r="A218" s="447"/>
      <c r="B218" s="448"/>
      <c r="C218" s="529"/>
      <c r="D218" s="449" t="s">
        <v>6</v>
      </c>
      <c r="E218" s="450" t="s">
        <v>53</v>
      </c>
      <c r="F218" s="131"/>
      <c r="G218" s="449"/>
      <c r="H218" s="566"/>
      <c r="I218" s="40" t="s">
        <v>73</v>
      </c>
      <c r="J218" s="52">
        <f>+K218</f>
        <v>100</v>
      </c>
      <c r="K218" s="34">
        <f>120-20</f>
        <v>100</v>
      </c>
      <c r="L218" s="842"/>
      <c r="M218" s="843" t="s">
        <v>64</v>
      </c>
      <c r="N218" s="473">
        <v>1</v>
      </c>
    </row>
    <row r="219" spans="1:14" ht="15" customHeight="1" x14ac:dyDescent="0.2">
      <c r="A219" s="447"/>
      <c r="B219" s="448"/>
      <c r="C219" s="529"/>
      <c r="D219" s="449"/>
      <c r="E219" s="454"/>
      <c r="F219" s="293"/>
      <c r="G219" s="449"/>
      <c r="H219" s="566"/>
      <c r="I219" s="39" t="s">
        <v>57</v>
      </c>
      <c r="J219" s="49">
        <v>15</v>
      </c>
      <c r="K219" s="40">
        <v>15</v>
      </c>
      <c r="L219" s="846"/>
      <c r="M219" s="492"/>
      <c r="N219" s="357"/>
    </row>
    <row r="220" spans="1:14" ht="13.5" customHeight="1" x14ac:dyDescent="0.2">
      <c r="A220" s="447"/>
      <c r="B220" s="448"/>
      <c r="C220" s="529"/>
      <c r="D220" s="851" t="s">
        <v>24</v>
      </c>
      <c r="E220" s="1377" t="s">
        <v>86</v>
      </c>
      <c r="F220" s="207"/>
      <c r="G220" s="149"/>
      <c r="H220" s="852"/>
      <c r="I220" s="40" t="s">
        <v>57</v>
      </c>
      <c r="J220" s="52">
        <v>8</v>
      </c>
      <c r="K220" s="34">
        <v>8</v>
      </c>
      <c r="L220" s="842"/>
      <c r="M220" s="843" t="s">
        <v>153</v>
      </c>
      <c r="N220" s="473">
        <v>14</v>
      </c>
    </row>
    <row r="221" spans="1:14" ht="15.75" customHeight="1" x14ac:dyDescent="0.2">
      <c r="A221" s="447"/>
      <c r="B221" s="448"/>
      <c r="C221" s="529"/>
      <c r="D221" s="849"/>
      <c r="E221" s="1378"/>
      <c r="F221" s="174"/>
      <c r="G221" s="149"/>
      <c r="H221" s="852"/>
      <c r="I221" s="39"/>
      <c r="J221" s="51"/>
      <c r="K221" s="39"/>
      <c r="L221" s="853"/>
      <c r="M221" s="100"/>
      <c r="N221" s="474"/>
    </row>
    <row r="222" spans="1:14" ht="15" customHeight="1" x14ac:dyDescent="0.2">
      <c r="A222" s="464"/>
      <c r="B222" s="448"/>
      <c r="C222" s="559"/>
      <c r="D222" s="482" t="s">
        <v>29</v>
      </c>
      <c r="E222" s="1361" t="s">
        <v>108</v>
      </c>
      <c r="F222" s="256" t="s">
        <v>41</v>
      </c>
      <c r="G222" s="470"/>
      <c r="H222" s="1558"/>
      <c r="I222" s="40" t="s">
        <v>22</v>
      </c>
      <c r="J222" s="49">
        <f>+K222</f>
        <v>47.9</v>
      </c>
      <c r="K222" s="40">
        <v>47.9</v>
      </c>
      <c r="L222" s="854"/>
      <c r="M222" s="1402" t="s">
        <v>97</v>
      </c>
      <c r="N222" s="855">
        <v>13</v>
      </c>
    </row>
    <row r="223" spans="1:14" ht="13.5" customHeight="1" x14ac:dyDescent="0.2">
      <c r="A223" s="464"/>
      <c r="B223" s="448"/>
      <c r="C223" s="561"/>
      <c r="D223" s="798"/>
      <c r="E223" s="1363"/>
      <c r="F223" s="64"/>
      <c r="G223" s="168"/>
      <c r="H223" s="1573"/>
      <c r="I223" s="39"/>
      <c r="J223" s="51"/>
      <c r="K223" s="39"/>
      <c r="L223" s="856"/>
      <c r="M223" s="1403"/>
      <c r="N223" s="857"/>
    </row>
    <row r="224" spans="1:14" ht="38.25" customHeight="1" x14ac:dyDescent="0.2">
      <c r="A224" s="447"/>
      <c r="B224" s="448"/>
      <c r="C224" s="529"/>
      <c r="D224" s="798" t="s">
        <v>628</v>
      </c>
      <c r="E224" s="858" t="s">
        <v>79</v>
      </c>
      <c r="F224" s="859"/>
      <c r="G224" s="860"/>
      <c r="H224" s="861" t="s">
        <v>698</v>
      </c>
      <c r="I224" s="177" t="s">
        <v>57</v>
      </c>
      <c r="J224" s="202">
        <v>544</v>
      </c>
      <c r="K224" s="862">
        <v>544</v>
      </c>
      <c r="L224" s="863"/>
      <c r="M224" s="100" t="s">
        <v>100</v>
      </c>
      <c r="N224" s="296">
        <v>172</v>
      </c>
    </row>
    <row r="225" spans="1:14" ht="15.75" customHeight="1" thickBot="1" x14ac:dyDescent="0.25">
      <c r="A225" s="42"/>
      <c r="B225" s="497"/>
      <c r="C225" s="831"/>
      <c r="D225" s="831"/>
      <c r="E225" s="832"/>
      <c r="F225" s="833"/>
      <c r="G225" s="831"/>
      <c r="H225" s="834"/>
      <c r="I225" s="72" t="s">
        <v>5</v>
      </c>
      <c r="J225" s="98">
        <f>SUM(J206:J224)</f>
        <v>1171.5999999999999</v>
      </c>
      <c r="K225" s="72">
        <f>SUM(K206:K224)</f>
        <v>1171.5999999999999</v>
      </c>
      <c r="L225" s="864">
        <f>SUM(L206:L224)</f>
        <v>0</v>
      </c>
      <c r="M225" s="817"/>
      <c r="N225" s="836"/>
    </row>
    <row r="226" spans="1:14" ht="17.25" customHeight="1" x14ac:dyDescent="0.2">
      <c r="A226" s="1404" t="s">
        <v>4</v>
      </c>
      <c r="B226" s="1406" t="s">
        <v>24</v>
      </c>
      <c r="C226" s="1370" t="s">
        <v>6</v>
      </c>
      <c r="D226" s="1574"/>
      <c r="E226" s="1408" t="s">
        <v>213</v>
      </c>
      <c r="F226" s="1410" t="s">
        <v>178</v>
      </c>
      <c r="G226" s="1566" t="s">
        <v>46</v>
      </c>
      <c r="H226" s="1569" t="s">
        <v>699</v>
      </c>
      <c r="I226" s="58" t="s">
        <v>22</v>
      </c>
      <c r="J226" s="87">
        <v>136.80000000000001</v>
      </c>
      <c r="K226" s="87">
        <v>136.80000000000001</v>
      </c>
      <c r="L226" s="87"/>
      <c r="M226" s="109" t="s">
        <v>56</v>
      </c>
      <c r="N226" s="187">
        <v>18</v>
      </c>
    </row>
    <row r="227" spans="1:14" ht="15.75" customHeight="1" x14ac:dyDescent="0.2">
      <c r="A227" s="1315"/>
      <c r="B227" s="1310"/>
      <c r="C227" s="1313"/>
      <c r="D227" s="1575"/>
      <c r="E227" s="1361"/>
      <c r="F227" s="1411"/>
      <c r="G227" s="1567"/>
      <c r="H227" s="1558"/>
      <c r="I227" s="45"/>
      <c r="J227" s="35"/>
      <c r="K227" s="35"/>
      <c r="L227" s="35"/>
      <c r="M227" s="492" t="s">
        <v>65</v>
      </c>
      <c r="N227" s="357">
        <v>7</v>
      </c>
    </row>
    <row r="228" spans="1:14" ht="16.5" customHeight="1" thickBot="1" x14ac:dyDescent="0.25">
      <c r="A228" s="1405"/>
      <c r="B228" s="1407"/>
      <c r="C228" s="1371"/>
      <c r="D228" s="1576"/>
      <c r="E228" s="1409"/>
      <c r="F228" s="1412"/>
      <c r="G228" s="1568"/>
      <c r="H228" s="1543"/>
      <c r="I228" s="72" t="s">
        <v>5</v>
      </c>
      <c r="J228" s="78">
        <f>SUM(J226:J227)</f>
        <v>136.80000000000001</v>
      </c>
      <c r="K228" s="78">
        <f>SUM(K226:K227)</f>
        <v>136.80000000000001</v>
      </c>
      <c r="L228" s="78">
        <f>SUM(L226:L227)</f>
        <v>0</v>
      </c>
      <c r="M228" s="253"/>
      <c r="N228" s="167"/>
    </row>
    <row r="229" spans="1:14" ht="19.5" customHeight="1" x14ac:dyDescent="0.2">
      <c r="A229" s="477" t="s">
        <v>4</v>
      </c>
      <c r="B229" s="171" t="s">
        <v>24</v>
      </c>
      <c r="C229" s="818" t="s">
        <v>24</v>
      </c>
      <c r="D229" s="481"/>
      <c r="E229" s="1390" t="s">
        <v>121</v>
      </c>
      <c r="F229" s="1391" t="s">
        <v>179</v>
      </c>
      <c r="G229" s="498"/>
      <c r="H229" s="865"/>
      <c r="I229" s="161"/>
      <c r="J229" s="161"/>
      <c r="K229" s="161"/>
      <c r="L229" s="161"/>
      <c r="M229" s="173"/>
      <c r="N229" s="106"/>
    </row>
    <row r="230" spans="1:14" ht="20.25" customHeight="1" x14ac:dyDescent="0.2">
      <c r="A230" s="478"/>
      <c r="B230" s="489"/>
      <c r="C230" s="513"/>
      <c r="D230" s="798"/>
      <c r="E230" s="1570"/>
      <c r="F230" s="1571"/>
      <c r="G230" s="168"/>
      <c r="H230" s="866"/>
      <c r="I230" s="154"/>
      <c r="J230" s="154"/>
      <c r="K230" s="154"/>
      <c r="L230" s="154"/>
      <c r="M230" s="493"/>
      <c r="N230" s="26"/>
    </row>
    <row r="231" spans="1:14" ht="17.25" customHeight="1" x14ac:dyDescent="0.2">
      <c r="A231" s="1365"/>
      <c r="B231" s="1396"/>
      <c r="C231" s="1559"/>
      <c r="D231" s="851" t="s">
        <v>4</v>
      </c>
      <c r="E231" s="1360" t="s">
        <v>252</v>
      </c>
      <c r="F231" s="1383" t="s">
        <v>180</v>
      </c>
      <c r="G231" s="470">
        <v>5</v>
      </c>
      <c r="H231" s="1558" t="s">
        <v>700</v>
      </c>
      <c r="I231" s="40" t="s">
        <v>38</v>
      </c>
      <c r="J231" s="40">
        <v>420</v>
      </c>
      <c r="K231" s="40">
        <v>420</v>
      </c>
      <c r="L231" s="40"/>
      <c r="M231" s="1324" t="s">
        <v>133</v>
      </c>
      <c r="N231" s="357">
        <v>1</v>
      </c>
    </row>
    <row r="232" spans="1:14" ht="16.5" customHeight="1" x14ac:dyDescent="0.2">
      <c r="A232" s="1365"/>
      <c r="B232" s="1396"/>
      <c r="C232" s="1559"/>
      <c r="D232" s="482"/>
      <c r="E232" s="1572"/>
      <c r="F232" s="1400"/>
      <c r="G232" s="452"/>
      <c r="H232" s="1558"/>
      <c r="I232" s="40" t="s">
        <v>22</v>
      </c>
      <c r="J232" s="40">
        <v>207</v>
      </c>
      <c r="K232" s="40">
        <v>207</v>
      </c>
      <c r="L232" s="40"/>
      <c r="M232" s="1564"/>
      <c r="N232" s="357"/>
    </row>
    <row r="233" spans="1:14" ht="11.25" customHeight="1" x14ac:dyDescent="0.2">
      <c r="A233" s="1365"/>
      <c r="B233" s="1396"/>
      <c r="C233" s="1559"/>
      <c r="D233" s="482"/>
      <c r="E233" s="1572"/>
      <c r="F233" s="1400"/>
      <c r="G233" s="452"/>
      <c r="H233" s="1558"/>
      <c r="I233" s="40" t="s">
        <v>51</v>
      </c>
      <c r="J233" s="40">
        <v>277.3</v>
      </c>
      <c r="K233" s="40">
        <v>277.3</v>
      </c>
      <c r="L233" s="40"/>
      <c r="M233" s="867"/>
      <c r="N233" s="357"/>
    </row>
    <row r="234" spans="1:14" ht="8.25" customHeight="1" x14ac:dyDescent="0.2">
      <c r="A234" s="478"/>
      <c r="B234" s="489"/>
      <c r="C234" s="513"/>
      <c r="D234" s="798"/>
      <c r="E234" s="490"/>
      <c r="F234" s="491"/>
      <c r="G234" s="452"/>
      <c r="H234" s="803"/>
      <c r="I234" s="39"/>
      <c r="J234" s="39"/>
      <c r="K234" s="39"/>
      <c r="L234" s="39"/>
      <c r="M234" s="487"/>
      <c r="N234" s="474"/>
    </row>
    <row r="235" spans="1:14" ht="15.75" customHeight="1" x14ac:dyDescent="0.2">
      <c r="A235" s="1365"/>
      <c r="B235" s="1396"/>
      <c r="C235" s="1559"/>
      <c r="D235" s="482" t="s">
        <v>6</v>
      </c>
      <c r="E235" s="1271" t="s">
        <v>131</v>
      </c>
      <c r="F235" s="1384" t="s">
        <v>181</v>
      </c>
      <c r="G235" s="482"/>
      <c r="H235" s="1558"/>
      <c r="I235" s="40" t="s">
        <v>22</v>
      </c>
      <c r="J235" s="40">
        <v>42.2</v>
      </c>
      <c r="K235" s="40">
        <v>42.2</v>
      </c>
      <c r="L235" s="40"/>
      <c r="M235" s="459" t="s">
        <v>116</v>
      </c>
      <c r="N235" s="357">
        <v>1</v>
      </c>
    </row>
    <row r="236" spans="1:14" ht="18" customHeight="1" x14ac:dyDescent="0.2">
      <c r="A236" s="1365"/>
      <c r="B236" s="1396"/>
      <c r="C236" s="1559"/>
      <c r="D236" s="482"/>
      <c r="E236" s="1420"/>
      <c r="F236" s="1423"/>
      <c r="G236" s="449"/>
      <c r="H236" s="1558"/>
      <c r="I236" s="40" t="s">
        <v>51</v>
      </c>
      <c r="J236" s="40">
        <f>+K236</f>
        <v>164.3</v>
      </c>
      <c r="K236" s="40">
        <f>12.3+152</f>
        <v>164.3</v>
      </c>
      <c r="L236" s="526"/>
      <c r="M236" s="1565"/>
      <c r="N236" s="357"/>
    </row>
    <row r="237" spans="1:14" ht="17.25" customHeight="1" x14ac:dyDescent="0.2">
      <c r="A237" s="132"/>
      <c r="B237" s="489"/>
      <c r="C237" s="868"/>
      <c r="D237" s="482"/>
      <c r="E237" s="1420"/>
      <c r="F237" s="1424"/>
      <c r="G237" s="449"/>
      <c r="H237" s="803"/>
      <c r="I237" s="40" t="s">
        <v>38</v>
      </c>
      <c r="J237" s="40">
        <v>499.1</v>
      </c>
      <c r="K237" s="40">
        <v>499.1</v>
      </c>
      <c r="L237" s="40"/>
      <c r="M237" s="1388"/>
      <c r="N237" s="357"/>
    </row>
    <row r="238" spans="1:14" ht="14.25" customHeight="1" x14ac:dyDescent="0.2">
      <c r="A238" s="1315"/>
      <c r="B238" s="1310"/>
      <c r="C238" s="1559"/>
      <c r="D238" s="1560" t="s">
        <v>24</v>
      </c>
      <c r="E238" s="1270" t="s">
        <v>113</v>
      </c>
      <c r="F238" s="1383" t="s">
        <v>90</v>
      </c>
      <c r="G238" s="1313"/>
      <c r="H238" s="1558"/>
      <c r="I238" s="92" t="s">
        <v>22</v>
      </c>
      <c r="J238" s="34">
        <v>14.7</v>
      </c>
      <c r="K238" s="34">
        <v>14.7</v>
      </c>
      <c r="L238" s="34"/>
      <c r="M238" s="458" t="s">
        <v>132</v>
      </c>
      <c r="N238" s="257">
        <v>6</v>
      </c>
    </row>
    <row r="239" spans="1:14" ht="12.75" customHeight="1" x14ac:dyDescent="0.2">
      <c r="A239" s="1315"/>
      <c r="B239" s="1310"/>
      <c r="C239" s="1559"/>
      <c r="D239" s="1561"/>
      <c r="E239" s="1420"/>
      <c r="F239" s="1400"/>
      <c r="G239" s="1313"/>
      <c r="H239" s="1558"/>
      <c r="I239" s="40" t="s">
        <v>154</v>
      </c>
      <c r="J239" s="40">
        <v>83.3</v>
      </c>
      <c r="K239" s="40">
        <v>83.3</v>
      </c>
      <c r="L239" s="40"/>
      <c r="M239" s="459"/>
      <c r="N239" s="133"/>
    </row>
    <row r="240" spans="1:14" ht="11.25" customHeight="1" x14ac:dyDescent="0.2">
      <c r="A240" s="1315"/>
      <c r="B240" s="1310"/>
      <c r="C240" s="1559"/>
      <c r="D240" s="1562"/>
      <c r="E240" s="1340"/>
      <c r="F240" s="1401"/>
      <c r="G240" s="1313"/>
      <c r="H240" s="1558"/>
      <c r="I240" s="45"/>
      <c r="J240" s="39"/>
      <c r="K240" s="39"/>
      <c r="L240" s="39"/>
      <c r="M240" s="17"/>
      <c r="N240" s="296"/>
    </row>
    <row r="241" spans="1:14" ht="15.75" customHeight="1" x14ac:dyDescent="0.2">
      <c r="A241" s="1365"/>
      <c r="B241" s="1396"/>
      <c r="C241" s="1559"/>
      <c r="D241" s="482" t="s">
        <v>29</v>
      </c>
      <c r="E241" s="1270" t="s">
        <v>214</v>
      </c>
      <c r="F241" s="1384" t="s">
        <v>181</v>
      </c>
      <c r="G241" s="482"/>
      <c r="H241" s="1558"/>
      <c r="I241" s="40" t="s">
        <v>22</v>
      </c>
      <c r="J241" s="40">
        <v>2.8</v>
      </c>
      <c r="K241" s="40">
        <v>2.8</v>
      </c>
      <c r="L241" s="40">
        <f>K241-J241</f>
        <v>0</v>
      </c>
      <c r="M241" s="459" t="s">
        <v>701</v>
      </c>
      <c r="N241" s="357"/>
    </row>
    <row r="242" spans="1:14" ht="14.25" customHeight="1" x14ac:dyDescent="0.2">
      <c r="A242" s="1365"/>
      <c r="B242" s="1396"/>
      <c r="C242" s="1559"/>
      <c r="D242" s="482"/>
      <c r="E242" s="1420"/>
      <c r="F242" s="1423"/>
      <c r="G242" s="449"/>
      <c r="H242" s="1558"/>
      <c r="I242" s="40" t="s">
        <v>38</v>
      </c>
      <c r="J242" s="40"/>
      <c r="K242" s="40"/>
      <c r="L242" s="40"/>
      <c r="M242" s="459" t="s">
        <v>702</v>
      </c>
      <c r="N242" s="357"/>
    </row>
    <row r="243" spans="1:14" ht="9" customHeight="1" x14ac:dyDescent="0.2">
      <c r="A243" s="132"/>
      <c r="B243" s="489"/>
      <c r="C243" s="868"/>
      <c r="D243" s="482"/>
      <c r="E243" s="1340"/>
      <c r="F243" s="1424"/>
      <c r="G243" s="449"/>
      <c r="H243" s="803"/>
      <c r="I243" s="40"/>
      <c r="J243" s="40"/>
      <c r="K243" s="40"/>
      <c r="L243" s="40"/>
      <c r="M243" s="17"/>
      <c r="N243" s="357"/>
    </row>
    <row r="244" spans="1:14" ht="14.25" customHeight="1" x14ac:dyDescent="0.2">
      <c r="A244" s="1315"/>
      <c r="B244" s="1310"/>
      <c r="C244" s="1559"/>
      <c r="D244" s="1560" t="s">
        <v>628</v>
      </c>
      <c r="E244" s="1270" t="s">
        <v>215</v>
      </c>
      <c r="F244" s="1383" t="s">
        <v>90</v>
      </c>
      <c r="G244" s="1313"/>
      <c r="H244" s="1558"/>
      <c r="I244" s="92" t="s">
        <v>38</v>
      </c>
      <c r="J244" s="34"/>
      <c r="K244" s="34"/>
      <c r="L244" s="34"/>
      <c r="M244" s="459" t="s">
        <v>216</v>
      </c>
      <c r="N244" s="257"/>
    </row>
    <row r="245" spans="1:14" ht="12.75" customHeight="1" x14ac:dyDescent="0.2">
      <c r="A245" s="1315"/>
      <c r="B245" s="1310"/>
      <c r="C245" s="1559"/>
      <c r="D245" s="1561"/>
      <c r="E245" s="1420"/>
      <c r="F245" s="1400"/>
      <c r="G245" s="1313"/>
      <c r="H245" s="1558"/>
      <c r="I245" s="40"/>
      <c r="J245" s="40"/>
      <c r="K245" s="40"/>
      <c r="L245" s="40"/>
      <c r="M245" s="459"/>
      <c r="N245" s="133"/>
    </row>
    <row r="246" spans="1:14" ht="11.25" customHeight="1" x14ac:dyDescent="0.2">
      <c r="A246" s="1315"/>
      <c r="B246" s="1310"/>
      <c r="C246" s="1559"/>
      <c r="D246" s="1562"/>
      <c r="E246" s="1340"/>
      <c r="F246" s="1401"/>
      <c r="G246" s="1313"/>
      <c r="H246" s="1558"/>
      <c r="I246" s="45"/>
      <c r="J246" s="39"/>
      <c r="K246" s="39"/>
      <c r="L246" s="39"/>
      <c r="M246" s="17"/>
      <c r="N246" s="296"/>
    </row>
    <row r="247" spans="1:14" ht="37.5" customHeight="1" x14ac:dyDescent="0.2">
      <c r="A247" s="447"/>
      <c r="B247" s="453"/>
      <c r="C247" s="529"/>
      <c r="D247" s="851" t="s">
        <v>30</v>
      </c>
      <c r="E247" s="475" t="s">
        <v>92</v>
      </c>
      <c r="F247" s="180" t="s">
        <v>118</v>
      </c>
      <c r="G247" s="157" t="s">
        <v>31</v>
      </c>
      <c r="H247" s="869" t="s">
        <v>703</v>
      </c>
      <c r="I247" s="156" t="s">
        <v>59</v>
      </c>
      <c r="J247" s="156">
        <v>24.2</v>
      </c>
      <c r="K247" s="156">
        <v>24.2</v>
      </c>
      <c r="L247" s="156"/>
      <c r="M247" s="43" t="s">
        <v>66</v>
      </c>
      <c r="N247" s="176">
        <v>1</v>
      </c>
    </row>
    <row r="248" spans="1:14" ht="15.75" customHeight="1" x14ac:dyDescent="0.2">
      <c r="A248" s="1315"/>
      <c r="B248" s="1310"/>
      <c r="C248" s="1559"/>
      <c r="D248" s="1560" t="s">
        <v>635</v>
      </c>
      <c r="E248" s="1270" t="s">
        <v>151</v>
      </c>
      <c r="F248" s="1383" t="s">
        <v>90</v>
      </c>
      <c r="G248" s="1526" t="s">
        <v>31</v>
      </c>
      <c r="H248" s="1558"/>
      <c r="I248" s="34" t="s">
        <v>57</v>
      </c>
      <c r="J248" s="34">
        <v>12</v>
      </c>
      <c r="K248" s="34">
        <v>12</v>
      </c>
      <c r="L248" s="34"/>
      <c r="M248" s="1197" t="s">
        <v>217</v>
      </c>
      <c r="N248" s="257">
        <v>11</v>
      </c>
    </row>
    <row r="249" spans="1:14" ht="10.5" customHeight="1" x14ac:dyDescent="0.2">
      <c r="A249" s="1315"/>
      <c r="B249" s="1310"/>
      <c r="C249" s="1559"/>
      <c r="D249" s="1561"/>
      <c r="E249" s="1271"/>
      <c r="F249" s="1384"/>
      <c r="G249" s="1294"/>
      <c r="H249" s="1558"/>
      <c r="I249" s="40"/>
      <c r="J249" s="41"/>
      <c r="K249" s="41"/>
      <c r="L249" s="41"/>
      <c r="M249" s="1338"/>
      <c r="N249" s="133"/>
    </row>
    <row r="250" spans="1:14" ht="12.75" customHeight="1" x14ac:dyDescent="0.2">
      <c r="A250" s="1315"/>
      <c r="B250" s="1310"/>
      <c r="C250" s="1559"/>
      <c r="D250" s="1562"/>
      <c r="E250" s="1340"/>
      <c r="F250" s="1401"/>
      <c r="G250" s="1522"/>
      <c r="H250" s="1563"/>
      <c r="I250" s="39"/>
      <c r="J250" s="39"/>
      <c r="K250" s="39"/>
      <c r="L250" s="39"/>
      <c r="M250" s="870"/>
      <c r="N250" s="871"/>
    </row>
    <row r="251" spans="1:14" ht="14.25" customHeight="1" thickBot="1" x14ac:dyDescent="0.25">
      <c r="A251" s="42"/>
      <c r="B251" s="497"/>
      <c r="C251" s="872"/>
      <c r="D251" s="872"/>
      <c r="E251" s="873"/>
      <c r="F251" s="874"/>
      <c r="G251" s="872"/>
      <c r="H251" s="875"/>
      <c r="I251" s="72" t="s">
        <v>5</v>
      </c>
      <c r="J251" s="98">
        <f>SUM(J231:J250)</f>
        <v>1746.9</v>
      </c>
      <c r="K251" s="98">
        <f>SUM(K231:K250)</f>
        <v>1746.9</v>
      </c>
      <c r="L251" s="98">
        <f>SUM(L231:L250)</f>
        <v>0</v>
      </c>
      <c r="M251" s="876"/>
      <c r="N251" s="877"/>
    </row>
    <row r="252" spans="1:14" ht="14.25" customHeight="1" thickBot="1" x14ac:dyDescent="0.25">
      <c r="A252" s="55" t="s">
        <v>4</v>
      </c>
      <c r="B252" s="48" t="s">
        <v>24</v>
      </c>
      <c r="C252" s="1346" t="s">
        <v>7</v>
      </c>
      <c r="D252" s="1346"/>
      <c r="E252" s="1346"/>
      <c r="F252" s="1346"/>
      <c r="G252" s="1346"/>
      <c r="H252" s="1346"/>
      <c r="I252" s="1347"/>
      <c r="J252" s="101">
        <f>J251+J228+J225</f>
        <v>3055.3</v>
      </c>
      <c r="K252" s="101">
        <f>K251+K228+K225</f>
        <v>3055.3</v>
      </c>
      <c r="L252" s="101">
        <f>L251+L228+L225</f>
        <v>0</v>
      </c>
      <c r="M252" s="1379"/>
      <c r="N252" s="1380"/>
    </row>
    <row r="253" spans="1:14" ht="14.25" customHeight="1" thickBot="1" x14ac:dyDescent="0.25">
      <c r="A253" s="47" t="s">
        <v>4</v>
      </c>
      <c r="B253" s="48" t="s">
        <v>29</v>
      </c>
      <c r="C253" s="1335" t="s">
        <v>120</v>
      </c>
      <c r="D253" s="1381"/>
      <c r="E253" s="1381"/>
      <c r="F253" s="1381"/>
      <c r="G253" s="1381"/>
      <c r="H253" s="1381"/>
      <c r="I253" s="1381"/>
      <c r="J253" s="1381"/>
      <c r="K253" s="1381"/>
      <c r="L253" s="1381"/>
      <c r="M253" s="1381"/>
      <c r="N253" s="1382"/>
    </row>
    <row r="254" spans="1:14" ht="31.5" customHeight="1" x14ac:dyDescent="0.2">
      <c r="A254" s="494" t="s">
        <v>4</v>
      </c>
      <c r="B254" s="496" t="s">
        <v>29</v>
      </c>
      <c r="C254" s="878" t="s">
        <v>4</v>
      </c>
      <c r="D254" s="879"/>
      <c r="E254" s="779" t="s">
        <v>77</v>
      </c>
      <c r="F254" s="880"/>
      <c r="G254" s="879"/>
      <c r="H254" s="782"/>
      <c r="I254" s="56"/>
      <c r="J254" s="881"/>
      <c r="K254" s="882"/>
      <c r="L254" s="883"/>
      <c r="M254" s="884"/>
      <c r="N254" s="885"/>
    </row>
    <row r="255" spans="1:14" ht="15.75" customHeight="1" x14ac:dyDescent="0.2">
      <c r="A255" s="447"/>
      <c r="B255" s="453"/>
      <c r="C255" s="559"/>
      <c r="D255" s="886" t="s">
        <v>4</v>
      </c>
      <c r="E255" s="144" t="s">
        <v>74</v>
      </c>
      <c r="F255" s="468"/>
      <c r="G255" s="470">
        <v>6</v>
      </c>
      <c r="H255" s="1554" t="s">
        <v>704</v>
      </c>
      <c r="I255" s="177"/>
      <c r="J255" s="178"/>
      <c r="K255" s="177"/>
      <c r="L255" s="887"/>
      <c r="M255" s="247"/>
      <c r="N255" s="298"/>
    </row>
    <row r="256" spans="1:14" ht="14.25" customHeight="1" x14ac:dyDescent="0.2">
      <c r="A256" s="447"/>
      <c r="B256" s="453"/>
      <c r="C256" s="559"/>
      <c r="D256" s="1556" t="s">
        <v>705</v>
      </c>
      <c r="E256" s="476" t="s">
        <v>218</v>
      </c>
      <c r="F256" s="468"/>
      <c r="G256" s="470"/>
      <c r="H256" s="1555"/>
      <c r="I256" s="40" t="s">
        <v>73</v>
      </c>
      <c r="J256" s="49">
        <v>1020</v>
      </c>
      <c r="K256" s="40">
        <v>1020</v>
      </c>
      <c r="L256" s="847"/>
      <c r="M256" s="460" t="s">
        <v>55</v>
      </c>
      <c r="N256" s="23">
        <v>5.9</v>
      </c>
    </row>
    <row r="257" spans="1:15" ht="13.5" customHeight="1" x14ac:dyDescent="0.2">
      <c r="A257" s="447"/>
      <c r="B257" s="453"/>
      <c r="C257" s="559"/>
      <c r="D257" s="1557"/>
      <c r="E257" s="108" t="s">
        <v>123</v>
      </c>
      <c r="F257" s="468"/>
      <c r="G257" s="470"/>
      <c r="H257" s="1555"/>
      <c r="I257" s="40" t="s">
        <v>51</v>
      </c>
      <c r="J257" s="49">
        <v>38.200000000000003</v>
      </c>
      <c r="K257" s="40">
        <v>38.200000000000003</v>
      </c>
      <c r="L257" s="38"/>
      <c r="M257" s="460"/>
      <c r="N257" s="23"/>
    </row>
    <row r="258" spans="1:15" ht="14.25" customHeight="1" x14ac:dyDescent="0.2">
      <c r="A258" s="447"/>
      <c r="B258" s="453"/>
      <c r="C258" s="559"/>
      <c r="D258" s="1557"/>
      <c r="E258" s="108" t="s">
        <v>122</v>
      </c>
      <c r="F258" s="468"/>
      <c r="G258" s="470"/>
      <c r="H258" s="1555"/>
      <c r="I258" s="40" t="s">
        <v>22</v>
      </c>
      <c r="J258" s="49">
        <v>7.5</v>
      </c>
      <c r="K258" s="40">
        <v>7.5</v>
      </c>
      <c r="L258" s="38"/>
      <c r="M258" s="460"/>
      <c r="N258" s="23"/>
    </row>
    <row r="259" spans="1:15" ht="14.25" customHeight="1" x14ac:dyDescent="0.2">
      <c r="A259" s="447"/>
      <c r="B259" s="453"/>
      <c r="C259" s="559"/>
      <c r="D259" s="1557"/>
      <c r="E259" s="476" t="s">
        <v>124</v>
      </c>
      <c r="F259" s="468"/>
      <c r="G259" s="470"/>
      <c r="H259" s="803"/>
      <c r="I259" s="40" t="s">
        <v>57</v>
      </c>
      <c r="J259" s="49">
        <f>+K259</f>
        <v>27.6</v>
      </c>
      <c r="K259" s="40">
        <v>27.6</v>
      </c>
      <c r="L259" s="847"/>
      <c r="M259" s="460"/>
      <c r="N259" s="23"/>
    </row>
    <row r="260" spans="1:15" ht="29.25" customHeight="1" x14ac:dyDescent="0.2">
      <c r="A260" s="447"/>
      <c r="B260" s="453"/>
      <c r="C260" s="559"/>
      <c r="D260" s="1557"/>
      <c r="E260" s="108" t="s">
        <v>219</v>
      </c>
      <c r="F260" s="468"/>
      <c r="G260" s="470"/>
      <c r="H260" s="803"/>
      <c r="I260" s="40"/>
      <c r="J260" s="49"/>
      <c r="K260" s="40"/>
      <c r="L260" s="38"/>
      <c r="M260" s="460"/>
      <c r="N260" s="23"/>
    </row>
    <row r="261" spans="1:15" ht="26.25" customHeight="1" x14ac:dyDescent="0.2">
      <c r="A261" s="447"/>
      <c r="B261" s="453"/>
      <c r="C261" s="559"/>
      <c r="D261" s="1557"/>
      <c r="E261" s="888" t="s">
        <v>220</v>
      </c>
      <c r="F261" s="468"/>
      <c r="G261" s="470"/>
      <c r="H261" s="803"/>
      <c r="I261" s="40"/>
      <c r="J261" s="49"/>
      <c r="K261" s="40"/>
      <c r="L261" s="38"/>
      <c r="M261" s="460"/>
      <c r="N261" s="23"/>
    </row>
    <row r="262" spans="1:15" ht="27" customHeight="1" x14ac:dyDescent="0.2">
      <c r="A262" s="447"/>
      <c r="B262" s="453"/>
      <c r="C262" s="559"/>
      <c r="D262" s="1557"/>
      <c r="E262" s="108" t="s">
        <v>221</v>
      </c>
      <c r="F262" s="468"/>
      <c r="G262" s="470"/>
      <c r="H262" s="803"/>
      <c r="I262" s="40"/>
      <c r="J262" s="49"/>
      <c r="K262" s="40"/>
      <c r="L262" s="38"/>
      <c r="M262" s="460"/>
      <c r="N262" s="23"/>
    </row>
    <row r="263" spans="1:15" ht="27" customHeight="1" x14ac:dyDescent="0.2">
      <c r="A263" s="447"/>
      <c r="B263" s="453"/>
      <c r="C263" s="559"/>
      <c r="D263" s="889"/>
      <c r="E263" s="471" t="s">
        <v>222</v>
      </c>
      <c r="F263" s="468"/>
      <c r="G263" s="470"/>
      <c r="H263" s="803"/>
      <c r="I263" s="40"/>
      <c r="J263" s="49"/>
      <c r="K263" s="40"/>
      <c r="L263" s="38"/>
      <c r="M263" s="488"/>
      <c r="N263" s="26"/>
    </row>
    <row r="264" spans="1:15" ht="29.25" customHeight="1" x14ac:dyDescent="0.2">
      <c r="A264" s="447"/>
      <c r="B264" s="453"/>
      <c r="C264" s="559"/>
      <c r="D264" s="890" t="s">
        <v>6</v>
      </c>
      <c r="E264" s="1291" t="s">
        <v>76</v>
      </c>
      <c r="F264" s="467"/>
      <c r="G264" s="452"/>
      <c r="H264" s="891"/>
      <c r="I264" s="34" t="s">
        <v>73</v>
      </c>
      <c r="J264" s="34">
        <v>377.5</v>
      </c>
      <c r="K264" s="34">
        <f>110.3+152+110.5+4.7</f>
        <v>377.5</v>
      </c>
      <c r="L264" s="34">
        <f>+K264-J264</f>
        <v>0</v>
      </c>
      <c r="M264" s="892" t="s">
        <v>223</v>
      </c>
      <c r="N264" s="848" t="s">
        <v>706</v>
      </c>
    </row>
    <row r="265" spans="1:15" ht="29.25" customHeight="1" x14ac:dyDescent="0.2">
      <c r="A265" s="447"/>
      <c r="B265" s="453"/>
      <c r="C265" s="559"/>
      <c r="D265" s="378"/>
      <c r="E265" s="1292"/>
      <c r="F265" s="468"/>
      <c r="G265" s="452"/>
      <c r="H265" s="891"/>
      <c r="I265" s="40"/>
      <c r="J265" s="547"/>
      <c r="K265" s="547"/>
      <c r="L265" s="547"/>
      <c r="M265" s="50" t="s">
        <v>226</v>
      </c>
      <c r="N265" s="893" t="s">
        <v>227</v>
      </c>
    </row>
    <row r="266" spans="1:15" ht="26.25" customHeight="1" x14ac:dyDescent="0.2">
      <c r="A266" s="447"/>
      <c r="B266" s="453"/>
      <c r="C266" s="559"/>
      <c r="D266" s="378"/>
      <c r="E266" s="1292"/>
      <c r="F266" s="468"/>
      <c r="G266" s="452"/>
      <c r="H266" s="891"/>
      <c r="I266" s="526" t="s">
        <v>22</v>
      </c>
      <c r="J266" s="526">
        <v>835.2</v>
      </c>
      <c r="K266" s="526">
        <f>835.2+43.8+18</f>
        <v>897</v>
      </c>
      <c r="L266" s="847">
        <f>+K266-J266</f>
        <v>61.8</v>
      </c>
      <c r="M266" s="50" t="s">
        <v>34</v>
      </c>
      <c r="N266" s="894" t="s">
        <v>707</v>
      </c>
      <c r="O266" s="895" t="s">
        <v>708</v>
      </c>
    </row>
    <row r="267" spans="1:15" ht="17.25" customHeight="1" x14ac:dyDescent="0.2">
      <c r="A267" s="447"/>
      <c r="B267" s="453"/>
      <c r="C267" s="559"/>
      <c r="D267" s="896"/>
      <c r="E267" s="1311"/>
      <c r="F267" s="501"/>
      <c r="G267" s="452"/>
      <c r="H267" s="563"/>
      <c r="I267" s="897" t="s">
        <v>57</v>
      </c>
      <c r="J267" s="824">
        <v>0</v>
      </c>
      <c r="K267" s="552">
        <v>105</v>
      </c>
      <c r="L267" s="898">
        <v>105</v>
      </c>
      <c r="M267" s="488" t="s">
        <v>54</v>
      </c>
      <c r="N267" s="899" t="s">
        <v>225</v>
      </c>
    </row>
    <row r="268" spans="1:15" ht="15.75" customHeight="1" x14ac:dyDescent="0.2">
      <c r="A268" s="1315"/>
      <c r="B268" s="1310"/>
      <c r="C268" s="1550"/>
      <c r="D268" s="900" t="s">
        <v>24</v>
      </c>
      <c r="E268" s="1295" t="s">
        <v>44</v>
      </c>
      <c r="F268" s="468"/>
      <c r="G268" s="452"/>
      <c r="H268" s="563"/>
      <c r="I268" s="40" t="s">
        <v>22</v>
      </c>
      <c r="J268" s="49">
        <v>400</v>
      </c>
      <c r="K268" s="40">
        <v>400</v>
      </c>
      <c r="L268" s="38"/>
      <c r="M268" s="1197" t="s">
        <v>228</v>
      </c>
      <c r="N268" s="146" t="s">
        <v>229</v>
      </c>
    </row>
    <row r="269" spans="1:15" ht="18" customHeight="1" x14ac:dyDescent="0.2">
      <c r="A269" s="1315"/>
      <c r="B269" s="1310"/>
      <c r="C269" s="1550"/>
      <c r="D269" s="896"/>
      <c r="E269" s="1343"/>
      <c r="F269" s="501"/>
      <c r="G269" s="452"/>
      <c r="H269" s="563"/>
      <c r="I269" s="209"/>
      <c r="J269" s="320"/>
      <c r="K269" s="209"/>
      <c r="L269" s="901"/>
      <c r="M269" s="1198"/>
      <c r="N269" s="26"/>
    </row>
    <row r="270" spans="1:15" ht="15.75" customHeight="1" x14ac:dyDescent="0.2">
      <c r="A270" s="1315"/>
      <c r="B270" s="1310"/>
      <c r="C270" s="1550"/>
      <c r="D270" s="1544" t="s">
        <v>29</v>
      </c>
      <c r="E270" s="1551" t="s">
        <v>230</v>
      </c>
      <c r="F270" s="1383"/>
      <c r="G270" s="1536"/>
      <c r="H270" s="902"/>
      <c r="I270" s="40" t="s">
        <v>57</v>
      </c>
      <c r="J270" s="821">
        <f>268-48-30+5</f>
        <v>195</v>
      </c>
      <c r="K270" s="526">
        <f>268-48-30+5-105</f>
        <v>90</v>
      </c>
      <c r="L270" s="847">
        <f>+K270-J270</f>
        <v>-105</v>
      </c>
      <c r="M270" s="455"/>
      <c r="N270" s="299"/>
      <c r="O270" s="1547" t="s">
        <v>709</v>
      </c>
    </row>
    <row r="271" spans="1:15" ht="12" customHeight="1" x14ac:dyDescent="0.2">
      <c r="A271" s="1315"/>
      <c r="B271" s="1310"/>
      <c r="C271" s="1550"/>
      <c r="D271" s="1313"/>
      <c r="E271" s="1552"/>
      <c r="F271" s="1384"/>
      <c r="G271" s="1536"/>
      <c r="H271" s="902"/>
      <c r="I271" s="40" t="s">
        <v>59</v>
      </c>
      <c r="J271" s="49">
        <f>270+17.9</f>
        <v>287.89999999999998</v>
      </c>
      <c r="K271" s="40">
        <f>270+17.9</f>
        <v>287.89999999999998</v>
      </c>
      <c r="L271" s="38"/>
      <c r="M271" s="1273"/>
      <c r="N271" s="137"/>
      <c r="O271" s="1547"/>
    </row>
    <row r="272" spans="1:15" ht="15" customHeight="1" x14ac:dyDescent="0.2">
      <c r="A272" s="1315"/>
      <c r="B272" s="1310"/>
      <c r="C272" s="1550"/>
      <c r="D272" s="1313"/>
      <c r="E272" s="1553"/>
      <c r="F272" s="1384"/>
      <c r="G272" s="1536"/>
      <c r="H272" s="902"/>
      <c r="I272" s="40" t="s">
        <v>73</v>
      </c>
      <c r="J272" s="49">
        <f>+K272</f>
        <v>267.8</v>
      </c>
      <c r="K272" s="40">
        <v>267.8</v>
      </c>
      <c r="L272" s="847"/>
      <c r="M272" s="1548"/>
      <c r="N272" s="268"/>
      <c r="O272" s="1547"/>
    </row>
    <row r="273" spans="1:15" ht="26.25" customHeight="1" x14ac:dyDescent="0.2">
      <c r="A273" s="1315"/>
      <c r="B273" s="1310"/>
      <c r="C273" s="1550"/>
      <c r="D273" s="1313"/>
      <c r="E273" s="903"/>
      <c r="F273" s="1384"/>
      <c r="G273" s="1536"/>
      <c r="H273" s="902"/>
      <c r="I273" s="40" t="s">
        <v>22</v>
      </c>
      <c r="J273" s="821">
        <v>18</v>
      </c>
      <c r="K273" s="526">
        <v>0</v>
      </c>
      <c r="L273" s="847">
        <f>+K273-J273</f>
        <v>-18</v>
      </c>
      <c r="M273" s="350" t="s">
        <v>231</v>
      </c>
      <c r="N273" s="904" t="s">
        <v>710</v>
      </c>
      <c r="O273" s="1547"/>
    </row>
    <row r="274" spans="1:15" ht="27.75" customHeight="1" x14ac:dyDescent="0.2">
      <c r="A274" s="1315"/>
      <c r="B274" s="1310"/>
      <c r="C274" s="1550"/>
      <c r="D274" s="1313"/>
      <c r="E274" s="905"/>
      <c r="F274" s="1384"/>
      <c r="G274" s="1536"/>
      <c r="H274" s="902"/>
      <c r="I274" s="40"/>
      <c r="J274" s="49"/>
      <c r="K274" s="40"/>
      <c r="L274" s="38"/>
      <c r="M274" s="472" t="s">
        <v>233</v>
      </c>
      <c r="N274" s="906" t="s">
        <v>711</v>
      </c>
      <c r="O274" s="1547"/>
    </row>
    <row r="275" spans="1:15" ht="30.75" customHeight="1" x14ac:dyDescent="0.2">
      <c r="A275" s="1315"/>
      <c r="B275" s="1310"/>
      <c r="C275" s="1550"/>
      <c r="D275" s="1545"/>
      <c r="E275" s="907"/>
      <c r="F275" s="1432"/>
      <c r="G275" s="1536"/>
      <c r="H275" s="902"/>
      <c r="I275" s="39"/>
      <c r="J275" s="51"/>
      <c r="K275" s="39"/>
      <c r="L275" s="84"/>
      <c r="M275" s="488" t="s">
        <v>712</v>
      </c>
      <c r="N275" s="148" t="s">
        <v>46</v>
      </c>
    </row>
    <row r="276" spans="1:15" ht="22.5" customHeight="1" x14ac:dyDescent="0.2">
      <c r="A276" s="447"/>
      <c r="B276" s="453"/>
      <c r="C276" s="529"/>
      <c r="D276" s="482" t="s">
        <v>628</v>
      </c>
      <c r="E276" s="1361" t="s">
        <v>75</v>
      </c>
      <c r="F276" s="468"/>
      <c r="G276" s="452"/>
      <c r="H276" s="803"/>
      <c r="I276" s="526" t="s">
        <v>22</v>
      </c>
      <c r="J276" s="821">
        <f>631-100</f>
        <v>531</v>
      </c>
      <c r="K276" s="526">
        <f>631-100-43.8</f>
        <v>487.2</v>
      </c>
      <c r="L276" s="847">
        <f>+K276-J276</f>
        <v>-43.8</v>
      </c>
      <c r="M276" s="1273" t="s">
        <v>106</v>
      </c>
      <c r="N276" s="137" t="s">
        <v>206</v>
      </c>
      <c r="O276" s="1" t="s">
        <v>713</v>
      </c>
    </row>
    <row r="277" spans="1:15" ht="16.5" customHeight="1" x14ac:dyDescent="0.2">
      <c r="A277" s="447"/>
      <c r="B277" s="453"/>
      <c r="C277" s="529"/>
      <c r="D277" s="798"/>
      <c r="E277" s="1549"/>
      <c r="F277" s="501"/>
      <c r="G277" s="452"/>
      <c r="H277" s="803"/>
      <c r="I277" s="39" t="s">
        <v>51</v>
      </c>
      <c r="J277" s="51">
        <v>61.7</v>
      </c>
      <c r="K277" s="39">
        <v>61.7</v>
      </c>
      <c r="L277" s="84"/>
      <c r="M277" s="1344"/>
      <c r="N277" s="908"/>
    </row>
    <row r="278" spans="1:15" ht="15.75" customHeight="1" x14ac:dyDescent="0.2">
      <c r="A278" s="464"/>
      <c r="B278" s="453"/>
      <c r="C278" s="553"/>
      <c r="D278" s="909" t="s">
        <v>30</v>
      </c>
      <c r="E278" s="1295" t="s">
        <v>33</v>
      </c>
      <c r="F278" s="467"/>
      <c r="G278" s="452"/>
      <c r="H278" s="910"/>
      <c r="I278" s="911" t="s">
        <v>73</v>
      </c>
      <c r="J278" s="40">
        <v>61</v>
      </c>
      <c r="K278" s="40">
        <f>70-4.3-4.7</f>
        <v>61</v>
      </c>
      <c r="L278" s="38">
        <f>+K278-J278</f>
        <v>0</v>
      </c>
      <c r="M278" s="455" t="s">
        <v>236</v>
      </c>
      <c r="N278" s="473">
        <v>14</v>
      </c>
    </row>
    <row r="279" spans="1:15" ht="13.5" customHeight="1" x14ac:dyDescent="0.2">
      <c r="A279" s="464"/>
      <c r="B279" s="453"/>
      <c r="C279" s="553"/>
      <c r="D279" s="900"/>
      <c r="E279" s="1321"/>
      <c r="F279" s="468"/>
      <c r="G279" s="452"/>
      <c r="H279" s="803"/>
      <c r="I279" s="40" t="s">
        <v>22</v>
      </c>
      <c r="J279" s="40">
        <v>114.4</v>
      </c>
      <c r="K279" s="40">
        <f>93+28.9-7.5</f>
        <v>114.4</v>
      </c>
      <c r="L279" s="38">
        <f>+K279-J279</f>
        <v>0</v>
      </c>
      <c r="M279" s="460"/>
      <c r="N279" s="357"/>
    </row>
    <row r="280" spans="1:15" ht="13.5" customHeight="1" x14ac:dyDescent="0.2">
      <c r="A280" s="464"/>
      <c r="B280" s="453"/>
      <c r="C280" s="553"/>
      <c r="D280" s="900"/>
      <c r="E280" s="1321"/>
      <c r="F280" s="468"/>
      <c r="G280" s="452"/>
      <c r="H280" s="803"/>
      <c r="I280" s="40" t="s">
        <v>51</v>
      </c>
      <c r="J280" s="40">
        <f>35+31.9</f>
        <v>66.900000000000006</v>
      </c>
      <c r="K280" s="40">
        <f>35+31.9</f>
        <v>66.900000000000006</v>
      </c>
      <c r="L280" s="38">
        <f>+K280-J280</f>
        <v>0</v>
      </c>
      <c r="M280" s="460"/>
      <c r="N280" s="357"/>
    </row>
    <row r="281" spans="1:15" ht="27" customHeight="1" x14ac:dyDescent="0.2">
      <c r="A281" s="464"/>
      <c r="B281" s="453"/>
      <c r="C281" s="553"/>
      <c r="D281" s="896"/>
      <c r="E281" s="1343"/>
      <c r="F281" s="501"/>
      <c r="G281" s="452"/>
      <c r="H281" s="803"/>
      <c r="I281" s="39" t="s">
        <v>59</v>
      </c>
      <c r="J281" s="39">
        <v>4.7</v>
      </c>
      <c r="K281" s="39">
        <v>4.7</v>
      </c>
      <c r="L281" s="84">
        <f>+K281-J281</f>
        <v>0</v>
      </c>
      <c r="M281" s="460"/>
      <c r="N281" s="474"/>
    </row>
    <row r="282" spans="1:15" ht="15" customHeight="1" x14ac:dyDescent="0.2">
      <c r="A282" s="464"/>
      <c r="B282" s="453"/>
      <c r="C282" s="553"/>
      <c r="D282" s="1544" t="s">
        <v>635</v>
      </c>
      <c r="E282" s="1290" t="s">
        <v>237</v>
      </c>
      <c r="F282" s="468"/>
      <c r="G282" s="452"/>
      <c r="H282" s="910"/>
      <c r="I282" s="41" t="s">
        <v>73</v>
      </c>
      <c r="J282" s="49">
        <f>+K282</f>
        <v>13.3</v>
      </c>
      <c r="K282" s="40">
        <f>15-1.7</f>
        <v>13.3</v>
      </c>
      <c r="L282" s="847"/>
      <c r="M282" s="912" t="s">
        <v>69</v>
      </c>
      <c r="N282" s="357">
        <v>1</v>
      </c>
    </row>
    <row r="283" spans="1:15" ht="18.75" customHeight="1" x14ac:dyDescent="0.2">
      <c r="A283" s="464"/>
      <c r="B283" s="453"/>
      <c r="C283" s="529"/>
      <c r="D283" s="1545"/>
      <c r="E283" s="1546"/>
      <c r="F283" s="468"/>
      <c r="G283" s="452"/>
      <c r="H283" s="803"/>
      <c r="I283" s="36"/>
      <c r="J283" s="51"/>
      <c r="K283" s="39"/>
      <c r="L283" s="84"/>
      <c r="M283" s="17"/>
      <c r="N283" s="913"/>
    </row>
    <row r="284" spans="1:15" ht="17.25" customHeight="1" x14ac:dyDescent="0.2">
      <c r="A284" s="464"/>
      <c r="B284" s="453"/>
      <c r="C284" s="529"/>
      <c r="D284" s="482" t="s">
        <v>638</v>
      </c>
      <c r="E284" s="450" t="s">
        <v>238</v>
      </c>
      <c r="F284" s="73"/>
      <c r="G284" s="452"/>
      <c r="H284" s="803"/>
      <c r="I284" s="303" t="s">
        <v>73</v>
      </c>
      <c r="J284" s="284">
        <v>8</v>
      </c>
      <c r="K284" s="46">
        <v>8</v>
      </c>
      <c r="L284" s="914"/>
      <c r="M284" s="297" t="s">
        <v>40</v>
      </c>
      <c r="N284" s="97">
        <v>3</v>
      </c>
    </row>
    <row r="285" spans="1:15" ht="26.25" customHeight="1" x14ac:dyDescent="0.2">
      <c r="A285" s="478"/>
      <c r="B285" s="489"/>
      <c r="C285" s="513"/>
      <c r="D285" s="915"/>
      <c r="E285" s="304" t="s">
        <v>239</v>
      </c>
      <c r="F285" s="1520"/>
      <c r="G285" s="1294"/>
      <c r="H285" s="916"/>
      <c r="I285" s="305"/>
      <c r="J285" s="269"/>
      <c r="K285" s="41"/>
      <c r="L285" s="917"/>
      <c r="M285" s="459" t="s">
        <v>714</v>
      </c>
      <c r="N285" s="133"/>
    </row>
    <row r="286" spans="1:15" ht="17.25" customHeight="1" x14ac:dyDescent="0.2">
      <c r="A286" s="478"/>
      <c r="B286" s="489"/>
      <c r="C286" s="513"/>
      <c r="D286" s="915"/>
      <c r="E286" s="304" t="s">
        <v>240</v>
      </c>
      <c r="F286" s="1520"/>
      <c r="G286" s="1294"/>
      <c r="H286" s="916"/>
      <c r="I286" s="305"/>
      <c r="J286" s="269"/>
      <c r="K286" s="41"/>
      <c r="L286" s="917"/>
      <c r="M286" s="459"/>
      <c r="N286" s="133"/>
    </row>
    <row r="287" spans="1:15" ht="15.75" customHeight="1" x14ac:dyDescent="0.2">
      <c r="A287" s="478"/>
      <c r="B287" s="489"/>
      <c r="C287" s="513"/>
      <c r="D287" s="915"/>
      <c r="E287" s="483" t="s">
        <v>241</v>
      </c>
      <c r="F287" s="1521"/>
      <c r="G287" s="1294"/>
      <c r="H287" s="916"/>
      <c r="I287" s="306"/>
      <c r="J287" s="67"/>
      <c r="K287" s="36"/>
      <c r="L287" s="918"/>
      <c r="M287" s="17"/>
      <c r="N287" s="133"/>
    </row>
    <row r="288" spans="1:15" ht="13.5" customHeight="1" x14ac:dyDescent="0.2">
      <c r="A288" s="464"/>
      <c r="B288" s="448"/>
      <c r="C288" s="561"/>
      <c r="D288" s="1544" t="s">
        <v>640</v>
      </c>
      <c r="E288" s="1295" t="s">
        <v>242</v>
      </c>
      <c r="F288" s="307" t="s">
        <v>41</v>
      </c>
      <c r="G288" s="452"/>
      <c r="H288" s="919"/>
      <c r="I288" s="308" t="s">
        <v>73</v>
      </c>
      <c r="J288" s="52"/>
      <c r="K288" s="524"/>
      <c r="L288" s="920"/>
      <c r="M288" s="912" t="s">
        <v>69</v>
      </c>
      <c r="N288" s="921"/>
    </row>
    <row r="289" spans="1:14" ht="12.75" customHeight="1" x14ac:dyDescent="0.2">
      <c r="A289" s="464"/>
      <c r="B289" s="448"/>
      <c r="C289" s="561"/>
      <c r="D289" s="1545"/>
      <c r="E289" s="1343"/>
      <c r="F289" s="309"/>
      <c r="G289" s="168"/>
      <c r="H289" s="922"/>
      <c r="I289" s="166"/>
      <c r="J289" s="51"/>
      <c r="K289" s="39"/>
      <c r="L289" s="84"/>
      <c r="M289" s="17"/>
      <c r="N289" s="913"/>
    </row>
    <row r="290" spans="1:14" ht="14.25" customHeight="1" thickBot="1" x14ac:dyDescent="0.25">
      <c r="A290" s="42"/>
      <c r="B290" s="497"/>
      <c r="C290" s="831"/>
      <c r="D290" s="577"/>
      <c r="E290" s="832"/>
      <c r="F290" s="833"/>
      <c r="G290" s="831"/>
      <c r="H290" s="834"/>
      <c r="I290" s="72" t="s">
        <v>5</v>
      </c>
      <c r="J290" s="98">
        <f>SUM(J255:J289)</f>
        <v>4335.7</v>
      </c>
      <c r="K290" s="72">
        <f>SUM(K255:K289)</f>
        <v>4335.7</v>
      </c>
      <c r="L290" s="72">
        <f>SUM(L255:L289)</f>
        <v>0</v>
      </c>
      <c r="M290" s="817"/>
      <c r="N290" s="580"/>
    </row>
    <row r="291" spans="1:14" ht="26.25" customHeight="1" x14ac:dyDescent="0.2">
      <c r="A291" s="464" t="s">
        <v>4</v>
      </c>
      <c r="B291" s="453" t="s">
        <v>29</v>
      </c>
      <c r="C291" s="104" t="s">
        <v>6</v>
      </c>
      <c r="D291" s="1536"/>
      <c r="E291" s="1375" t="s">
        <v>98</v>
      </c>
      <c r="F291" s="1514" t="s">
        <v>41</v>
      </c>
      <c r="G291" s="1538" t="s">
        <v>37</v>
      </c>
      <c r="H291" s="1541" t="s">
        <v>715</v>
      </c>
      <c r="I291" s="40" t="s">
        <v>51</v>
      </c>
      <c r="J291" s="40">
        <v>83.9</v>
      </c>
      <c r="K291" s="40">
        <v>83.9</v>
      </c>
      <c r="L291" s="40"/>
      <c r="M291" s="923" t="s">
        <v>104</v>
      </c>
      <c r="N291" s="924"/>
    </row>
    <row r="292" spans="1:14" ht="26.25" customHeight="1" x14ac:dyDescent="0.2">
      <c r="A292" s="464"/>
      <c r="B292" s="453"/>
      <c r="C292" s="104"/>
      <c r="D292" s="1536"/>
      <c r="E292" s="1321"/>
      <c r="F292" s="1514"/>
      <c r="G292" s="1538"/>
      <c r="H292" s="1542"/>
      <c r="I292" s="40"/>
      <c r="J292" s="40"/>
      <c r="K292" s="40"/>
      <c r="L292" s="40"/>
      <c r="M292" s="50" t="s">
        <v>150</v>
      </c>
      <c r="N292" s="19">
        <v>100</v>
      </c>
    </row>
    <row r="293" spans="1:14" ht="16.5" customHeight="1" x14ac:dyDescent="0.2">
      <c r="A293" s="464"/>
      <c r="B293" s="453"/>
      <c r="C293" s="104"/>
      <c r="D293" s="449"/>
      <c r="E293" s="1321"/>
      <c r="F293" s="1514"/>
      <c r="G293" s="1539"/>
      <c r="H293" s="1542"/>
      <c r="I293" s="39"/>
      <c r="J293" s="39"/>
      <c r="K293" s="39"/>
      <c r="L293" s="39"/>
      <c r="M293" s="486"/>
      <c r="N293" s="147"/>
    </row>
    <row r="294" spans="1:14" ht="17.25" customHeight="1" thickBot="1" x14ac:dyDescent="0.25">
      <c r="A294" s="42"/>
      <c r="B294" s="497"/>
      <c r="C294" s="57"/>
      <c r="D294" s="384"/>
      <c r="E294" s="1537"/>
      <c r="F294" s="1515"/>
      <c r="G294" s="1540"/>
      <c r="H294" s="1543"/>
      <c r="I294" s="72" t="s">
        <v>5</v>
      </c>
      <c r="J294" s="72">
        <f>SUM(J291:J292)</f>
        <v>83.9</v>
      </c>
      <c r="K294" s="72">
        <f>SUM(K291:K292)</f>
        <v>83.9</v>
      </c>
      <c r="L294" s="72">
        <f>SUM(L291:L292)</f>
        <v>0</v>
      </c>
      <c r="M294" s="925"/>
      <c r="N294" s="188"/>
    </row>
    <row r="295" spans="1:14" ht="14.25" customHeight="1" thickBot="1" x14ac:dyDescent="0.25">
      <c r="A295" s="42" t="s">
        <v>4</v>
      </c>
      <c r="B295" s="497" t="s">
        <v>29</v>
      </c>
      <c r="C295" s="1244" t="s">
        <v>7</v>
      </c>
      <c r="D295" s="1244"/>
      <c r="E295" s="1244"/>
      <c r="F295" s="1244"/>
      <c r="G295" s="1244"/>
      <c r="H295" s="1244"/>
      <c r="I295" s="1245"/>
      <c r="J295" s="179">
        <f>J294+J290</f>
        <v>4419.6000000000004</v>
      </c>
      <c r="K295" s="179">
        <f>K294+K290</f>
        <v>4419.6000000000004</v>
      </c>
      <c r="L295" s="179">
        <f>L294+L290</f>
        <v>0</v>
      </c>
      <c r="M295" s="1231"/>
      <c r="N295" s="1232"/>
    </row>
    <row r="296" spans="1:14" ht="14.25" customHeight="1" thickBot="1" x14ac:dyDescent="0.25">
      <c r="A296" s="55" t="s">
        <v>4</v>
      </c>
      <c r="B296" s="1233" t="s">
        <v>8</v>
      </c>
      <c r="C296" s="1234"/>
      <c r="D296" s="1234"/>
      <c r="E296" s="1234"/>
      <c r="F296" s="1234"/>
      <c r="G296" s="1234"/>
      <c r="H296" s="1234"/>
      <c r="I296" s="1235"/>
      <c r="J296" s="75">
        <f>J84+J203+J252+J295</f>
        <v>29349.9</v>
      </c>
      <c r="K296" s="75">
        <f>K84+K203+K252+K295</f>
        <v>28117.9</v>
      </c>
      <c r="L296" s="75">
        <f>L84+L203+L252+L295</f>
        <v>0</v>
      </c>
      <c r="M296" s="1236"/>
      <c r="N296" s="1237"/>
    </row>
    <row r="297" spans="1:14" ht="14.25" customHeight="1" thickBot="1" x14ac:dyDescent="0.25">
      <c r="A297" s="60" t="s">
        <v>30</v>
      </c>
      <c r="B297" s="1238" t="s">
        <v>48</v>
      </c>
      <c r="C297" s="1239"/>
      <c r="D297" s="1239"/>
      <c r="E297" s="1239"/>
      <c r="F297" s="1239"/>
      <c r="G297" s="1239"/>
      <c r="H297" s="1239"/>
      <c r="I297" s="1240"/>
      <c r="J297" s="76">
        <f>SUM(J296)</f>
        <v>29349.9</v>
      </c>
      <c r="K297" s="76">
        <f>SUM(K296)</f>
        <v>28117.9</v>
      </c>
      <c r="L297" s="76">
        <f>SUM(L296)</f>
        <v>0</v>
      </c>
      <c r="M297" s="1241"/>
      <c r="N297" s="1242"/>
    </row>
    <row r="298" spans="1:14" s="5" customFormat="1" ht="17.25" customHeight="1" x14ac:dyDescent="0.2">
      <c r="A298" s="1533" t="s">
        <v>716</v>
      </c>
      <c r="B298" s="1534"/>
      <c r="C298" s="1534"/>
      <c r="D298" s="1534"/>
      <c r="E298" s="1534"/>
      <c r="F298" s="1534"/>
      <c r="G298" s="1534"/>
      <c r="H298" s="1534"/>
      <c r="I298" s="1534"/>
      <c r="J298" s="1534"/>
      <c r="K298" s="1534"/>
      <c r="L298" s="1534"/>
      <c r="M298" s="1535"/>
      <c r="N298" s="210"/>
    </row>
    <row r="299" spans="1:14" s="4" customFormat="1" ht="12" customHeight="1" x14ac:dyDescent="0.2">
      <c r="A299" s="210"/>
      <c r="B299" s="926"/>
      <c r="C299" s="926"/>
      <c r="D299" s="926"/>
      <c r="E299" s="926"/>
      <c r="F299" s="926"/>
      <c r="G299" s="926"/>
      <c r="H299" s="926"/>
      <c r="I299" s="926"/>
      <c r="J299" s="926"/>
      <c r="K299" s="926"/>
      <c r="L299" s="926"/>
      <c r="M299" s="926"/>
      <c r="N299" s="210"/>
    </row>
    <row r="300" spans="1:14" s="5" customFormat="1" ht="15" customHeight="1" thickBot="1" x14ac:dyDescent="0.25">
      <c r="A300" s="1243" t="s">
        <v>11</v>
      </c>
      <c r="B300" s="1243"/>
      <c r="C300" s="1243"/>
      <c r="D300" s="1243"/>
      <c r="E300" s="1243"/>
      <c r="F300" s="1243"/>
      <c r="G300" s="1243"/>
      <c r="H300" s="1243"/>
      <c r="I300" s="1243"/>
      <c r="J300" s="250"/>
      <c r="K300" s="250"/>
      <c r="L300" s="250"/>
      <c r="M300" s="61"/>
      <c r="N300" s="61"/>
    </row>
    <row r="301" spans="1:14" ht="75.75" customHeight="1" thickBot="1" x14ac:dyDescent="0.25">
      <c r="A301" s="1530" t="s">
        <v>9</v>
      </c>
      <c r="B301" s="1531"/>
      <c r="C301" s="1531"/>
      <c r="D301" s="1531"/>
      <c r="E301" s="1531"/>
      <c r="F301" s="1531"/>
      <c r="G301" s="1531"/>
      <c r="H301" s="1531"/>
      <c r="I301" s="1532"/>
      <c r="J301" s="927" t="s">
        <v>620</v>
      </c>
      <c r="K301" s="927" t="s">
        <v>621</v>
      </c>
      <c r="L301" s="927" t="s">
        <v>622</v>
      </c>
      <c r="M301" s="13"/>
      <c r="N301" s="13"/>
    </row>
    <row r="302" spans="1:14" ht="14.25" customHeight="1" x14ac:dyDescent="0.2">
      <c r="A302" s="1219" t="s">
        <v>12</v>
      </c>
      <c r="B302" s="1220"/>
      <c r="C302" s="1220"/>
      <c r="D302" s="1220"/>
      <c r="E302" s="1220"/>
      <c r="F302" s="1220"/>
      <c r="G302" s="1220"/>
      <c r="H302" s="1220"/>
      <c r="I302" s="1221"/>
      <c r="J302" s="313">
        <f>J303+J310+J311+J312</f>
        <v>26642</v>
      </c>
      <c r="K302" s="313">
        <f>K303+K310+K311+K312</f>
        <v>25410</v>
      </c>
      <c r="L302" s="313">
        <f>L303+L310+L311+L312</f>
        <v>0</v>
      </c>
      <c r="M302" s="13"/>
      <c r="N302" s="13"/>
    </row>
    <row r="303" spans="1:14" ht="14.25" customHeight="1" x14ac:dyDescent="0.2">
      <c r="A303" s="1222" t="s">
        <v>68</v>
      </c>
      <c r="B303" s="1223"/>
      <c r="C303" s="1223"/>
      <c r="D303" s="1223"/>
      <c r="E303" s="1223"/>
      <c r="F303" s="1223"/>
      <c r="G303" s="1223"/>
      <c r="H303" s="1223"/>
      <c r="I303" s="1224"/>
      <c r="J303" s="314">
        <f>SUM(J304:J309)</f>
        <v>20953</v>
      </c>
      <c r="K303" s="314">
        <f>SUM(K304:K309)</f>
        <v>19721</v>
      </c>
      <c r="L303" s="314">
        <f>SUM(L304:L309)</f>
        <v>0</v>
      </c>
      <c r="M303" s="13"/>
      <c r="N303" s="13"/>
    </row>
    <row r="304" spans="1:14" ht="14.25" customHeight="1" x14ac:dyDescent="0.2">
      <c r="A304" s="1225" t="s">
        <v>16</v>
      </c>
      <c r="B304" s="1226"/>
      <c r="C304" s="1226"/>
      <c r="D304" s="1226"/>
      <c r="E304" s="1226"/>
      <c r="F304" s="1226"/>
      <c r="G304" s="1226"/>
      <c r="H304" s="1226"/>
      <c r="I304" s="1227"/>
      <c r="J304" s="39">
        <f>SUMIF(I14:I297,"SB",J14:J297)</f>
        <v>8598.7999999999993</v>
      </c>
      <c r="K304" s="39">
        <f>SUMIF(I14:I297,"SB",K14:K297)</f>
        <v>8598.7999999999993</v>
      </c>
      <c r="L304" s="39">
        <f>SUMIF(I14:I297,"SB",L14:L297)</f>
        <v>0</v>
      </c>
      <c r="M304" s="13"/>
      <c r="N304" s="13"/>
    </row>
    <row r="305" spans="1:15" ht="14.25" customHeight="1" x14ac:dyDescent="0.2">
      <c r="A305" s="1228" t="s">
        <v>17</v>
      </c>
      <c r="B305" s="1229"/>
      <c r="C305" s="1229"/>
      <c r="D305" s="1229"/>
      <c r="E305" s="1229"/>
      <c r="F305" s="1229"/>
      <c r="G305" s="1229"/>
      <c r="H305" s="1229"/>
      <c r="I305" s="1230"/>
      <c r="J305" s="35">
        <f>SUMIF(I14:I297,"SB(P)",J14:J297)</f>
        <v>0</v>
      </c>
      <c r="K305" s="35">
        <f>SUMIF(I14:I297,"SB(P)",K14:K297)</f>
        <v>0</v>
      </c>
      <c r="L305" s="35">
        <f>SUMIF(I14:I297,"SB(P)",L14:L297)</f>
        <v>0</v>
      </c>
      <c r="M305" s="13"/>
      <c r="N305" s="13"/>
    </row>
    <row r="306" spans="1:15" ht="14.25" customHeight="1" x14ac:dyDescent="0.2">
      <c r="A306" s="1228" t="s">
        <v>58</v>
      </c>
      <c r="B306" s="1229"/>
      <c r="C306" s="1229"/>
      <c r="D306" s="1229"/>
      <c r="E306" s="1229"/>
      <c r="F306" s="1229"/>
      <c r="G306" s="1229"/>
      <c r="H306" s="1229"/>
      <c r="I306" s="1230"/>
      <c r="J306" s="39">
        <f>SUMIF(I14:I297,"SB(VR)",J14:J297)</f>
        <v>1770.6</v>
      </c>
      <c r="K306" s="39">
        <f>SUMIF(I14:I297,"SB(VR)",K14:K297)</f>
        <v>1770.6</v>
      </c>
      <c r="L306" s="39">
        <f>SUMIF(I14:I297,"SB(VR)",L14:L297)</f>
        <v>0</v>
      </c>
      <c r="M306" s="13"/>
      <c r="N306" s="13"/>
    </row>
    <row r="307" spans="1:15" ht="14.25" customHeight="1" x14ac:dyDescent="0.2">
      <c r="A307" s="1462" t="s">
        <v>112</v>
      </c>
      <c r="B307" s="1463"/>
      <c r="C307" s="1463"/>
      <c r="D307" s="1463"/>
      <c r="E307" s="1463"/>
      <c r="F307" s="1463"/>
      <c r="G307" s="1463"/>
      <c r="H307" s="1463"/>
      <c r="I307" s="1464"/>
      <c r="J307" s="35">
        <f>SUMIF(I14:I291,"SB(ES)",J14:J291)</f>
        <v>5717.2</v>
      </c>
      <c r="K307" s="35">
        <f>SUMIF(I14:I291,"SB(ES)",K14:K291)</f>
        <v>4485.2</v>
      </c>
      <c r="L307" s="35">
        <f>SUMIF(I14:I291,"SB(ES)",L14:L291)</f>
        <v>0</v>
      </c>
      <c r="M307" s="13"/>
      <c r="N307" s="13"/>
    </row>
    <row r="308" spans="1:15" ht="14.25" customHeight="1" x14ac:dyDescent="0.2">
      <c r="A308" s="1462" t="s">
        <v>243</v>
      </c>
      <c r="B308" s="1463"/>
      <c r="C308" s="1463"/>
      <c r="D308" s="1463"/>
      <c r="E308" s="1463"/>
      <c r="F308" s="1463"/>
      <c r="G308" s="1463"/>
      <c r="H308" s="1463"/>
      <c r="I308" s="1464"/>
      <c r="J308" s="35">
        <f>SUMIF(I14:I292,"SB(VB)",J14:J292)</f>
        <v>0</v>
      </c>
      <c r="K308" s="35">
        <f>SUMIF(I14:I292,"SB(VB)",K14:K292)</f>
        <v>0</v>
      </c>
      <c r="L308" s="35">
        <f>SUMIF(I14:I292,"SB(VB)",L14:L292)</f>
        <v>0</v>
      </c>
      <c r="M308" s="13"/>
      <c r="N308" s="13"/>
    </row>
    <row r="309" spans="1:15" ht="15.75" customHeight="1" x14ac:dyDescent="0.2">
      <c r="A309" s="1468" t="s">
        <v>244</v>
      </c>
      <c r="B309" s="1469"/>
      <c r="C309" s="1469"/>
      <c r="D309" s="1469"/>
      <c r="E309" s="1469"/>
      <c r="F309" s="1469"/>
      <c r="G309" s="1469"/>
      <c r="H309" s="1469"/>
      <c r="I309" s="1470"/>
      <c r="J309" s="35">
        <f>SUMIF(I14:I298,"SB(KPP)",J14:J298)</f>
        <v>4866.3999999999996</v>
      </c>
      <c r="K309" s="35">
        <f>SUMIF(I14:I298,"SB(KPP)",K14:K298)</f>
        <v>4866.3999999999996</v>
      </c>
      <c r="L309" s="35">
        <f>SUMIF(I14:I298,"SB(KPP)",L14:L298)</f>
        <v>0</v>
      </c>
      <c r="M309" s="13"/>
      <c r="N309" s="13"/>
    </row>
    <row r="310" spans="1:15" ht="14.25" customHeight="1" x14ac:dyDescent="0.2">
      <c r="A310" s="1474" t="s">
        <v>70</v>
      </c>
      <c r="B310" s="1475"/>
      <c r="C310" s="1475"/>
      <c r="D310" s="1475"/>
      <c r="E310" s="1475"/>
      <c r="F310" s="1475"/>
      <c r="G310" s="1475"/>
      <c r="H310" s="1475"/>
      <c r="I310" s="1476"/>
      <c r="J310" s="120">
        <f>SUMIF(I14:I296,"SB(VRL)",J14:J296)</f>
        <v>901</v>
      </c>
      <c r="K310" s="120">
        <f>SUMIF(I14:I296,"SB(VRL)",K14:K296)</f>
        <v>901</v>
      </c>
      <c r="L310" s="120">
        <f>SUMIF(I14:I296,"SB(VRL)",L14:L296)</f>
        <v>0</v>
      </c>
      <c r="M310" s="13"/>
      <c r="N310" s="13"/>
    </row>
    <row r="311" spans="1:15" ht="14.25" customHeight="1" x14ac:dyDescent="0.2">
      <c r="A311" s="1471" t="s">
        <v>71</v>
      </c>
      <c r="B311" s="1475"/>
      <c r="C311" s="1475"/>
      <c r="D311" s="1475"/>
      <c r="E311" s="1475"/>
      <c r="F311" s="1475"/>
      <c r="G311" s="1475"/>
      <c r="H311" s="1475"/>
      <c r="I311" s="1476"/>
      <c r="J311" s="120">
        <f>SUMIF(I14:I297,"SB(ŽPL)",J14:J297)</f>
        <v>480.6</v>
      </c>
      <c r="K311" s="120">
        <f>SUMIF(I14:I297,"SB(ŽPL)",K14:K297)</f>
        <v>480.6</v>
      </c>
      <c r="L311" s="120">
        <f>SUMIF(I14:I297,"SB(ŽPL)",L14:L297)</f>
        <v>0</v>
      </c>
      <c r="M311" s="13"/>
      <c r="N311" s="13"/>
    </row>
    <row r="312" spans="1:15" ht="14.25" customHeight="1" x14ac:dyDescent="0.2">
      <c r="A312" s="1456" t="s">
        <v>119</v>
      </c>
      <c r="B312" s="1457"/>
      <c r="C312" s="1457"/>
      <c r="D312" s="1457"/>
      <c r="E312" s="1457"/>
      <c r="F312" s="1457"/>
      <c r="G312" s="1457"/>
      <c r="H312" s="1457"/>
      <c r="I312" s="1458"/>
      <c r="J312" s="120">
        <f>SUMIF(I14:I297,"SB(L)",J14:J297)</f>
        <v>4307.3999999999996</v>
      </c>
      <c r="K312" s="120">
        <f>SUMIF(I14:I297,"SB(L)",K14:K297)</f>
        <v>4307.3999999999996</v>
      </c>
      <c r="L312" s="120">
        <f>SUMIF(I14:I297,"SB(L)",L14:L297)</f>
        <v>0</v>
      </c>
      <c r="M312" s="13"/>
      <c r="N312" s="13"/>
    </row>
    <row r="313" spans="1:15" ht="14.25" customHeight="1" x14ac:dyDescent="0.2">
      <c r="A313" s="1459" t="s">
        <v>13</v>
      </c>
      <c r="B313" s="1460"/>
      <c r="C313" s="1460"/>
      <c r="D313" s="1460"/>
      <c r="E313" s="1460"/>
      <c r="F313" s="1460"/>
      <c r="G313" s="1460"/>
      <c r="H313" s="1460"/>
      <c r="I313" s="1461"/>
      <c r="J313" s="121">
        <f>J315+J316+J317+J314</f>
        <v>2707.9</v>
      </c>
      <c r="K313" s="121">
        <f t="shared" ref="K313:L313" si="3">K315+K316+K317+K314</f>
        <v>2707.9</v>
      </c>
      <c r="L313" s="121">
        <f t="shared" si="3"/>
        <v>0</v>
      </c>
      <c r="M313" s="13"/>
      <c r="N313" s="13"/>
    </row>
    <row r="314" spans="1:15" ht="14.25" customHeight="1" x14ac:dyDescent="0.2">
      <c r="A314" s="1462" t="s">
        <v>18</v>
      </c>
      <c r="B314" s="1463"/>
      <c r="C314" s="1463"/>
      <c r="D314" s="1463"/>
      <c r="E314" s="1463"/>
      <c r="F314" s="1463"/>
      <c r="G314" s="1463"/>
      <c r="H314" s="1463"/>
      <c r="I314" s="1464"/>
      <c r="J314" s="35">
        <f>SUMIF(I14:I297,"ES",J14:J297)</f>
        <v>919.1</v>
      </c>
      <c r="K314" s="35">
        <f>SUMIF(I14:I297,"ES",K14:K297)</f>
        <v>919.1</v>
      </c>
      <c r="L314" s="35">
        <f>SUMIF(I14:I297,"ES",L14:L297)</f>
        <v>0</v>
      </c>
      <c r="M314" s="13"/>
      <c r="N314" s="13"/>
    </row>
    <row r="315" spans="1:15" ht="14.25" customHeight="1" x14ac:dyDescent="0.2">
      <c r="A315" s="1465" t="s">
        <v>19</v>
      </c>
      <c r="B315" s="1466"/>
      <c r="C315" s="1466"/>
      <c r="D315" s="1466"/>
      <c r="E315" s="1466"/>
      <c r="F315" s="1466"/>
      <c r="G315" s="1466"/>
      <c r="H315" s="1466"/>
      <c r="I315" s="1467"/>
      <c r="J315" s="35">
        <f>SUMIF(I14:I297,"KVJUD",J14:J297)</f>
        <v>1662.4</v>
      </c>
      <c r="K315" s="35">
        <f>SUMIF(I14:I297,"KVJUD",K14:K297)</f>
        <v>1662.4</v>
      </c>
      <c r="L315" s="35">
        <f>SUMIF(I14:I297,"KVJUD",L14:L297)</f>
        <v>0</v>
      </c>
      <c r="M315" s="31"/>
      <c r="N315" s="31"/>
    </row>
    <row r="316" spans="1:15" ht="14.25" customHeight="1" x14ac:dyDescent="0.2">
      <c r="A316" s="1228" t="s">
        <v>20</v>
      </c>
      <c r="B316" s="1229"/>
      <c r="C316" s="1229"/>
      <c r="D316" s="1229"/>
      <c r="E316" s="1229"/>
      <c r="F316" s="1229"/>
      <c r="G316" s="1229"/>
      <c r="H316" s="1229"/>
      <c r="I316" s="1230"/>
      <c r="J316" s="35">
        <f>SUMIF(I14:I297,"LRVB",J14:J297)</f>
        <v>0</v>
      </c>
      <c r="K316" s="35">
        <f>SUMIF(I14:I297,"LRVB",K14:K297)</f>
        <v>0</v>
      </c>
      <c r="L316" s="35">
        <f>SUMIF(I14:I297,"LRVB",L14:L297)</f>
        <v>0</v>
      </c>
      <c r="M316" s="31"/>
      <c r="N316" s="31"/>
    </row>
    <row r="317" spans="1:15" ht="14.25" customHeight="1" x14ac:dyDescent="0.2">
      <c r="A317" s="1450" t="s">
        <v>21</v>
      </c>
      <c r="B317" s="1451"/>
      <c r="C317" s="1451"/>
      <c r="D317" s="1451"/>
      <c r="E317" s="1451"/>
      <c r="F317" s="1451"/>
      <c r="G317" s="1451"/>
      <c r="H317" s="1451"/>
      <c r="I317" s="1452"/>
      <c r="J317" s="35">
        <f>SUMIF(I14:I297,"Kt",J14:J297)</f>
        <v>126.4</v>
      </c>
      <c r="K317" s="35">
        <f>SUMIF(I14:I297,"Kt",K14:K297)</f>
        <v>126.4</v>
      </c>
      <c r="L317" s="35">
        <f>SUMIF(I14:I297,"Kt",L14:L297)</f>
        <v>0</v>
      </c>
      <c r="M317" s="31"/>
      <c r="N317" s="31"/>
    </row>
    <row r="318" spans="1:15" ht="14.25" customHeight="1" thickBot="1" x14ac:dyDescent="0.25">
      <c r="A318" s="1453" t="s">
        <v>14</v>
      </c>
      <c r="B318" s="1454"/>
      <c r="C318" s="1454"/>
      <c r="D318" s="1454"/>
      <c r="E318" s="1454"/>
      <c r="F318" s="1454"/>
      <c r="G318" s="1454"/>
      <c r="H318" s="1454"/>
      <c r="I318" s="1455"/>
      <c r="J318" s="122">
        <f>SUM(J302,J313)</f>
        <v>29349.9</v>
      </c>
      <c r="K318" s="122">
        <f>SUM(K302,K313)</f>
        <v>28117.9</v>
      </c>
      <c r="L318" s="122">
        <f>SUM(L302,L313)</f>
        <v>0</v>
      </c>
      <c r="M318" s="31"/>
      <c r="N318" s="31"/>
    </row>
    <row r="319" spans="1:15" x14ac:dyDescent="0.2">
      <c r="I319" s="189"/>
      <c r="J319" s="190"/>
      <c r="K319" s="190"/>
      <c r="L319" s="190"/>
      <c r="M319" s="4"/>
    </row>
    <row r="320" spans="1:15" s="3" customFormat="1" x14ac:dyDescent="0.2">
      <c r="A320" s="2"/>
      <c r="B320" s="2"/>
      <c r="C320" s="2"/>
      <c r="D320" s="2"/>
      <c r="E320" s="2"/>
      <c r="F320" s="7"/>
      <c r="G320" s="10"/>
      <c r="H320" s="10" t="s">
        <v>717</v>
      </c>
      <c r="J320" s="2"/>
      <c r="K320" s="2"/>
      <c r="L320" s="2"/>
      <c r="M320" s="2"/>
      <c r="N320" s="2"/>
      <c r="O320" s="1"/>
    </row>
  </sheetData>
  <mergeCells count="387">
    <mergeCell ref="M1:N1"/>
    <mergeCell ref="D4:M4"/>
    <mergeCell ref="A5:N5"/>
    <mergeCell ref="A6:N6"/>
    <mergeCell ref="M7:N7"/>
    <mergeCell ref="A8:A10"/>
    <mergeCell ref="B8:B10"/>
    <mergeCell ref="C8:C10"/>
    <mergeCell ref="D8:D10"/>
    <mergeCell ref="E8:E10"/>
    <mergeCell ref="L8:L10"/>
    <mergeCell ref="M8:N8"/>
    <mergeCell ref="M9:M10"/>
    <mergeCell ref="N9:N10"/>
    <mergeCell ref="A11:N11"/>
    <mergeCell ref="A12:N12"/>
    <mergeCell ref="F8:F10"/>
    <mergeCell ref="G8:G10"/>
    <mergeCell ref="H8:H10"/>
    <mergeCell ref="I8:I10"/>
    <mergeCell ref="J8:J10"/>
    <mergeCell ref="K8:K10"/>
    <mergeCell ref="B13:N13"/>
    <mergeCell ref="C14:N14"/>
    <mergeCell ref="A16:A23"/>
    <mergeCell ref="B16:B23"/>
    <mergeCell ref="C16:C23"/>
    <mergeCell ref="D16:D23"/>
    <mergeCell ref="E16:E18"/>
    <mergeCell ref="F16:F23"/>
    <mergeCell ref="G16:G23"/>
    <mergeCell ref="H16:H22"/>
    <mergeCell ref="M16:M17"/>
    <mergeCell ref="O16:O23"/>
    <mergeCell ref="D24:D26"/>
    <mergeCell ref="E24:E26"/>
    <mergeCell ref="F24:F26"/>
    <mergeCell ref="G24:G26"/>
    <mergeCell ref="H24:H30"/>
    <mergeCell ref="M24:M25"/>
    <mergeCell ref="E27:E30"/>
    <mergeCell ref="M27:M28"/>
    <mergeCell ref="G31:G35"/>
    <mergeCell ref="A36:A40"/>
    <mergeCell ref="B36:B40"/>
    <mergeCell ref="C36:C40"/>
    <mergeCell ref="E36:E40"/>
    <mergeCell ref="G36:G40"/>
    <mergeCell ref="F28:F30"/>
    <mergeCell ref="A31:A35"/>
    <mergeCell ref="B31:B35"/>
    <mergeCell ref="C31:C35"/>
    <mergeCell ref="D31:D35"/>
    <mergeCell ref="E31:E35"/>
    <mergeCell ref="H36:H40"/>
    <mergeCell ref="M36:M37"/>
    <mergeCell ref="E41:E44"/>
    <mergeCell ref="F41:F43"/>
    <mergeCell ref="M42:M43"/>
    <mergeCell ref="C45:C47"/>
    <mergeCell ref="E45:E47"/>
    <mergeCell ref="H45:H47"/>
    <mergeCell ref="M45:M46"/>
    <mergeCell ref="F46:F47"/>
    <mergeCell ref="G48:G52"/>
    <mergeCell ref="H48:H52"/>
    <mergeCell ref="M50:M51"/>
    <mergeCell ref="E53:E55"/>
    <mergeCell ref="F53:F55"/>
    <mergeCell ref="H53:H55"/>
    <mergeCell ref="M53:M54"/>
    <mergeCell ref="A48:A52"/>
    <mergeCell ref="B48:B52"/>
    <mergeCell ref="C48:C55"/>
    <mergeCell ref="D48:D52"/>
    <mergeCell ref="E48:E52"/>
    <mergeCell ref="F48:F50"/>
    <mergeCell ref="E56:E57"/>
    <mergeCell ref="H56:H57"/>
    <mergeCell ref="M56:M57"/>
    <mergeCell ref="O56:O57"/>
    <mergeCell ref="A58:A60"/>
    <mergeCell ref="B58:B60"/>
    <mergeCell ref="C58:C60"/>
    <mergeCell ref="D58:D60"/>
    <mergeCell ref="E58:E60"/>
    <mergeCell ref="G58:G60"/>
    <mergeCell ref="G69:G70"/>
    <mergeCell ref="M69:M70"/>
    <mergeCell ref="D71:D72"/>
    <mergeCell ref="E71:E72"/>
    <mergeCell ref="F71:F72"/>
    <mergeCell ref="G71:G72"/>
    <mergeCell ref="H71:H72"/>
    <mergeCell ref="M58:M59"/>
    <mergeCell ref="D61:D65"/>
    <mergeCell ref="E61:E65"/>
    <mergeCell ref="G61:G65"/>
    <mergeCell ref="H61:H65"/>
    <mergeCell ref="E66:E68"/>
    <mergeCell ref="F66:F68"/>
    <mergeCell ref="H66:H68"/>
    <mergeCell ref="A73:A75"/>
    <mergeCell ref="B73:B75"/>
    <mergeCell ref="C73:C75"/>
    <mergeCell ref="D73:D75"/>
    <mergeCell ref="E73:E75"/>
    <mergeCell ref="F73:F75"/>
    <mergeCell ref="D69:D70"/>
    <mergeCell ref="E69:E70"/>
    <mergeCell ref="F69:F70"/>
    <mergeCell ref="E80:E82"/>
    <mergeCell ref="M80:M82"/>
    <mergeCell ref="C84:I84"/>
    <mergeCell ref="E86:E87"/>
    <mergeCell ref="H86:H87"/>
    <mergeCell ref="M86:M87"/>
    <mergeCell ref="G73:G75"/>
    <mergeCell ref="H73:H75"/>
    <mergeCell ref="M74:M75"/>
    <mergeCell ref="E76:E77"/>
    <mergeCell ref="E78:E79"/>
    <mergeCell ref="F78:F79"/>
    <mergeCell ref="H88:H89"/>
    <mergeCell ref="A90:A94"/>
    <mergeCell ref="B90:B94"/>
    <mergeCell ref="C90:C94"/>
    <mergeCell ref="D90:D94"/>
    <mergeCell ref="E90:E94"/>
    <mergeCell ref="G90:G94"/>
    <mergeCell ref="A88:A89"/>
    <mergeCell ref="B88:B89"/>
    <mergeCell ref="C88:C89"/>
    <mergeCell ref="D88:D89"/>
    <mergeCell ref="E88:E89"/>
    <mergeCell ref="G88:G89"/>
    <mergeCell ref="E95:E97"/>
    <mergeCell ref="H95:H97"/>
    <mergeCell ref="M95:M96"/>
    <mergeCell ref="F96:F97"/>
    <mergeCell ref="E98:E99"/>
    <mergeCell ref="A102:A105"/>
    <mergeCell ref="B102:B105"/>
    <mergeCell ref="C102:C105"/>
    <mergeCell ref="E102:E105"/>
    <mergeCell ref="G102:G105"/>
    <mergeCell ref="A112:A119"/>
    <mergeCell ref="B112:B119"/>
    <mergeCell ref="C112:C119"/>
    <mergeCell ref="D112:D119"/>
    <mergeCell ref="E112:E114"/>
    <mergeCell ref="H102:H105"/>
    <mergeCell ref="M102:M103"/>
    <mergeCell ref="A106:A107"/>
    <mergeCell ref="B106:B107"/>
    <mergeCell ref="C106:C107"/>
    <mergeCell ref="D106:D107"/>
    <mergeCell ref="E106:E107"/>
    <mergeCell ref="G106:G107"/>
    <mergeCell ref="F112:F119"/>
    <mergeCell ref="G112:G119"/>
    <mergeCell ref="H112:H118"/>
    <mergeCell ref="M112:M113"/>
    <mergeCell ref="D120:D122"/>
    <mergeCell ref="E120:E122"/>
    <mergeCell ref="G120:G122"/>
    <mergeCell ref="H120:H122"/>
    <mergeCell ref="D108:D109"/>
    <mergeCell ref="E108:E109"/>
    <mergeCell ref="F108:F109"/>
    <mergeCell ref="G108:G109"/>
    <mergeCell ref="H108:H109"/>
    <mergeCell ref="D123:D124"/>
    <mergeCell ref="E123:E124"/>
    <mergeCell ref="F123:F124"/>
    <mergeCell ref="G123:G124"/>
    <mergeCell ref="M123:M124"/>
    <mergeCell ref="D127:D130"/>
    <mergeCell ref="E127:E130"/>
    <mergeCell ref="F127:F130"/>
    <mergeCell ref="G127:G130"/>
    <mergeCell ref="H127:H130"/>
    <mergeCell ref="E135:E138"/>
    <mergeCell ref="H135:H138"/>
    <mergeCell ref="M135:M136"/>
    <mergeCell ref="F136:F138"/>
    <mergeCell ref="E139:E140"/>
    <mergeCell ref="H139:H140"/>
    <mergeCell ref="M127:M128"/>
    <mergeCell ref="A131:A132"/>
    <mergeCell ref="B131:B132"/>
    <mergeCell ref="C131:C132"/>
    <mergeCell ref="D131:D132"/>
    <mergeCell ref="E131:E132"/>
    <mergeCell ref="F131:F132"/>
    <mergeCell ref="G131:G132"/>
    <mergeCell ref="H131:H132"/>
    <mergeCell ref="H150:H151"/>
    <mergeCell ref="M151:M153"/>
    <mergeCell ref="C155:I155"/>
    <mergeCell ref="C156:N156"/>
    <mergeCell ref="H158:H163"/>
    <mergeCell ref="E162:E163"/>
    <mergeCell ref="E141:E143"/>
    <mergeCell ref="F141:F143"/>
    <mergeCell ref="H141:H143"/>
    <mergeCell ref="E146:E148"/>
    <mergeCell ref="F146:F147"/>
    <mergeCell ref="H146:H148"/>
    <mergeCell ref="E167:E168"/>
    <mergeCell ref="M167:M168"/>
    <mergeCell ref="E171:E172"/>
    <mergeCell ref="M171:M172"/>
    <mergeCell ref="A173:A174"/>
    <mergeCell ref="B173:B174"/>
    <mergeCell ref="C173:C174"/>
    <mergeCell ref="D173:D174"/>
    <mergeCell ref="E173:E174"/>
    <mergeCell ref="F173:F174"/>
    <mergeCell ref="G173:G174"/>
    <mergeCell ref="M173:M174"/>
    <mergeCell ref="N173:N174"/>
    <mergeCell ref="A175:A177"/>
    <mergeCell ref="B175:B177"/>
    <mergeCell ref="C175:C177"/>
    <mergeCell ref="D175:D177"/>
    <mergeCell ref="E175:E177"/>
    <mergeCell ref="F175:F177"/>
    <mergeCell ref="G175:G177"/>
    <mergeCell ref="E183:E184"/>
    <mergeCell ref="H183:H184"/>
    <mergeCell ref="E187:E189"/>
    <mergeCell ref="F187:F189"/>
    <mergeCell ref="H187:H189"/>
    <mergeCell ref="E191:E192"/>
    <mergeCell ref="H191:H193"/>
    <mergeCell ref="H175:H177"/>
    <mergeCell ref="A181:A182"/>
    <mergeCell ref="B181:B182"/>
    <mergeCell ref="C181:C182"/>
    <mergeCell ref="D181:D182"/>
    <mergeCell ref="E181:E182"/>
    <mergeCell ref="F181:F182"/>
    <mergeCell ref="G181:G182"/>
    <mergeCell ref="A199:A202"/>
    <mergeCell ref="B199:B202"/>
    <mergeCell ref="C199:C202"/>
    <mergeCell ref="D199:D202"/>
    <mergeCell ref="E199:E201"/>
    <mergeCell ref="G199:G202"/>
    <mergeCell ref="H199:H202"/>
    <mergeCell ref="M199:M201"/>
    <mergeCell ref="A195:A198"/>
    <mergeCell ref="B195:B198"/>
    <mergeCell ref="C195:C198"/>
    <mergeCell ref="D195:D198"/>
    <mergeCell ref="E195:E197"/>
    <mergeCell ref="G195:G198"/>
    <mergeCell ref="C203:I203"/>
    <mergeCell ref="M203:N203"/>
    <mergeCell ref="C204:N204"/>
    <mergeCell ref="E206:E217"/>
    <mergeCell ref="F206:F208"/>
    <mergeCell ref="H206:H217"/>
    <mergeCell ref="M213:M214"/>
    <mergeCell ref="M216:M217"/>
    <mergeCell ref="H195:H198"/>
    <mergeCell ref="M195:M197"/>
    <mergeCell ref="E220:E221"/>
    <mergeCell ref="E222:E223"/>
    <mergeCell ref="H222:H223"/>
    <mergeCell ref="M222:M223"/>
    <mergeCell ref="A226:A228"/>
    <mergeCell ref="B226:B228"/>
    <mergeCell ref="C226:C228"/>
    <mergeCell ref="D226:D228"/>
    <mergeCell ref="E226:E228"/>
    <mergeCell ref="F226:F228"/>
    <mergeCell ref="M231:M232"/>
    <mergeCell ref="A235:A236"/>
    <mergeCell ref="B235:B236"/>
    <mergeCell ref="C235:C236"/>
    <mergeCell ref="E235:E237"/>
    <mergeCell ref="F235:F237"/>
    <mergeCell ref="H235:H236"/>
    <mergeCell ref="M236:M237"/>
    <mergeCell ref="G226:G228"/>
    <mergeCell ref="H226:H228"/>
    <mergeCell ref="E229:E230"/>
    <mergeCell ref="F229:F230"/>
    <mergeCell ref="A231:A233"/>
    <mergeCell ref="B231:B233"/>
    <mergeCell ref="C231:C233"/>
    <mergeCell ref="E231:E233"/>
    <mergeCell ref="F231:F233"/>
    <mergeCell ref="H231:H233"/>
    <mergeCell ref="G238:G240"/>
    <mergeCell ref="H238:H240"/>
    <mergeCell ref="A241:A242"/>
    <mergeCell ref="B241:B242"/>
    <mergeCell ref="C241:C242"/>
    <mergeCell ref="E241:E243"/>
    <mergeCell ref="F241:F243"/>
    <mergeCell ref="H241:H242"/>
    <mergeCell ref="A238:A240"/>
    <mergeCell ref="B238:B240"/>
    <mergeCell ref="C238:C240"/>
    <mergeCell ref="D238:D240"/>
    <mergeCell ref="E238:E240"/>
    <mergeCell ref="F238:F240"/>
    <mergeCell ref="G244:G246"/>
    <mergeCell ref="H244:H246"/>
    <mergeCell ref="A248:A250"/>
    <mergeCell ref="B248:B250"/>
    <mergeCell ref="C248:C250"/>
    <mergeCell ref="D248:D250"/>
    <mergeCell ref="E248:E250"/>
    <mergeCell ref="F248:F250"/>
    <mergeCell ref="G248:G250"/>
    <mergeCell ref="H248:H250"/>
    <mergeCell ref="A244:A246"/>
    <mergeCell ref="B244:B246"/>
    <mergeCell ref="C244:C246"/>
    <mergeCell ref="D244:D246"/>
    <mergeCell ref="E244:E246"/>
    <mergeCell ref="F244:F246"/>
    <mergeCell ref="E264:E267"/>
    <mergeCell ref="A268:A269"/>
    <mergeCell ref="B268:B269"/>
    <mergeCell ref="C268:C269"/>
    <mergeCell ref="E268:E269"/>
    <mergeCell ref="M268:M269"/>
    <mergeCell ref="M248:M249"/>
    <mergeCell ref="C252:I252"/>
    <mergeCell ref="M252:N252"/>
    <mergeCell ref="C253:N253"/>
    <mergeCell ref="H255:H258"/>
    <mergeCell ref="D256:D262"/>
    <mergeCell ref="G270:G275"/>
    <mergeCell ref="O270:O274"/>
    <mergeCell ref="M271:M272"/>
    <mergeCell ref="E276:E277"/>
    <mergeCell ref="M276:M277"/>
    <mergeCell ref="A270:A275"/>
    <mergeCell ref="B270:B275"/>
    <mergeCell ref="C270:C275"/>
    <mergeCell ref="D270:D275"/>
    <mergeCell ref="E270:E272"/>
    <mergeCell ref="F270:F275"/>
    <mergeCell ref="D291:D292"/>
    <mergeCell ref="E291:E294"/>
    <mergeCell ref="F291:F294"/>
    <mergeCell ref="G291:G294"/>
    <mergeCell ref="H291:H294"/>
    <mergeCell ref="C295:I295"/>
    <mergeCell ref="E278:E281"/>
    <mergeCell ref="D282:D283"/>
    <mergeCell ref="E282:E283"/>
    <mergeCell ref="F285:F287"/>
    <mergeCell ref="G285:G287"/>
    <mergeCell ref="D288:D289"/>
    <mergeCell ref="E288:E289"/>
    <mergeCell ref="A300:I300"/>
    <mergeCell ref="A301:I301"/>
    <mergeCell ref="A302:I302"/>
    <mergeCell ref="A303:I303"/>
    <mergeCell ref="A304:I304"/>
    <mergeCell ref="A305:I305"/>
    <mergeCell ref="M295:N295"/>
    <mergeCell ref="B296:I296"/>
    <mergeCell ref="M296:N296"/>
    <mergeCell ref="B297:I297"/>
    <mergeCell ref="M297:N297"/>
    <mergeCell ref="A298:M298"/>
    <mergeCell ref="A318:I318"/>
    <mergeCell ref="A312:I312"/>
    <mergeCell ref="A313:I313"/>
    <mergeCell ref="A314:I314"/>
    <mergeCell ref="A315:I315"/>
    <mergeCell ref="A316:I316"/>
    <mergeCell ref="A317:I317"/>
    <mergeCell ref="A306:I306"/>
    <mergeCell ref="A307:I307"/>
    <mergeCell ref="A308:I308"/>
    <mergeCell ref="A309:I309"/>
    <mergeCell ref="A310:I310"/>
    <mergeCell ref="A311:I31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2</vt:i4>
      </vt:variant>
    </vt:vector>
  </HeadingPairs>
  <TitlesOfParts>
    <vt:vector size="6" baseType="lpstr">
      <vt:lpstr>Ataskaita</vt:lpstr>
      <vt:lpstr>Priemonių suvestinė</vt:lpstr>
      <vt:lpstr>SPIS</vt:lpstr>
      <vt:lpstr>MVP įsak</vt:lpstr>
      <vt:lpstr>'Priemonių suvestinė'!Print_Area</vt:lpstr>
      <vt:lpstr>'Priemonių suvestinė'!Print_Titles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2020-03-02T06:57:47Z</cp:lastPrinted>
  <dcterms:created xsi:type="dcterms:W3CDTF">2007-07-27T10:32:34Z</dcterms:created>
  <dcterms:modified xsi:type="dcterms:W3CDTF">2020-03-02T06:59:06Z</dcterms:modified>
</cp:coreProperties>
</file>