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20-2022 SVP\SPRENDIMAS\"/>
    </mc:Choice>
  </mc:AlternateContent>
  <bookViews>
    <workbookView xWindow="-120" yWindow="-120" windowWidth="24240" windowHeight="13140"/>
  </bookViews>
  <sheets>
    <sheet name="6 programa" sheetId="14" r:id="rId1"/>
    <sheet name="aiškinamoji lentelė " sheetId="5" state="hidden" r:id="rId2"/>
    <sheet name="Lapas1" sheetId="15" state="hidden" r:id="rId3"/>
  </sheets>
  <definedNames>
    <definedName name="_xlnm.Print_Area" localSheetId="0">'6 programa'!$A$1:$M$250</definedName>
    <definedName name="_xlnm.Print_Area" localSheetId="1">'aiškinamoji lentelė '!$A$1:$Q$306</definedName>
    <definedName name="_xlnm.Print_Titles" localSheetId="0">'6 programa'!$9:$11</definedName>
    <definedName name="_xlnm.Print_Titles" localSheetId="1">'aiškinamoji lentelė '!$6:$8</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1" i="5" l="1"/>
  <c r="I19" i="14"/>
  <c r="J229" i="5" l="1"/>
  <c r="J120" i="5" l="1"/>
  <c r="L20" i="5" l="1"/>
  <c r="K20" i="5"/>
  <c r="J20" i="5"/>
  <c r="H26" i="14"/>
  <c r="G26" i="14"/>
  <c r="G16" i="14" l="1"/>
  <c r="J153" i="5"/>
  <c r="J29" i="5" l="1"/>
  <c r="I233" i="14" l="1"/>
  <c r="H233" i="14"/>
  <c r="G233" i="14"/>
  <c r="J296" i="5"/>
  <c r="L296" i="5"/>
  <c r="K296" i="5"/>
  <c r="I296" i="5"/>
  <c r="G196" i="14" l="1"/>
  <c r="J217" i="5" l="1"/>
  <c r="G27" i="14" l="1"/>
  <c r="G17" i="14" l="1"/>
  <c r="G123" i="14" s="1"/>
  <c r="J51" i="5" l="1"/>
  <c r="H239" i="14" l="1"/>
  <c r="G239" i="14"/>
  <c r="I242" i="14"/>
  <c r="H242" i="14"/>
  <c r="G242" i="14"/>
  <c r="I241" i="14"/>
  <c r="H241" i="14"/>
  <c r="G241" i="14"/>
  <c r="I240" i="14"/>
  <c r="H240" i="14"/>
  <c r="G240" i="14"/>
  <c r="I237" i="14"/>
  <c r="H237" i="14"/>
  <c r="G237" i="14"/>
  <c r="I236" i="14"/>
  <c r="H236" i="14"/>
  <c r="G236" i="14"/>
  <c r="I235" i="14"/>
  <c r="H235" i="14"/>
  <c r="G235" i="14"/>
  <c r="I234" i="14"/>
  <c r="H234" i="14"/>
  <c r="G234" i="14"/>
  <c r="I232" i="14"/>
  <c r="H232" i="14"/>
  <c r="G232" i="14"/>
  <c r="G238" i="14" l="1"/>
  <c r="H238" i="14"/>
  <c r="I231" i="14"/>
  <c r="H231" i="14"/>
  <c r="G231" i="14"/>
  <c r="I230" i="14"/>
  <c r="H230" i="14"/>
  <c r="G230" i="14"/>
  <c r="H229" i="14"/>
  <c r="G229" i="14"/>
  <c r="I228" i="14"/>
  <c r="H228" i="14"/>
  <c r="G228" i="14"/>
  <c r="H227" i="14" l="1"/>
  <c r="G227" i="14"/>
  <c r="I229" i="14" l="1"/>
  <c r="I227" i="14" s="1"/>
  <c r="G218" i="14" l="1"/>
  <c r="H218" i="14"/>
  <c r="I201" i="14"/>
  <c r="I218" i="14" l="1"/>
  <c r="I239" i="14"/>
  <c r="I238" i="14" s="1"/>
  <c r="G195" i="14"/>
  <c r="G219" i="14" s="1"/>
  <c r="H195" i="14"/>
  <c r="I195" i="14"/>
  <c r="I166" i="14" l="1"/>
  <c r="I167" i="14" s="1"/>
  <c r="H166" i="14"/>
  <c r="H167" i="14" s="1"/>
  <c r="H123" i="14"/>
  <c r="I123" i="14"/>
  <c r="I124" i="14" s="1"/>
  <c r="G166" i="14" l="1"/>
  <c r="G167" i="14" s="1"/>
  <c r="G226" i="14"/>
  <c r="I219" i="14"/>
  <c r="H219" i="14"/>
  <c r="G124" i="14"/>
  <c r="I226" i="14"/>
  <c r="I243" i="14" s="1"/>
  <c r="H124" i="14"/>
  <c r="H226" i="14"/>
  <c r="G243" i="14" l="1"/>
  <c r="H243" i="14"/>
  <c r="I220" i="14"/>
  <c r="I221" i="14" s="1"/>
  <c r="G220" i="14"/>
  <c r="G221" i="14" s="1"/>
  <c r="H220" i="14"/>
  <c r="H221" i="14" s="1"/>
  <c r="I89" i="5" l="1"/>
  <c r="L18" i="5" l="1"/>
  <c r="K18" i="5"/>
  <c r="J18" i="5"/>
  <c r="J17" i="5"/>
  <c r="K19" i="5"/>
  <c r="J19" i="5"/>
  <c r="J23" i="5"/>
  <c r="K22" i="5"/>
  <c r="J14" i="5"/>
  <c r="J15" i="5"/>
  <c r="L13" i="5"/>
  <c r="J299" i="5" l="1"/>
  <c r="I231" i="5" l="1"/>
  <c r="N230" i="5"/>
  <c r="J253" i="5" l="1"/>
  <c r="I153" i="5" l="1"/>
  <c r="I142" i="5"/>
  <c r="K57" i="5" l="1"/>
  <c r="K171" i="5" l="1"/>
  <c r="K13" i="5"/>
  <c r="I266" i="5"/>
  <c r="J145" i="5" l="1"/>
  <c r="J13" i="5" s="1"/>
  <c r="J259" i="5" l="1"/>
  <c r="J260" i="5"/>
  <c r="J292" i="5"/>
  <c r="J281" i="5" l="1"/>
  <c r="K299" i="5"/>
  <c r="I46" i="5" l="1"/>
  <c r="I34" i="5"/>
  <c r="I43" i="5" l="1"/>
  <c r="I62" i="5" l="1"/>
  <c r="I61" i="5"/>
  <c r="L305" i="5" l="1"/>
  <c r="K305" i="5"/>
  <c r="J305" i="5"/>
  <c r="I305" i="5"/>
  <c r="L304" i="5"/>
  <c r="K304" i="5"/>
  <c r="J304" i="5"/>
  <c r="I304" i="5"/>
  <c r="L303" i="5"/>
  <c r="K303" i="5"/>
  <c r="J303" i="5"/>
  <c r="I303" i="5"/>
  <c r="L302" i="5"/>
  <c r="K302" i="5"/>
  <c r="J302" i="5"/>
  <c r="I302" i="5"/>
  <c r="L300" i="5"/>
  <c r="K300" i="5"/>
  <c r="J300" i="5"/>
  <c r="I299" i="5"/>
  <c r="L298" i="5"/>
  <c r="K298" i="5"/>
  <c r="J298" i="5"/>
  <c r="L297" i="5"/>
  <c r="K297" i="5"/>
  <c r="L294" i="5"/>
  <c r="K294" i="5"/>
  <c r="J294" i="5"/>
  <c r="I294" i="5"/>
  <c r="L293" i="5"/>
  <c r="K293" i="5"/>
  <c r="J293" i="5"/>
  <c r="L292" i="5"/>
  <c r="K292" i="5"/>
  <c r="J255" i="5"/>
  <c r="K255" i="5"/>
  <c r="L255" i="5"/>
  <c r="K281" i="5"/>
  <c r="L281" i="5"/>
  <c r="L17" i="5"/>
  <c r="K17" i="5"/>
  <c r="L16" i="5"/>
  <c r="K16" i="5"/>
  <c r="I24" i="5"/>
  <c r="I22" i="5"/>
  <c r="L23" i="5"/>
  <c r="K23" i="5"/>
  <c r="I23" i="5"/>
  <c r="L22" i="5"/>
  <c r="J22" i="5"/>
  <c r="I301" i="5" l="1"/>
  <c r="J301" i="5"/>
  <c r="K301" i="5"/>
  <c r="L301" i="5"/>
  <c r="I115" i="5"/>
  <c r="I114" i="5"/>
  <c r="I26" i="5" l="1"/>
  <c r="I265" i="5" l="1"/>
  <c r="L14" i="5" l="1"/>
  <c r="K14" i="5"/>
  <c r="L15" i="5"/>
  <c r="K15" i="5"/>
  <c r="I15" i="5"/>
  <c r="L19" i="5"/>
  <c r="L21" i="5"/>
  <c r="J21" i="5"/>
  <c r="I21" i="5"/>
  <c r="L24" i="5"/>
  <c r="K24" i="5"/>
  <c r="J24" i="5"/>
  <c r="L295" i="5"/>
  <c r="K295" i="5"/>
  <c r="J295" i="5"/>
  <c r="I297" i="5"/>
  <c r="L299" i="5"/>
  <c r="L172" i="5" l="1"/>
  <c r="I163" i="5"/>
  <c r="I159" i="5"/>
  <c r="I158" i="5"/>
  <c r="I14" i="5" s="1"/>
  <c r="I156" i="5"/>
  <c r="I155" i="5"/>
  <c r="I150" i="5"/>
  <c r="I148" i="5"/>
  <c r="I144" i="5"/>
  <c r="I133" i="5"/>
  <c r="J171" i="5"/>
  <c r="J16" i="5" l="1"/>
  <c r="J297" i="5"/>
  <c r="I17" i="5"/>
  <c r="I18" i="5"/>
  <c r="K282" i="5" l="1"/>
  <c r="L282" i="5"/>
  <c r="I245" i="5" l="1"/>
  <c r="I235" i="5" l="1"/>
  <c r="I298" i="5" s="1"/>
  <c r="N199" i="5" l="1"/>
  <c r="L176" i="5" l="1"/>
  <c r="L291" i="5" s="1"/>
  <c r="L290" i="5" s="1"/>
  <c r="K176" i="5"/>
  <c r="J291" i="5" l="1"/>
  <c r="J290" i="5" s="1"/>
  <c r="K217" i="5"/>
  <c r="K291" i="5"/>
  <c r="K290" i="5" s="1"/>
  <c r="L217" i="5"/>
  <c r="I281" i="5"/>
  <c r="I219" i="5" l="1"/>
  <c r="I36" i="5" l="1"/>
  <c r="I220" i="5"/>
  <c r="I19" i="5" l="1"/>
  <c r="I293" i="5"/>
  <c r="I48" i="5"/>
  <c r="I16" i="5" s="1"/>
  <c r="I239" i="5" l="1"/>
  <c r="I295" i="5"/>
  <c r="I230" i="5"/>
  <c r="I204" i="5"/>
  <c r="I225" i="5" l="1"/>
  <c r="J225" i="5"/>
  <c r="K225" i="5"/>
  <c r="L225" i="5"/>
  <c r="J221" i="5"/>
  <c r="K221" i="5"/>
  <c r="L221" i="5"/>
  <c r="K21" i="5"/>
  <c r="L226" i="5" l="1"/>
  <c r="L283" i="5" s="1"/>
  <c r="K172" i="5"/>
  <c r="J226" i="5"/>
  <c r="K226" i="5"/>
  <c r="I218" i="5"/>
  <c r="I300" i="5" s="1"/>
  <c r="I221" i="5" l="1"/>
  <c r="K283" i="5"/>
  <c r="K284" i="5" s="1"/>
  <c r="I176" i="5" l="1"/>
  <c r="J282" i="5" l="1"/>
  <c r="I47" i="5" l="1"/>
  <c r="I291" i="5" l="1"/>
  <c r="I13" i="5"/>
  <c r="I171" i="5"/>
  <c r="J172" i="5" l="1"/>
  <c r="I172" i="5" l="1"/>
  <c r="J283" i="5"/>
  <c r="I229" i="5" l="1"/>
  <c r="I255" i="5" s="1"/>
  <c r="I282" i="5" s="1"/>
  <c r="I207" i="5" l="1"/>
  <c r="I217" i="5" l="1"/>
  <c r="I226" i="5" s="1"/>
  <c r="I283" i="5" s="1"/>
  <c r="I292" i="5"/>
  <c r="I290" i="5" s="1"/>
  <c r="J284" i="5" l="1"/>
  <c r="K289" i="5" l="1"/>
  <c r="K306" i="5" s="1"/>
  <c r="I289" i="5" l="1"/>
  <c r="I306" i="5" l="1"/>
  <c r="I284" i="5" l="1"/>
  <c r="L284" i="5"/>
  <c r="L289" i="5" l="1"/>
  <c r="L306" i="5" s="1"/>
  <c r="J289" i="5" l="1"/>
  <c r="J306" i="5" s="1"/>
</calcChain>
</file>

<file path=xl/comments1.xml><?xml version="1.0" encoding="utf-8"?>
<comments xmlns="http://schemas.openxmlformats.org/spreadsheetml/2006/main">
  <authors>
    <author>Audra Cepiene</author>
    <author>Indrė Butenienė</author>
  </authors>
  <commentList>
    <comment ref="E17" authorId="0" shapeId="0">
      <text>
        <r>
          <rPr>
            <sz val="9"/>
            <color indexed="81"/>
            <rFont val="Tahoma"/>
            <family val="2"/>
            <charset val="186"/>
          </rPr>
          <t>P1, 3.6. Miesto susisiekimo sistemos tobulinimas užtikrinant didesnį gatvių tinklo pralaidumą;</t>
        </r>
      </text>
    </comment>
    <comment ref="E28"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3"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40"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K40"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E42"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43"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D45" authorId="0" shapeId="0">
      <text>
        <r>
          <rPr>
            <sz val="9"/>
            <color indexed="81"/>
            <rFont val="Tahoma"/>
            <family val="2"/>
            <charset val="186"/>
          </rPr>
          <t>SM programa 06.2.1-TID-R-511 pr.Vietinių kelių vystymas</t>
        </r>
      </text>
    </comment>
    <comment ref="E45"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47"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49" authorId="1" shapeId="0">
      <text>
        <r>
          <rPr>
            <sz val="9"/>
            <color indexed="81"/>
            <rFont val="Tahoma"/>
            <family val="2"/>
            <charset val="186"/>
          </rPr>
          <t>P1, 1.1.2. Parengtas ir įgyvendintas žvyruotų kelių asfaltavimo priemonių planas siekiant asfaltuoti ne mažiau kaip 10 km žvyruotų kelių, vnt</t>
        </r>
      </text>
    </comment>
    <comment ref="E52"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D58"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E58" authorId="1" shapeId="0">
      <text>
        <r>
          <rPr>
            <sz val="9"/>
            <color indexed="81"/>
            <rFont val="Tahoma"/>
            <family val="2"/>
            <charset val="186"/>
          </rPr>
          <t>P1, 1.1.2. Parengtas ir įgyvendintas žvyruotų kelių asfaltavimo priemonių planas siekiant asfaltuoti ne mažiau kaip 10 km žvyruotų kelių, vnt</t>
        </r>
      </text>
    </comment>
    <comment ref="J58" authorId="0" shapeId="0">
      <text>
        <r>
          <rPr>
            <b/>
            <sz val="9"/>
            <color indexed="81"/>
            <rFont val="Tahoma"/>
            <family val="2"/>
            <charset val="186"/>
          </rPr>
          <t>Sodų bendrijo:</t>
        </r>
        <r>
          <rPr>
            <sz val="9"/>
            <color indexed="81"/>
            <rFont val="Tahoma"/>
            <family val="2"/>
            <charset val="186"/>
          </rPr>
          <t xml:space="preserve">
Aušrinės g. (Sodininkų bendrija "Aušra");
Baltijos 13-oji g. (Sodininkų bendrija "Baltija");
Tylos g. (Sodininkų bendrija "Diana I");
Dianos g. (Sodininkų bendrija "Diana II");
Baltijos 1-oji g. (Sodininkų bendrija "Baltija");
Inkaro 1-oji g. (Sodininkų bendrija "Inkaras");
Sąrašas pagal atliktą gatvių reitingavimą, tarybos aprašas tvirtintas taryboje spalio 24 d.
</t>
        </r>
      </text>
    </comment>
    <comment ref="D61"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J63" authorId="0" shapeId="0">
      <text>
        <r>
          <rPr>
            <sz val="9"/>
            <color indexed="81"/>
            <rFont val="Tahoma"/>
            <family val="2"/>
            <charset val="186"/>
          </rPr>
          <t>Poreikis paaiškės po pasiūlymų tekimo ir gatvių atrankos. Naujas konkursas bus skelbiamas 2022 m.</t>
        </r>
      </text>
    </comment>
    <comment ref="E69" authorId="0" shapeId="0">
      <text>
        <r>
          <rPr>
            <b/>
            <sz val="9"/>
            <color indexed="81"/>
            <rFont val="Tahoma"/>
            <family val="2"/>
            <charset val="186"/>
          </rPr>
          <t>P (KSP) 2.1.2.8</t>
        </r>
        <r>
          <rPr>
            <sz val="9"/>
            <color indexed="81"/>
            <rFont val="Tahoma"/>
            <family val="2"/>
            <charset val="186"/>
          </rPr>
          <t xml:space="preserve">
Centrinėje miesto dalyje suformuoti pėsčiųjų takų, zonų ir gatvių tinklą </t>
        </r>
      </text>
    </comment>
    <comment ref="E71"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79"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K99" authorId="0" shapeId="0">
      <text>
        <r>
          <rPr>
            <sz val="9"/>
            <color indexed="81"/>
            <rFont val="Tahoma"/>
            <family val="2"/>
            <charset val="186"/>
          </rPr>
          <t xml:space="preserve">44 875 kv.m
Hektaras (ha) – ploto matavimo vienetas, lygus 10 000 m² </t>
        </r>
      </text>
    </comment>
    <comment ref="K100" authorId="0" shapeId="0">
      <text>
        <r>
          <rPr>
            <sz val="9"/>
            <color indexed="81"/>
            <rFont val="Tahoma"/>
            <family val="2"/>
            <charset val="186"/>
          </rPr>
          <t xml:space="preserve">12960 kv.m
Hektaras (ha) – ploto matavimo vienetas, lygus 10 000 m² 
</t>
        </r>
      </text>
    </comment>
    <comment ref="K102" authorId="0" shapeId="0">
      <text>
        <r>
          <rPr>
            <b/>
            <sz val="9"/>
            <color indexed="81"/>
            <rFont val="Tahoma"/>
            <family val="2"/>
            <charset val="186"/>
          </rPr>
          <t xml:space="preserve">17800 kv.m </t>
        </r>
        <r>
          <rPr>
            <sz val="9"/>
            <color indexed="81"/>
            <rFont val="Tahoma"/>
            <family val="2"/>
            <charset val="186"/>
          </rPr>
          <t xml:space="preserve">
</t>
        </r>
      </text>
    </comment>
    <comment ref="K104" authorId="0" shapeId="0">
      <text>
        <r>
          <rPr>
            <b/>
            <sz val="9"/>
            <color indexed="81"/>
            <rFont val="Tahoma"/>
            <family val="2"/>
            <charset val="186"/>
          </rPr>
          <t>8000 kv.m</t>
        </r>
        <r>
          <rPr>
            <sz val="9"/>
            <color indexed="81"/>
            <rFont val="Tahoma"/>
            <family val="2"/>
            <charset val="186"/>
          </rPr>
          <t xml:space="preserve">
</t>
        </r>
      </text>
    </comment>
    <comment ref="K107"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L107"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M107"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D115" authorId="0" shapeId="0">
      <text>
        <r>
          <rPr>
            <sz val="9"/>
            <color indexed="81"/>
            <rFont val="Tahoma"/>
            <family val="2"/>
            <charset val="186"/>
          </rPr>
          <t>parkavimo vietų subraižymas, žaliųjų vejų ir skverų sutvarkymas</t>
        </r>
      </text>
    </comment>
    <comment ref="E12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31"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J134"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K137" authorId="0" shapeId="0">
      <text>
        <r>
          <rPr>
            <b/>
            <sz val="9"/>
            <color indexed="81"/>
            <rFont val="Tahoma"/>
            <family val="2"/>
            <charset val="186"/>
          </rPr>
          <t xml:space="preserve">2020 m. </t>
        </r>
        <r>
          <rPr>
            <sz val="9"/>
            <color indexed="81"/>
            <rFont val="Tahoma"/>
            <family val="2"/>
            <charset val="186"/>
          </rPr>
          <t xml:space="preserve">
</t>
        </r>
        <r>
          <rPr>
            <b/>
            <sz val="9"/>
            <color indexed="81"/>
            <rFont val="Tahoma"/>
            <family val="2"/>
            <charset val="186"/>
          </rPr>
          <t>1.1. visiems keleiviams:</t>
        </r>
        <r>
          <rPr>
            <sz val="9"/>
            <color indexed="81"/>
            <rFont val="Tahoma"/>
            <family val="2"/>
            <charset val="186"/>
          </rPr>
          <t xml:space="preserve">
1.1.1. Lietuvos valstybės atkūrimo dienos ir Klaipėdos šviesų festivalio metu, 2020 m. vasario 14–16 d.;
1.1.2. Jūros šventės metu, 2020 m. liepos 24–26 d.; 
1.1.3. Dieną be automobilio, 2020 m. rugsėjo 22 d.;
</t>
        </r>
        <r>
          <rPr>
            <b/>
            <sz val="9"/>
            <color indexed="81"/>
            <rFont val="Tahoma"/>
            <family val="2"/>
            <charset val="186"/>
          </rPr>
          <t>1.2. tik renginio dalyviams:</t>
        </r>
        <r>
          <rPr>
            <sz val="9"/>
            <color indexed="81"/>
            <rFont val="Tahoma"/>
            <family val="2"/>
            <charset val="186"/>
          </rPr>
          <t xml:space="preserve">
1.2.1. Lietuvos vakarų krašto dainų šventės metu, 2020 m. birželio 13–14 d.;
1.2.2. Tarptautinio festivalio „Europiada“ metu, 2020 m. rugpjūčio 5–9 d.;
1.2.3. Pasaulio salės futbolo čempionato metu, 2020 m. rugpjūčio 29 d.–spalio 5 d.
</t>
        </r>
        <r>
          <rPr>
            <b/>
            <i/>
            <sz val="9"/>
            <color indexed="81"/>
            <rFont val="Tahoma"/>
            <family val="2"/>
            <charset val="186"/>
          </rPr>
          <t>bet ne daugiau kaip 201,59 tūkst. Eur</t>
        </r>
      </text>
    </comment>
    <comment ref="E151"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52"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J152"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E156"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K157"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K158"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K159"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K160" authorId="0" shapeId="0">
      <text>
        <r>
          <rPr>
            <sz val="9"/>
            <color indexed="81"/>
            <rFont val="Tahoma"/>
            <family val="2"/>
            <charset val="186"/>
          </rPr>
          <t xml:space="preserve">2020-2021 m.
 Smiltelės g. 
(Minijos; Šiaurės ir pietų kryptis) </t>
        </r>
      </text>
    </comment>
    <comment ref="E164"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65"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169" authorId="1" shapeId="0">
      <text>
        <r>
          <rPr>
            <sz val="9"/>
            <color indexed="81"/>
            <rFont val="Tahoma"/>
            <family val="2"/>
            <charset val="186"/>
          </rPr>
          <t>P2, Klaipėdos miesto darnaus judumo planas (2018-09-13, T2-185),</t>
        </r>
      </text>
    </comment>
    <comment ref="E173"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174" authorId="0" shapeId="0">
      <text>
        <r>
          <rPr>
            <sz val="9"/>
            <color indexed="81"/>
            <rFont val="Tahoma"/>
            <family val="2"/>
            <charset val="186"/>
          </rPr>
          <t xml:space="preserve">Įrengta 5 vnt. šviesoforų, buvo ekploatuojami 66 šviesoforai
</t>
        </r>
      </text>
    </comment>
    <comment ref="K179" authorId="0" shapeId="0">
      <text>
        <r>
          <rPr>
            <b/>
            <sz val="9"/>
            <color indexed="81"/>
            <rFont val="Tahoma"/>
            <family val="2"/>
            <charset val="186"/>
          </rPr>
          <t>2020 m. planuojama projektuoti 7 perėjas:</t>
        </r>
        <r>
          <rPr>
            <sz val="9"/>
            <color indexed="81"/>
            <rFont val="Tahoma"/>
            <family val="2"/>
            <charset val="186"/>
          </rPr>
          <t xml:space="preserve">
1. Liepų g. ((prie Klaipėdos valstybinės kolegijos);
2. Taikos pr. (ties Saturnu);
3. Taikos pr. ir Debreceno g.;
4. Baltijos pr. 103;
5. Dubysos g. 21; 
6. K. Donelaičio g. ir S. Daukanto g. sankryža;
7. Šilutės pl. ir Svajonės g.</t>
        </r>
      </text>
    </comment>
    <comment ref="E193"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02"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03"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204"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05"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07"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08"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09" authorId="0" shapeId="0">
      <text>
        <r>
          <rPr>
            <sz val="9"/>
            <color indexed="81"/>
            <rFont val="Tahoma"/>
            <family val="2"/>
            <charset val="186"/>
          </rPr>
          <t>P (KSP) 2.1.2.5. Sudaryti sąlygas naujų ekologiškų viešojo transporto rūšių atsiradimui</t>
        </r>
      </text>
    </comment>
    <comment ref="E210" authorId="0" shapeId="0">
      <text>
        <r>
          <rPr>
            <sz val="9"/>
            <color indexed="81"/>
            <rFont val="Tahoma"/>
            <family val="2"/>
            <charset val="186"/>
          </rPr>
          <t>P 2.1.2.5. Sudaryti sąlygas naujų ekologiškų viešojo transporto rūšių atsiradimui;
P2 Klaipėdos miesto darnaus judumo planas (2018-09-13, T2-185);</t>
        </r>
      </text>
    </comment>
    <comment ref="E213" authorId="0" shapeId="0">
      <text>
        <r>
          <rPr>
            <sz val="9"/>
            <color indexed="81"/>
            <rFont val="Tahoma"/>
            <family val="2"/>
            <charset val="186"/>
          </rPr>
          <t>P 2.1.2.5. Sudaryti sąlygas naujų ekologiškų viešojo transporto rūšių atsiradimui;
P2 Klaipėdos miesto darnaus judumo planas (2018-09-13, T2-185);</t>
        </r>
      </text>
    </comment>
    <comment ref="E216" authorId="0" shapeId="0">
      <text>
        <r>
          <rPr>
            <b/>
            <sz val="9"/>
            <color indexed="81"/>
            <rFont val="Tahoma"/>
            <family val="2"/>
            <charset val="186"/>
          </rPr>
          <t xml:space="preserve">P KSP </t>
        </r>
        <r>
          <rPr>
            <sz val="9"/>
            <color indexed="81"/>
            <rFont val="Tahoma"/>
            <family val="2"/>
            <charset val="186"/>
          </rPr>
          <t>2.1.2.5. Sudaryti sąlygas naujų ekologiškų viešojo transporto rūšių atsiradimui
KEPS 6.1.5. Sukurti Klaipėdos regione elektriniam transportui pritaikytą infrastruktūrą</t>
        </r>
      </text>
    </comment>
    <comment ref="K216"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K217"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G227" authorId="0" shapeId="0">
      <text>
        <r>
          <rPr>
            <b/>
            <sz val="9"/>
            <color indexed="81"/>
            <rFont val="Tahoma"/>
            <family val="2"/>
            <charset val="186"/>
          </rPr>
          <t>15233,7 biudžetas</t>
        </r>
        <r>
          <rPr>
            <sz val="9"/>
            <color indexed="81"/>
            <rFont val="Tahoma"/>
            <family val="2"/>
            <charset val="186"/>
          </rPr>
          <t xml:space="preserve">
</t>
        </r>
      </text>
    </comment>
    <comment ref="G229" authorId="0" shapeId="0">
      <text>
        <r>
          <rPr>
            <b/>
            <sz val="9"/>
            <color indexed="81"/>
            <rFont val="Tahoma"/>
            <family val="2"/>
            <charset val="186"/>
          </rPr>
          <t>1900</t>
        </r>
      </text>
    </comment>
  </commentList>
</comments>
</file>

<file path=xl/comments2.xml><?xml version="1.0" encoding="utf-8"?>
<comments xmlns="http://schemas.openxmlformats.org/spreadsheetml/2006/main">
  <authors>
    <author>Audra Cepiene</author>
    <author>Indrė Butenienė</author>
  </authors>
  <commentList>
    <comment ref="F1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t>
        </r>
      </text>
    </comment>
    <comment ref="F25"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M25" authorId="0" shapeId="0">
      <text>
        <r>
          <rPr>
            <sz val="9"/>
            <color indexed="81"/>
            <rFont val="Tahoma"/>
            <family val="2"/>
            <charset val="186"/>
          </rPr>
          <t xml:space="preserve">Techn. projekto </t>
        </r>
        <r>
          <rPr>
            <b/>
            <sz val="9"/>
            <color indexed="81"/>
            <rFont val="Tahoma"/>
            <family val="2"/>
            <charset val="186"/>
          </rPr>
          <t xml:space="preserve">kaina 534 tūkst. eur </t>
        </r>
        <r>
          <rPr>
            <sz val="8"/>
            <color indexed="81"/>
            <rFont val="Tahoma"/>
            <family val="2"/>
            <charset val="186"/>
          </rPr>
          <t xml:space="preserve">(Geologinių, topografinių (geodezinių) tyrinėjimo dokumentų parengimas; Techninis projektas; Investicinis projektas; Detaliojo plano koregavimas) </t>
        </r>
        <r>
          <rPr>
            <b/>
            <sz val="8"/>
            <color indexed="81"/>
            <rFont val="Tahoma"/>
            <family val="2"/>
            <charset val="186"/>
          </rPr>
          <t>10 tūkst. eur ekspertizė</t>
        </r>
      </text>
    </comment>
    <comment ref="J28" authorId="0" shapeId="0">
      <text>
        <r>
          <rPr>
            <b/>
            <sz val="9"/>
            <color indexed="81"/>
            <rFont val="Tahoma"/>
            <family val="2"/>
            <charset val="186"/>
          </rPr>
          <t>2020-2022 VIP gauta</t>
        </r>
        <r>
          <rPr>
            <sz val="9"/>
            <color indexed="81"/>
            <rFont val="Tahoma"/>
            <family val="2"/>
            <charset val="186"/>
          </rPr>
          <t xml:space="preserve">
</t>
        </r>
      </text>
    </comment>
    <comment ref="F3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H39" authorId="0" shapeId="0">
      <text>
        <r>
          <rPr>
            <b/>
            <sz val="9"/>
            <color indexed="81"/>
            <rFont val="Tahoma"/>
            <family val="2"/>
            <charset val="186"/>
          </rPr>
          <t>ŽP</t>
        </r>
        <r>
          <rPr>
            <sz val="9"/>
            <color indexed="81"/>
            <rFont val="Tahoma"/>
            <family val="2"/>
            <charset val="186"/>
          </rPr>
          <t xml:space="preserve">
</t>
        </r>
      </text>
    </comment>
    <comment ref="F47" authorId="0" shapeId="0">
      <text>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O47" authorId="0" shapeId="0">
      <text>
        <r>
          <rPr>
            <sz val="9"/>
            <color indexed="81"/>
            <rFont val="Tahoma"/>
            <family val="2"/>
            <charset val="186"/>
          </rPr>
          <t>2019 metais planuojama atlikti 70 % darbų, nes darbų metu rasta archeologinių radinių, neiškeltas Baltijos laivų statyklos dujotiekis, gamyklos teritorijoje rastos kuro talpos kurias reikalinga utilizuoti. Visi išvardinti faktoriai trukdo laiku atlikti numatytus darbus, todėl projekto užbaigimas nukeliamas į 2020 metus.</t>
        </r>
      </text>
    </comment>
    <comment ref="F52"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M52" authorId="0" shapeId="0">
      <text>
        <r>
          <rPr>
            <b/>
            <sz val="9"/>
            <color indexed="81"/>
            <rFont val="Tahoma"/>
            <family val="2"/>
            <charset val="186"/>
          </rPr>
          <t>Į senamiesčio grindinio atnaujinimo projektą įtraukta priemonė "</t>
        </r>
        <r>
          <rPr>
            <sz val="9"/>
            <color indexed="81"/>
            <rFont val="Tahoma"/>
            <family val="2"/>
            <charset val="186"/>
          </rPr>
          <t>Tomo ir Pylimo g. rekonstravimas", iš viso bus tvarkomos 8 gatvės:
Žvejų g., Teatro g., Sukilėlių g., Daržų g. (nuo Pilies g. iki Aukštosios g.), Aukštoji g. (nuo Daržų g. iki Didžiosios Vandens g.), Didžioji Vandens g. (nuo Aukštosios g. iki Tiltų g.), Vežėjų g. (nuo Turgaus g. iki Daržų g.), Tomo ir Pylimo g.</t>
        </r>
      </text>
    </comment>
    <comment ref="F53"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2.1.2.8</t>
        </r>
        <r>
          <rPr>
            <sz val="9"/>
            <color indexed="81"/>
            <rFont val="Tahoma"/>
            <family val="2"/>
            <charset val="186"/>
          </rPr>
          <t xml:space="preserve"> Centrinėje miesto dalyje suformuoti pėsčiųjų takų, zonų ir gatvių tinklą </t>
        </r>
      </text>
    </comment>
    <comment ref="E55" authorId="0" shapeId="0">
      <text>
        <r>
          <rPr>
            <sz val="9"/>
            <color indexed="81"/>
            <rFont val="Tahoma"/>
            <family val="2"/>
            <charset val="186"/>
          </rPr>
          <t>SM programa 06.2.1-TID-R-511 pr.Vietinių kelių vystymas</t>
        </r>
      </text>
    </comment>
    <comment ref="F55"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M55" authorId="0" shapeId="0">
      <text>
        <r>
          <rPr>
            <sz val="9"/>
            <color indexed="81"/>
            <rFont val="Tahoma"/>
            <family val="2"/>
            <charset val="186"/>
          </rPr>
          <t xml:space="preserve"> Šios gatvės buvo sudėtinė projekto "Senamiesčio grindinio atnaujinimas ir universalaus dizaino pritaikymas", dalis, tačiau, esant situacijai, kai Bastionų g. tiesimui skirtas ES lėšas reikalinga panaudoti kitoms gatvėms tiesti, siūloma Teatro ir Sukilėlių gatves išskirti į atskirą investicinį projektą ir teikti paraišką dėl ES lėšų gavimo. </t>
        </r>
      </text>
    </comment>
    <comment ref="F57"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M57" authorId="0" shapeId="0">
      <text>
        <r>
          <rPr>
            <sz val="9"/>
            <color indexed="81"/>
            <rFont val="Tahoma"/>
            <family val="2"/>
            <charset val="186"/>
          </rPr>
          <t>Rekonstrukcija vykdoma kartu su LAKD (jie vykdo viešuosius pirkimus ir pasirašo sutartis)., vertė padidinta +400 dėl kapitalinių remonto darbų ir įgyvendinimo laikotarpis sutrumpintas iki 2021 metų (buvo iki 2022m.).</t>
        </r>
      </text>
    </comment>
    <comment ref="H58" authorId="0" shapeId="0">
      <text>
        <r>
          <rPr>
            <b/>
            <sz val="9"/>
            <color indexed="81"/>
            <rFont val="Tahoma"/>
            <family val="2"/>
            <charset val="186"/>
          </rPr>
          <t>ŽP</t>
        </r>
        <r>
          <rPr>
            <sz val="9"/>
            <color indexed="81"/>
            <rFont val="Tahoma"/>
            <family val="2"/>
            <charset val="186"/>
          </rPr>
          <t xml:space="preserve">
</t>
        </r>
      </text>
    </comment>
    <comment ref="F61" authorId="1" shapeId="0">
      <text>
        <r>
          <rPr>
            <sz val="9"/>
            <color indexed="81"/>
            <rFont val="Tahoma"/>
            <family val="2"/>
            <charset val="186"/>
          </rPr>
          <t>P1, 1.1.2. Parengtas ir įgyvendintas žvyruotų kelių asfaltavimo priemonių planas siekiant asfaltuoti ne mažiau kaip 10 km žvyruotų kelių, vnt</t>
        </r>
      </text>
    </comment>
    <comment ref="F66"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H71" authorId="0" shapeId="0">
      <text>
        <r>
          <rPr>
            <sz val="9"/>
            <color indexed="81"/>
            <rFont val="Tahoma"/>
            <family val="2"/>
            <charset val="186"/>
          </rPr>
          <t>Gyventojų lėšos</t>
        </r>
      </text>
    </comment>
    <comment ref="E75" authorId="0" shapeId="0">
      <text>
        <r>
          <rPr>
            <sz val="9"/>
            <color indexed="81"/>
            <rFont val="Tahoma"/>
            <family val="2"/>
            <charset val="186"/>
          </rPr>
          <t>Vadovaujantis  2005-04-21  Vyriausybės nutarimu Nr.447 įtraukiama nauja priemonė - parengti Mėgėjų sodų teritorijos kelių remonto techninius projektus. Susisiekimo ministerijos 2019-06-03 rašte Nr.2-4375 buvo pateiktas lėšų skyrimo tvarkos išaiškinimas, jog  savivaldybė turi skirti ne mažiau kaip 30 proc., tačiau ne daugiau kai 50 proc. nuosavų lėšų sodų bendrijų kelių remontui</t>
        </r>
      </text>
    </comment>
    <comment ref="F75" authorId="1" shapeId="0">
      <text>
        <r>
          <rPr>
            <sz val="9"/>
            <color indexed="81"/>
            <rFont val="Tahoma"/>
            <family val="2"/>
            <charset val="186"/>
          </rPr>
          <t>P1, 1.1.2. Parengtas ir įgyvendintas žvyruotų kelių asfaltavimo priemonių planas siekiant asfaltuoti ne mažiau kaip 10 km žvyruotų kelių, vnt</t>
        </r>
      </text>
    </comment>
    <comment ref="M75" authorId="0" shapeId="0">
      <text>
        <r>
          <rPr>
            <b/>
            <sz val="9"/>
            <color indexed="81"/>
            <rFont val="Tahoma"/>
            <family val="2"/>
            <charset val="186"/>
          </rPr>
          <t>Sodų bendrijo:</t>
        </r>
        <r>
          <rPr>
            <sz val="9"/>
            <color indexed="81"/>
            <rFont val="Tahoma"/>
            <family val="2"/>
            <charset val="186"/>
          </rPr>
          <t xml:space="preserve">
Aušrinės g. (Sodininkų bendrija "Aušra");
Baltijos 13-oji g. (Sodininkų bendrija "Baltija");
Tylos g. (Sodininkų bendrija "Diana I");
Dianos g. (Sodininkų bendrija "Diana II");
Baltijos 1-oji g. (Sodininkų bendrija "Baltija");
Inkaro 1-oji g. (Sodininkų bendrija "Inkaras");
Sąrašas pagal atliktą gatvių reitingavimą, tarybos aprašas tvirtintas taryboje spalio 24 d.
</t>
        </r>
      </text>
    </comment>
    <comment ref="E78" authorId="0" shapeId="0">
      <text>
        <r>
          <rPr>
            <sz val="9"/>
            <color indexed="81"/>
            <rFont val="Tahoma"/>
            <family val="2"/>
            <charset val="186"/>
          </rPr>
          <t>Nauja priemonė. 2017 m. kovo 30 d. tarybos sprendimas Nr. T2-75 patvirtintu Fizinių ar juridinių asmenų, pageidaujančių skirti tikslinių lėšų Klaipėdos miesto savivaldybės teritorijoje esančiai viešai susisiekimo infrastruktūrai, pasiūlymų teikimo, vertinimo, pripažinimo tinkamais įgyvendinti ir finansavimo tvarkos aprašas (pakeitimas 2018 m. liepos 26 d. tarybos sprendimu Nr. T2-181). 2019-09-24 rašte Nr. VS-4824 siūloma įgyvendinti Užlaukio ir Dienovidžio gatvių įrengimo I-ąjį etapą (~700m) ir Dailės gatvės remonto projektą (~200m).</t>
        </r>
      </text>
    </comment>
    <comment ref="M80" authorId="0" shapeId="0">
      <text>
        <r>
          <rPr>
            <sz val="9"/>
            <color indexed="81"/>
            <rFont val="Tahoma"/>
            <family val="2"/>
            <charset val="186"/>
          </rPr>
          <t>Poreikis paaiškės po pasiūlymų tekimo ir gatvių atrankos. Naujas konkursas bus skelbiamas 2022 m.</t>
        </r>
      </text>
    </comment>
    <comment ref="L83" authorId="0" shapeId="0">
      <text>
        <r>
          <rPr>
            <b/>
            <sz val="9"/>
            <color indexed="81"/>
            <rFont val="Tahoma"/>
            <family val="2"/>
            <charset val="186"/>
          </rPr>
          <t>pirminis SVP</t>
        </r>
      </text>
    </comment>
    <comment ref="M83" authorId="0" shapeId="0">
      <text>
        <r>
          <rPr>
            <sz val="9"/>
            <color indexed="81"/>
            <rFont val="Tahoma"/>
            <family val="2"/>
            <charset val="186"/>
          </rPr>
          <t xml:space="preserve">Paupių bendruomenės pastaba, pradinis SVP
</t>
        </r>
      </text>
    </comment>
    <comment ref="F86"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88"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M88" authorId="0" shapeId="0">
      <text>
        <r>
          <rPr>
            <sz val="9"/>
            <color indexed="81"/>
            <rFont val="Tahoma"/>
            <family val="2"/>
            <charset val="186"/>
          </rPr>
          <t>darbai nebus vykdomi dėl per didelės projekto finansinės vertės.</t>
        </r>
      </text>
    </comment>
    <comment ref="M90" authorId="0" shapeId="0">
      <text>
        <r>
          <rPr>
            <sz val="9"/>
            <color indexed="81"/>
            <rFont val="Tahoma"/>
            <family val="2"/>
            <charset val="186"/>
          </rPr>
          <t>Savivaldybė LR Aplinkos ministerijai buvo pateikusi siūlymus susijusius su Pajūrio juostos žemyninės dalies specialiojo plano (SP) koregavimu. Dėl  SP grafinės dalies ir vieno iš sprendinių, kuriame vietoje nurodyto privažiavimo prie jūros palei Klaipėdos miesto ir rajono savivaldybių ribą paprašyta pakeisti į žvejų ir žvejybos įmonių naudojamą privažiavimą prie jūros arčiau Girulių.  Taip pat paprašyta sprendinį, kuriame nurodomos vietos galimoms žvejų prieplaukoms papildyti Klaipėdos miesto rekreaciniu ruožu. Į prašymus dėl SP papildymo naujais sprendiniais buvo atsižvelgta ir patvirtinta 2019-06-28 LR Žemės ūkio ministro įsakymu Nr.3D-392. Norint gauti ES paramą, savivaldybė teisėtais pagrindais turi valdyti iškrovimo vietą, kurioje numatoma atlikti investicijas, t. y. žemė turi priklausyti savivaldybei. Būtina atlikti žemės perdavimo  naudotis savivaldybei procedūras ( arba sudaryti panaudos sutartį, arba nustatyti servitutą).Kol nebus atliktos šios procedūros, nėra galimybės organizuoti projektavimo darbus.</t>
        </r>
      </text>
    </comment>
    <comment ref="F96"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H96"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F102"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109" authorId="0" shapeId="0">
      <text>
        <r>
          <rPr>
            <b/>
            <sz val="9"/>
            <color indexed="81"/>
            <rFont val="Tahoma"/>
            <family val="2"/>
            <charset val="186"/>
          </rPr>
          <t xml:space="preserve">P6, Klaipėdos miesto ekonominės plėtros strategija ir įgyvendinimo veiksmų planas iki 2030 metų, 3.3.3. priemonė </t>
        </r>
        <r>
          <rPr>
            <sz val="9"/>
            <color indexed="81"/>
            <rFont val="Tahoma"/>
            <family val="2"/>
            <charset val="186"/>
          </rPr>
          <t xml:space="preserve">
</t>
        </r>
        <r>
          <rPr>
            <b/>
            <sz val="9"/>
            <color indexed="81"/>
            <rFont val="Tahoma"/>
            <family val="2"/>
            <charset val="186"/>
          </rPr>
          <t>P1,</t>
        </r>
        <r>
          <rPr>
            <sz val="9"/>
            <color indexed="81"/>
            <rFont val="Tahoma"/>
            <family val="2"/>
            <charset val="186"/>
          </rPr>
          <t xml:space="preserve"> 2.2. Miestui, uostui ir verslui aktualių investicijų projektų įgyvendinimas (1) Baltijos-Šilutės pl. sankryžos rekonstrukcija; 2) Statybininkų pr. pratęsimas iki 141 kelio; 3) Pietinio aplinkkelio įrengimas)</t>
        </r>
      </text>
    </comment>
    <comment ref="F112"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F114"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E117" authorId="0" shapeId="0">
      <text>
        <r>
          <rPr>
            <sz val="9"/>
            <color indexed="81"/>
            <rFont val="Tahoma"/>
            <family val="2"/>
            <charset val="186"/>
          </rPr>
          <t>priemonė įvykdyta, atlikti paprastojo remonto darbai</t>
        </r>
      </text>
    </comment>
    <comment ref="N133" authorId="0" shapeId="0">
      <text>
        <r>
          <rPr>
            <b/>
            <sz val="9"/>
            <color indexed="81"/>
            <rFont val="Tahoma"/>
            <family val="2"/>
            <charset val="186"/>
          </rPr>
          <t>59 445 kv.m</t>
        </r>
        <r>
          <rPr>
            <sz val="9"/>
            <color indexed="81"/>
            <rFont val="Tahoma"/>
            <family val="2"/>
            <charset val="186"/>
          </rPr>
          <t xml:space="preserve">
</t>
        </r>
      </text>
    </comment>
    <comment ref="J142" authorId="0" shapeId="0">
      <text>
        <r>
          <rPr>
            <sz val="9"/>
            <color indexed="81"/>
            <rFont val="Tahoma"/>
            <family val="2"/>
            <charset val="186"/>
          </rPr>
          <t xml:space="preserve">perkelta į šviesoforus
</t>
        </r>
      </text>
    </comment>
    <comment ref="N142" authorId="0" shapeId="0">
      <text>
        <r>
          <rPr>
            <sz val="9"/>
            <color indexed="81"/>
            <rFont val="Tahoma"/>
            <family val="2"/>
            <charset val="186"/>
          </rPr>
          <t xml:space="preserve">44 875 kv.m
</t>
        </r>
      </text>
    </comment>
    <comment ref="O142" authorId="0" shapeId="0">
      <text>
        <r>
          <rPr>
            <sz val="9"/>
            <color indexed="81"/>
            <rFont val="Tahoma"/>
            <family val="2"/>
            <charset val="186"/>
          </rPr>
          <t xml:space="preserve">44 875 kv.m
Hektaras (ha) – ploto matavimo vienetas, lygus 10 000 m² </t>
        </r>
      </text>
    </comment>
    <comment ref="O143" authorId="0" shapeId="0">
      <text>
        <r>
          <rPr>
            <sz val="9"/>
            <color indexed="81"/>
            <rFont val="Tahoma"/>
            <family val="2"/>
            <charset val="186"/>
          </rPr>
          <t xml:space="preserve">12960 kv.m
Hektaras (ha) – ploto matavimo vienetas, lygus 10 000 m² 
</t>
        </r>
      </text>
    </comment>
    <comment ref="M144" authorId="0" shapeId="0">
      <text>
        <r>
          <rPr>
            <sz val="9"/>
            <color indexed="81"/>
            <rFont val="Tahoma"/>
            <family val="2"/>
            <charset val="186"/>
          </rPr>
          <t>Pasirašyta sutartis senamiesčio dangų pritaikymo neįgaliesiems pritaikymo darbams. Darbai bus pradėti spalio pradžioje. Vyksta paruošiamieji darbai (derinami leidimai, perkamos medžiagos).
Priežiūros darbai vykdomi pagal poreikį.
Senamiesčio dangų pirtaikymas neįgaliesiems pagal parengtą aprašą (2018-09-18  UAB "Klaipėdos projektas" sutartis Nr. J9-1944)</t>
        </r>
      </text>
    </comment>
    <comment ref="M145" authorId="0" shapeId="0">
      <text>
        <r>
          <rPr>
            <sz val="9"/>
            <color indexed="81"/>
            <rFont val="Tahoma"/>
            <family val="2"/>
            <charset val="186"/>
          </rPr>
          <t xml:space="preserve">kasmet susidaro apie nuo 131-140 kiemų
</t>
        </r>
      </text>
    </comment>
    <comment ref="N145" authorId="0" shapeId="0">
      <text>
        <r>
          <rPr>
            <sz val="9"/>
            <color indexed="81"/>
            <rFont val="Tahoma"/>
            <family val="2"/>
            <charset val="186"/>
          </rPr>
          <t>18 180 kv.m</t>
        </r>
      </text>
    </comment>
    <comment ref="O145" authorId="0" shapeId="0">
      <text>
        <r>
          <rPr>
            <b/>
            <sz val="9"/>
            <color indexed="81"/>
            <rFont val="Tahoma"/>
            <family val="2"/>
            <charset val="186"/>
          </rPr>
          <t>Audra Cepiene:</t>
        </r>
        <r>
          <rPr>
            <sz val="9"/>
            <color indexed="81"/>
            <rFont val="Tahoma"/>
            <family val="2"/>
            <charset val="186"/>
          </rPr>
          <t xml:space="preserve">
17800 kv.m </t>
        </r>
      </text>
    </comment>
    <comment ref="N148" authorId="0" shapeId="0">
      <text>
        <r>
          <rPr>
            <sz val="9"/>
            <color indexed="81"/>
            <rFont val="Tahoma"/>
            <family val="2"/>
            <charset val="186"/>
          </rPr>
          <t xml:space="preserve">6600 kv.m
</t>
        </r>
      </text>
    </comment>
    <comment ref="O148" authorId="0" shapeId="0">
      <text>
        <r>
          <rPr>
            <b/>
            <sz val="9"/>
            <color indexed="81"/>
            <rFont val="Tahoma"/>
            <family val="2"/>
            <charset val="186"/>
          </rPr>
          <t>4000 kv.m</t>
        </r>
        <r>
          <rPr>
            <sz val="9"/>
            <color indexed="81"/>
            <rFont val="Tahoma"/>
            <family val="2"/>
            <charset val="186"/>
          </rPr>
          <t xml:space="preserve">
</t>
        </r>
      </text>
    </comment>
    <comment ref="M149" authorId="0" shapeId="0">
      <text>
        <r>
          <rPr>
            <b/>
            <sz val="9"/>
            <color indexed="81"/>
            <rFont val="Tahoma"/>
            <family val="2"/>
            <charset val="186"/>
          </rPr>
          <t xml:space="preserve">2019 m. </t>
        </r>
        <r>
          <rPr>
            <sz val="9"/>
            <color indexed="81"/>
            <rFont val="Tahoma"/>
            <family val="2"/>
            <charset val="186"/>
          </rPr>
          <t xml:space="preserve">
Senamiesčio gatvės 
Ligoninės g.
Vytauto g.
Gedminų g.
Pievų tako g.
Jurginų g.
Poilsio g.
Medžiotojų g.
Naikupės g.
Tilžės g.
</t>
        </r>
      </text>
    </comment>
    <comment ref="N149" authorId="0" shapeId="0">
      <text>
        <r>
          <rPr>
            <b/>
            <sz val="9"/>
            <color indexed="81"/>
            <rFont val="Tahoma"/>
            <family val="2"/>
            <charset val="186"/>
          </rPr>
          <t>11 000 kv.m</t>
        </r>
        <r>
          <rPr>
            <sz val="9"/>
            <color indexed="81"/>
            <rFont val="Tahoma"/>
            <family val="2"/>
            <charset val="186"/>
          </rPr>
          <t xml:space="preserve">
</t>
        </r>
      </text>
    </comment>
    <comment ref="M150" authorId="0" shapeId="0">
      <text>
        <r>
          <rPr>
            <sz val="9"/>
            <color indexed="81"/>
            <rFont val="Tahoma"/>
            <family val="2"/>
            <charset val="186"/>
          </rPr>
          <t>aprašas yra</t>
        </r>
      </text>
    </comment>
    <comment ref="M152" authorId="0" shapeId="0">
      <text>
        <r>
          <rPr>
            <sz val="9"/>
            <color indexed="81"/>
            <rFont val="Tahoma"/>
            <family val="2"/>
            <charset val="186"/>
          </rPr>
          <t>S. Neries g. šaligatviai buvo tvarkyti 2016 m. Kompleksiško atnaujinimo klausimas bus sprendžiamas priėmus sprendimą dėl želdinių tvarkymo.</t>
        </r>
      </text>
    </comment>
    <comment ref="N153" authorId="0" shapeId="0">
      <text>
        <r>
          <rPr>
            <b/>
            <sz val="9"/>
            <color indexed="81"/>
            <rFont val="Tahoma"/>
            <family val="2"/>
            <charset val="186"/>
          </rPr>
          <t xml:space="preserve">2019 m. išasfaltuota kiemų: </t>
        </r>
        <r>
          <rPr>
            <sz val="9"/>
            <color indexed="81"/>
            <rFont val="Tahoma"/>
            <family val="2"/>
            <charset val="186"/>
          </rPr>
          <t>Dėl išaugusių darbų kainų kiemų ir privažiuojamųjų kelių dangų remonto darbai atlikti tik prie 8 įstaigų (Žaliakalnio gimnazija, l/d „Berželis“, l/d „Atžalynas“, l/d „Želmenėlis“, vaikų globos namai „Smiltelė“, Vitės progimnazija, Ąžuolyno gimnazija, Kadetų mokykla)</t>
        </r>
        <r>
          <rPr>
            <b/>
            <sz val="9"/>
            <color indexed="81"/>
            <rFont val="Tahoma"/>
            <family val="2"/>
            <charset val="186"/>
          </rPr>
          <t xml:space="preserve">
Planuota 14 vnt. UKD </t>
        </r>
        <r>
          <rPr>
            <sz val="9"/>
            <color indexed="81"/>
            <rFont val="Tahoma"/>
            <family val="2"/>
            <charset val="186"/>
          </rPr>
          <t xml:space="preserve">pateikė poreikį šioms įstaigoms: 7 bendrojo ugdymo mokykloms ir 7 lopšeliams darželiams: </t>
        </r>
        <r>
          <rPr>
            <b/>
            <sz val="9"/>
            <color indexed="81"/>
            <rFont val="Tahoma"/>
            <family val="2"/>
            <charset val="186"/>
          </rPr>
          <t xml:space="preserve">
(darbai jau vykdomi prie šių įstaigų)
L/d "Berželis";
 L/d "Vėrinėlis"
L/d "Atžalynas"; 
Vitės progimnazija; 
"Žaliakalnio" gimnazija;
"Ąžuolyno" gimnazija;
</t>
        </r>
        <r>
          <rPr>
            <sz val="9"/>
            <color indexed="81"/>
            <rFont val="Tahoma"/>
            <family val="2"/>
            <charset val="186"/>
          </rPr>
          <t xml:space="preserve">(nepradėti vykdyti)
L/d "Želemenėlis";
L/d "Bangelė";
L/d "Pakalnutė";
L/d "Linelis";
"Gabijos" progimnazija;
"Versmės"  progimnazija;
"Vyturio" progimnazija;
Martyno Mažvydo progimnazija.
</t>
        </r>
        <r>
          <rPr>
            <b/>
            <sz val="9"/>
            <color indexed="81"/>
            <rFont val="Tahoma"/>
            <family val="2"/>
            <charset val="186"/>
          </rPr>
          <t xml:space="preserve">
2019 m. pradžioje SRD</t>
        </r>
        <r>
          <rPr>
            <sz val="9"/>
            <color indexed="81"/>
            <rFont val="Tahoma"/>
            <family val="2"/>
            <charset val="186"/>
          </rPr>
          <t xml:space="preserve"> pateikė poreikį 1 įstaigai, tačiau 23,1 tūkst. Eur lėšos nebuvo suplanuotos.
BĮ Klaipėdos vaikų globos namuose „Smiltelė“ kelio dangos remontas, kv. m. (darbai vykdomi) </t>
        </r>
        <r>
          <rPr>
            <b/>
            <sz val="9"/>
            <color indexed="81"/>
            <rFont val="Tahoma"/>
            <family val="2"/>
            <charset val="186"/>
          </rPr>
          <t xml:space="preserve">
</t>
        </r>
      </text>
    </comment>
    <comment ref="O153" authorId="0" shapeId="0">
      <text>
        <r>
          <rPr>
            <b/>
            <sz val="9"/>
            <color indexed="81"/>
            <rFont val="Tahoma"/>
            <family val="2"/>
            <charset val="186"/>
          </rPr>
          <t>2020 m.  bus 4 įstaigos (209.000 Eur):</t>
        </r>
        <r>
          <rPr>
            <sz val="9"/>
            <color indexed="81"/>
            <rFont val="Tahoma"/>
            <family val="2"/>
            <charset val="186"/>
          </rPr>
          <t xml:space="preserve">
1. "Žaliakalnio" gimnazija (iš 2019 m.);
2. "Versmės" progimnazija;
3.  L/d "Bangelė";
4. Nakvynės namai, Viršutinės g. 21.
5. Klaipėdos Vydūno gimnazijos kiemo remontas</t>
        </r>
      </text>
    </comment>
    <comment ref="P153" authorId="0" shapeId="0">
      <text>
        <r>
          <rPr>
            <b/>
            <sz val="9"/>
            <color indexed="81"/>
            <rFont val="Tahoma"/>
            <family val="2"/>
            <charset val="186"/>
          </rPr>
          <t>2021 m. bus 8 įstaigos( 543.000 Eur):</t>
        </r>
        <r>
          <rPr>
            <sz val="9"/>
            <color indexed="81"/>
            <rFont val="Tahoma"/>
            <family val="2"/>
            <charset val="186"/>
          </rPr>
          <t xml:space="preserve">
1. L/d Pakalnutė;
2. Gabijos progimnazija;
3. Vyturio progimnazija;
4. Martyno Mažvydo progimnazija;
5. L/d Žemuogėlė;
6. Vydūno gimnazija;
7. Jaronimo Kačinsko muzikos mokykla
8. Vėtrungės gimnazija.
</t>
        </r>
      </text>
    </comment>
    <comment ref="Q153" authorId="0" shapeId="0">
      <text>
        <r>
          <rPr>
            <b/>
            <sz val="9"/>
            <color indexed="81"/>
            <rFont val="Tahoma"/>
            <family val="2"/>
            <charset val="186"/>
          </rPr>
          <t>2022 m. bus 8 įstaigos (416.900 Eur):</t>
        </r>
        <r>
          <rPr>
            <sz val="9"/>
            <color indexed="81"/>
            <rFont val="Tahoma"/>
            <family val="2"/>
            <charset val="186"/>
          </rPr>
          <t xml:space="preserve">
1. L/d Inkarėlis;
2. L/d Aitvarėlis;
3. L/d Radastėlė;
4. L/d Žuvėdra;
5. L/d Šermukšnėlė;
6. Maksimo Gorkio progimnazija;
7. Klaipėdos suaugusiųjų gimanzija;
8. Verdenės gimnazija.
</t>
        </r>
      </text>
    </comment>
    <comment ref="N159" authorId="0" shapeId="0">
      <text>
        <r>
          <rPr>
            <sz val="9"/>
            <color indexed="81"/>
            <rFont val="Tahoma"/>
            <family val="2"/>
            <charset val="186"/>
          </rPr>
          <t xml:space="preserve">Pasirašyta sutartis projektavimui. </t>
        </r>
      </text>
    </comment>
    <comment ref="M160" authorId="0" shapeId="0">
      <text>
        <r>
          <rPr>
            <sz val="9"/>
            <color indexed="81"/>
            <rFont val="Tahoma"/>
            <family val="2"/>
            <charset val="186"/>
          </rPr>
          <t>Bus sujungiamos dvi automobilių aikštelės. Darbų apimtis - 10 metrų važiuojamosios dalies.</t>
        </r>
      </text>
    </comment>
    <comment ref="E163" authorId="0" shapeId="0">
      <text>
        <r>
          <rPr>
            <sz val="9"/>
            <color indexed="81"/>
            <rFont val="Tahoma"/>
            <family val="2"/>
            <charset val="186"/>
          </rPr>
          <t>parkavimo vietų subraižymas, žaliųjų vejų ir skverų sutvarkymas</t>
        </r>
      </text>
    </comment>
    <comment ref="F174"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76" authorId="0" shapeId="0">
      <text>
        <r>
          <rPr>
            <b/>
            <sz val="9"/>
            <color indexed="81"/>
            <rFont val="Tahoma"/>
            <family val="2"/>
            <charset val="186"/>
          </rPr>
          <t>P1 1.3. Ekologiško bei visiems prieinamo viešojo transporto  sistemos įdiegimas</t>
        </r>
        <r>
          <rPr>
            <sz val="9"/>
            <color indexed="81"/>
            <rFont val="Tahoma"/>
            <family val="2"/>
            <charset val="186"/>
          </rPr>
          <t xml:space="preserve">
1.3.2. Socialiai jautrių visuomenės grupių (moksleiviai, studentai ir senjorai), kuriems įvestos papildomos nuolaidos įsigyjant viešojo transporto bilietus, skaičius </t>
        </r>
      </text>
    </comment>
    <comment ref="M178" authorId="0" shapeId="0">
      <text>
        <r>
          <rPr>
            <sz val="9"/>
            <color indexed="81"/>
            <rFont val="Tahoma"/>
            <family val="2"/>
            <charset val="186"/>
          </rPr>
          <t xml:space="preserve">Vadovaujantis 2019-04-12 savivaldybės tarybos sprendimu Nr. T2-111, kuriame numatyta nuolaida įsigyjant viešojo transporto bilietus Klaipėdos mieste esančių mokyklų 1–4 klasių mokiniams, siūloma kainų skirtumą (118,8 tūkst. Eur)  finansuoti iš savivaldybės biudžeto lėšų. Numatyta, kad šiai tikslinei grupei 9 mokslo metų mėnesių vardinis bilietas, galiosiantis tik darbo dienomis, kainuos 10 Eur (taikoma 94 proc. nuolaida). Iš viso sprendimo įgyvendinimui reikalinga 194 tūkst. Eur  kompensavimo lėšų. 75,2 tūkst. Eur buvo suplanuoti ankstesniu  sprendimu (2019 m. gegužės 30 d. sprendimas Nr. T2-145), kuriuo keistas strateginis veiklos planas
</t>
        </r>
      </text>
    </comment>
    <comment ref="M182" authorId="0" shapeId="0">
      <text>
        <r>
          <rPr>
            <b/>
            <sz val="9"/>
            <color indexed="81"/>
            <rFont val="Tahoma"/>
            <family val="2"/>
            <charset val="186"/>
          </rPr>
          <t>socialinės grupės</t>
        </r>
        <r>
          <rPr>
            <sz val="9"/>
            <color indexed="81"/>
            <rFont val="Tahoma"/>
            <family val="2"/>
            <charset val="186"/>
          </rPr>
          <t xml:space="preserve"> 
1. senjorai 80+ viso ~180 000
2. senjorai 70-79 viso ~1 000 000, papildomai nuo dabar mokamų 400 000
3. Senjorai 63-69 (išėjus į pensiją) viso 500 000,  papildomai nuo dabar mokamų 300 000  </t>
        </r>
      </text>
    </comment>
    <comment ref="N183" authorId="0" shapeId="0">
      <text>
        <r>
          <rPr>
            <sz val="9"/>
            <color indexed="81"/>
            <rFont val="Tahoma"/>
            <family val="2"/>
            <charset val="186"/>
          </rPr>
          <t xml:space="preserve">2019 m.
1.1. Lietuvos valstybės atkūrimo dieną, 2019 m. vasario 16 d.;
1.2. Klaipėdos šviesų festivalio metu, 2019 m. vasario 17 d.;
1.3. Lietuvos vaikų ir jaunimo dainų šventė “Mes Lietuvos vaikai“, 2019 m. birželio 14-16 d. (renginio dalyviams)
1.4. Tarptautinio nematerialiojo paveldo festivalis ”Lauksnos“, 2019 m. liepos 11-14 d.  (renginio dalyviams)
1.5. Jūros šventės metu, 2019 m. liepos 26-28 d.
1.6. Dieną be automobilio, 2019 m. rugsėjo 20 d.
</t>
        </r>
      </text>
    </comment>
    <comment ref="O183" authorId="0" shapeId="0">
      <text>
        <r>
          <rPr>
            <b/>
            <sz val="9"/>
            <color indexed="81"/>
            <rFont val="Tahoma"/>
            <family val="2"/>
            <charset val="186"/>
          </rPr>
          <t xml:space="preserve">2020 m. </t>
        </r>
        <r>
          <rPr>
            <sz val="9"/>
            <color indexed="81"/>
            <rFont val="Tahoma"/>
            <family val="2"/>
            <charset val="186"/>
          </rPr>
          <t xml:space="preserve">
</t>
        </r>
        <r>
          <rPr>
            <b/>
            <sz val="9"/>
            <color indexed="81"/>
            <rFont val="Tahoma"/>
            <family val="2"/>
            <charset val="186"/>
          </rPr>
          <t>1.1. visiems keleiviams:</t>
        </r>
        <r>
          <rPr>
            <sz val="9"/>
            <color indexed="81"/>
            <rFont val="Tahoma"/>
            <family val="2"/>
            <charset val="186"/>
          </rPr>
          <t xml:space="preserve">
1.1.1. Lietuvos valstybės atkūrimo dienos ir Klaipėdos šviesų festivalio metu, 2020 m. vasario 14–16 d.;
1.1.2. Jūros šventės metu, 2020 m. liepos 24–26 d.; 
1.1.3. Dieną be automobilio, 2020 m. rugsėjo 22 d.;
</t>
        </r>
        <r>
          <rPr>
            <b/>
            <sz val="9"/>
            <color indexed="81"/>
            <rFont val="Tahoma"/>
            <family val="2"/>
            <charset val="186"/>
          </rPr>
          <t>1.2. tik renginio dalyviams:</t>
        </r>
        <r>
          <rPr>
            <sz val="9"/>
            <color indexed="81"/>
            <rFont val="Tahoma"/>
            <family val="2"/>
            <charset val="186"/>
          </rPr>
          <t xml:space="preserve">
1.2.1. Lietuvos vakarų krašto dainų šventės metu, 2020 m. birželio 13–14 d.;
1.2.2. Tarptautinio festivalio „Europiada“ metu, 2020 m. rugpjūčio 5–9 d.;
1.2.3. Pasaulio salės futbolo čempionato metu, 2020 m. rugpjūčio 29 d.–spalio 5 d.
</t>
        </r>
        <r>
          <rPr>
            <b/>
            <i/>
            <sz val="9"/>
            <color indexed="81"/>
            <rFont val="Tahoma"/>
            <family val="2"/>
            <charset val="186"/>
          </rPr>
          <t>bet ne daugiau kaip 201,59 tūkst. Eur</t>
        </r>
      </text>
    </comment>
    <comment ref="I187" authorId="0" shapeId="0">
      <text>
        <r>
          <rPr>
            <sz val="9"/>
            <color indexed="81"/>
            <rFont val="Tahoma"/>
            <family val="2"/>
            <charset val="186"/>
          </rPr>
          <t xml:space="preserve">įsakymu bus įrašytos lėšos iš vežėjų už trasportą
</t>
        </r>
      </text>
    </comment>
    <comment ref="O188" authorId="0" shapeId="0">
      <text>
        <r>
          <rPr>
            <sz val="9"/>
            <color indexed="81"/>
            <rFont val="Tahoma"/>
            <family val="2"/>
            <charset val="186"/>
          </rPr>
          <t xml:space="preserve">Nuostoliai auga, nes UAB „Klaipėdos autobusų parkas“ įsigijo 18 ekologiškų autobusų </t>
        </r>
      </text>
    </comment>
    <comment ref="M194" authorId="0" shapeId="0">
      <text>
        <r>
          <rPr>
            <sz val="9"/>
            <color indexed="81"/>
            <rFont val="Tahoma"/>
            <family val="2"/>
            <charset val="186"/>
          </rPr>
          <t>Maršrutas yra nuo 2017-10-01. 2018-2019 metais padidinus šiuo metu vis dar nebrangią kelionės kainą pavyko stabilizuoti situaciją, tačiau nuostolio išvengti nepavyksta. Maršruto tvarkaraštis orientuotas į skydžių tvarkaraštį.</t>
        </r>
      </text>
    </comment>
    <comment ref="M195" authorId="0" shapeId="0">
      <text>
        <r>
          <rPr>
            <sz val="9"/>
            <color indexed="81"/>
            <rFont val="Tahoma"/>
            <family val="2"/>
            <charset val="186"/>
          </rPr>
          <t xml:space="preserve">
2019 metais nusprendus kompensuoti sąnaudas, buvo pratęsta sutartis su vežėju</t>
        </r>
      </text>
    </comment>
    <comment ref="M196" authorId="0" shapeId="0">
      <text>
        <r>
          <rPr>
            <sz val="9"/>
            <color indexed="81"/>
            <rFont val="Tahoma"/>
            <family val="2"/>
            <charset val="186"/>
          </rPr>
          <t>Nuo 2018-04 susitarimas dėl LEZ maršrutų aptarnavimo ir nuostolių kompensavimo. 2020 metams skaičiuojamas poreikis visiems 12 mėn. Nuostolio dydį gali koreguotis, kiekvieną mėn. teikiamoms bilietų pardavimo ataskaitoms</t>
        </r>
      </text>
    </comment>
    <comment ref="F198"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199" authorId="0" shapeId="0">
      <text>
        <r>
          <rPr>
            <sz val="9"/>
            <color indexed="81"/>
            <rFont val="Tahoma"/>
            <family val="2"/>
            <charset val="186"/>
          </rPr>
          <t xml:space="preserve">P2 Klaipėdos miesto darnaus judumo planas (2018-09-13, T2-185)
</t>
        </r>
        <r>
          <rPr>
            <b/>
            <sz val="9"/>
            <color indexed="81"/>
            <rFont val="Tahoma"/>
            <family val="2"/>
            <charset val="186"/>
          </rPr>
          <t xml:space="preserve">KEPS </t>
        </r>
        <r>
          <rPr>
            <sz val="9"/>
            <color indexed="81"/>
            <rFont val="Tahoma"/>
            <family val="2"/>
            <charset val="186"/>
          </rPr>
          <t>Klaipėdos miesto ekonominės plėtros strategija ir įgyvendinimo veiksmų planas iki 2030 metų, 3.3.4. priemonė</t>
        </r>
      </text>
    </comment>
    <comment ref="M199" authorId="0" shapeId="0">
      <text>
        <r>
          <rPr>
            <b/>
            <sz val="9"/>
            <color indexed="81"/>
            <rFont val="Tahoma"/>
            <family val="2"/>
            <charset val="186"/>
          </rPr>
          <t>Integruota autobusų ir maršrutinių taksi yra 205 vnt.</t>
        </r>
        <r>
          <rPr>
            <sz val="9"/>
            <color indexed="81"/>
            <rFont val="Tahoma"/>
            <family val="2"/>
            <charset val="186"/>
          </rPr>
          <t xml:space="preserve">
</t>
        </r>
      </text>
    </comment>
    <comment ref="O199" authorId="0" shapeId="0">
      <text>
        <r>
          <rPr>
            <b/>
            <sz val="9"/>
            <color indexed="81"/>
            <rFont val="Tahoma"/>
            <family val="2"/>
            <charset val="186"/>
          </rPr>
          <t>Sutarties atsiskaitymas iki 2020 m. balandžio 1 d.</t>
        </r>
        <r>
          <rPr>
            <sz val="9"/>
            <color indexed="81"/>
            <rFont val="Tahoma"/>
            <family val="2"/>
            <charset val="186"/>
          </rPr>
          <t xml:space="preserve">
</t>
        </r>
      </text>
    </comment>
    <comment ref="E201" authorId="0" shapeId="0">
      <text>
        <r>
          <rPr>
            <sz val="9"/>
            <color indexed="81"/>
            <rFont val="Tahoma"/>
            <family val="2"/>
            <charset val="186"/>
          </rPr>
          <t xml:space="preserve">VšĮ KKT siūlo tobulinti viešojo transporto paslaugą bei pagerinti keleivių informavimo sistemą. Tai regėjimo negalią turintiems žmonėms skirtas inovatyvus sprendimas, realiu laiku teikiantis garsinę informaciją apie atvažiuojantį viešąjį transportą. Veikia su Android išmaniaisiais telefonais. Kiekvienoje stotelėje ir kiekviename autobuse įengimas bluetooth švyturys, kuris susijungia su išmaniuoju telefonu ir taip suteikia aplikacijai reikiamus duomenis.
Šis sprendimas veikia Kaune, Šiauliuose ir rudenį planuojamas paleisti Vilniuje. Todėl pačio sprendimo nereikia kurti naujai, o jį reikėtų tik suintegruoti į jau esamą sprendimą. Šis produktas autorinėmis teisėmis priklauso Kauno autobusų parkui. Iš jų VšĮ Klaipėdos keleivinis transportas gavo  sutikimą naudotis šiuo sprendimu. 
</t>
        </r>
        <r>
          <rPr>
            <b/>
            <sz val="9"/>
            <color indexed="81"/>
            <rFont val="Tahoma"/>
            <family val="2"/>
            <charset val="186"/>
          </rPr>
          <t>VšĮ KKT įsipareigotų mokėti 400 eur aplikacijos palaikymo mokestį.</t>
        </r>
      </text>
    </comment>
    <comment ref="F203"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O204" authorId="0" shapeId="0">
      <text>
        <r>
          <rPr>
            <b/>
            <sz val="9"/>
            <color indexed="81"/>
            <rFont val="Tahoma"/>
            <family val="2"/>
            <charset val="186"/>
          </rPr>
          <t>Stotelės</t>
        </r>
        <r>
          <rPr>
            <sz val="9"/>
            <color indexed="81"/>
            <rFont val="Tahoma"/>
            <family val="2"/>
            <charset val="186"/>
          </rPr>
          <t xml:space="preserve">
2020 m. 
1. Kauno stotelė pietų kryptimi (Taikos pr. 52C);
2. Baltijos stotelė šiaurės kryptimi (Taikos pr. 71A);
3. Baltijos stotelė pietų kryptimi (Taikos pr. 66A);
4. Vėtrungės stotelė pietų kryptimi (Taikos pr. 28); 
Papildomai 2020 m.:
1. Bibliotekos stotelė šiaurės kryptimi (H. Manto g. 36);
2. Bibliotekos stotelė pietų kryptimi (H. Manto g. 27);
3. Sveikatos priežiūros centro stotelė šiaurės kryptimi (Taikos pr. 97B);
4. Atgimimo stotelė šiaurės kryptimi (Liepų g. 2).
</t>
        </r>
      </text>
    </comment>
    <comment ref="O206" authorId="0" shapeId="0">
      <text>
        <r>
          <rPr>
            <b/>
            <sz val="9"/>
            <color indexed="81"/>
            <rFont val="Tahoma"/>
            <family val="2"/>
            <charset val="186"/>
          </rPr>
          <t xml:space="preserve">Įrengta švieslenčių 13 stotelių: 
2019-2020 m. 
</t>
        </r>
        <r>
          <rPr>
            <sz val="9"/>
            <color indexed="81"/>
            <rFont val="Tahoma"/>
            <family val="2"/>
            <charset val="186"/>
          </rPr>
          <t>1. Kauno stotelė pietų kryptimi (Taikos pr. 52C);
2. Baltijos stotelė šiaurės kryptimi (Taikos pr. 71A);
3. Baltijos stotelė pietų kryptimi (Taikos pr. 66A);
4. Vėtrungės stotelė pietų kryptimi (Taikos pr. 28); 
5. Kauno stotelė šiaurės kryptimi (Taikos pr. 55A);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t>
        </r>
      </text>
    </comment>
    <comment ref="O207" authorId="0" shapeId="0">
      <text>
        <r>
          <rPr>
            <b/>
            <sz val="9"/>
            <color indexed="81"/>
            <rFont val="Tahoma"/>
            <family val="2"/>
            <charset val="186"/>
          </rPr>
          <t xml:space="preserve">Rengiamas techninis projektas prie šių stotelių:
</t>
        </r>
        <r>
          <rPr>
            <sz val="9"/>
            <color indexed="81"/>
            <rFont val="Tahoma"/>
            <family val="2"/>
            <charset val="186"/>
          </rPr>
          <t>1.Priestočio g. (Autobusų stoties st.);
2.Kauno g. (Ąžuolyno st.);
3.Liepų g. (Savivaldybės st.);
4.Sausio 15-osios g. (Malūno tvenkinio st.);
5-6.Joniškės g. (Žemaičių g. ir Slyvų st.);
7.Mogiliovo g. (Mogiliovo st.);
8.Statybininkų pr. (Šilutės st.);
9.Taikos pr. (Kurėno st.);
10.Šilutės pl. (Rimkų Pervažos st.)</t>
        </r>
        <r>
          <rPr>
            <b/>
            <sz val="9"/>
            <color indexed="81"/>
            <rFont val="Tahoma"/>
            <family val="2"/>
            <charset val="186"/>
          </rPr>
          <t xml:space="preserve">
</t>
        </r>
        <r>
          <rPr>
            <sz val="9"/>
            <color indexed="81"/>
            <rFont val="Tahoma"/>
            <family val="2"/>
            <charset val="186"/>
          </rPr>
          <t xml:space="preserve">
</t>
        </r>
      </text>
    </comment>
    <comment ref="O208" authorId="0" shapeId="0">
      <text>
        <r>
          <rPr>
            <sz val="9"/>
            <color indexed="81"/>
            <rFont val="Tahoma"/>
            <family val="2"/>
            <charset val="186"/>
          </rPr>
          <t xml:space="preserve">2020-2021 m.
 Smiltelės g. 
(Minijos; Šiaurės ir pietų kryptis) </t>
        </r>
      </text>
    </comment>
    <comment ref="M210" authorId="0" shapeId="0">
      <text>
        <r>
          <rPr>
            <sz val="9"/>
            <color indexed="81"/>
            <rFont val="Tahoma"/>
            <family val="2"/>
            <charset val="186"/>
          </rPr>
          <t>Įrengta I et. stotelių su įvažomis (Vasaros estrados (pietų ir šiaurės kryptys), Rumpiškės, Kooperacijos, Juodkrantės,  Naikupės, Šilutės, Minijos, Aula Magna, Minijos stotelės), vnt.</t>
        </r>
      </text>
    </comment>
    <comment ref="M211" authorId="0" shapeId="0">
      <text>
        <r>
          <rPr>
            <sz val="9"/>
            <color indexed="81"/>
            <rFont val="Tahoma"/>
            <family val="2"/>
            <charset val="186"/>
          </rPr>
          <t>2018 m. parengtas techninis projektas ir ekpertizės išvada1</t>
        </r>
      </text>
    </comment>
    <comment ref="F213"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214" authorId="1"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H214" authorId="0" shapeId="0">
      <text>
        <r>
          <rPr>
            <b/>
            <sz val="9"/>
            <color indexed="81"/>
            <rFont val="Tahoma"/>
            <family val="2"/>
            <charset val="186"/>
          </rPr>
          <t>Audra Cepiene:</t>
        </r>
        <r>
          <rPr>
            <sz val="9"/>
            <color indexed="81"/>
            <rFont val="Tahoma"/>
            <family val="2"/>
            <charset val="186"/>
          </rPr>
          <t xml:space="preserve">
</t>
        </r>
      </text>
    </comment>
    <comment ref="F219" authorId="0" shapeId="0">
      <text>
        <r>
          <rPr>
            <sz val="9"/>
            <color indexed="81"/>
            <rFont val="Tahoma"/>
            <family val="2"/>
            <charset val="186"/>
          </rPr>
          <t xml:space="preserve">
Klaipėdos miesto darnaus judumo planas (2018-09-13, T2-185)</t>
        </r>
      </text>
    </comment>
    <comment ref="F220"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t>
        </r>
      </text>
    </comment>
    <comment ref="F222"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M222" authorId="0" shapeId="0">
      <text>
        <r>
          <rPr>
            <b/>
            <sz val="9"/>
            <color indexed="81"/>
            <rFont val="Tahoma"/>
            <family val="2"/>
            <charset val="186"/>
          </rPr>
          <t>2019 gegužės 30 d. tarybos sprendimas Nr. T2-162 „Dėl Klaipėdos miesto savivaldybės turto investavimo ir UAB „Klaipėdos autobusų parkas</t>
        </r>
        <r>
          <rPr>
            <sz val="9"/>
            <color indexed="81"/>
            <rFont val="Tahoma"/>
            <family val="2"/>
            <charset val="186"/>
          </rPr>
          <t xml:space="preserve">
Perduoti Klaipėdos miesto savivaldybei nuosavybės teise priklausantį finansinį turtą – 665 000 Eur kaip savivaldybės turtinį įnašą uždarajai akcinei bendrovei „Klaipėdos autobusų parkas“ (toliau – Bendrovė), didinant Bendrovės įstatinį kapitalą. Šiuo piniginiu įnašu numatoma įsigyti ir apmokėti Bendrovės išleidžiamų 28,96 Eur nominalios vertės 22 962 vienetus paprastųjų vardinių akcijų, nustatant, kad akcijų emisijos kaina lygi jų nominaliai vertei.
Šis sprendimas gali būti skundžiamas Lietuvos administracinių ginčų komisijos Klaipėdos apygardos skyriui arba Regionų apygardos administracinio teismui, skundą (prašymą) paduodant bet kuriuose šio teismo rūmuose, per vieną mėnesį nuo šio sprendimo paskelbimo dienos.
Vadovaujantis 2019 gegužės 30 d. tarybos sprendimu Nr. T2-162 „Dėl Klaipėdos miesto savivaldybės turto investavimo ir UAB „Klaipėdos autobusų parkas“ įstatinio kapitalo didinimo“ reikalinga planuoti 665 000 Eur finansavimą UAB „Klaipėdos autobusų parkas“ įstatinio kapitalo didinimui. Pastaroji įmonė įsigis 2 elektra varomus autobusus </t>
        </r>
      </text>
    </comment>
    <comment ref="F223"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t>
        </r>
      </text>
    </comment>
    <comment ref="F224"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F228" authorId="1" shapeId="0">
      <text>
        <r>
          <rPr>
            <sz val="9"/>
            <color indexed="81"/>
            <rFont val="Tahoma"/>
            <family val="2"/>
            <charset val="186"/>
          </rPr>
          <t>P2, Klaipėdos miesto darnaus judumo planas (2018-09-13, T2-185),</t>
        </r>
      </text>
    </comment>
    <comment ref="F229"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O230" authorId="0" shapeId="0">
      <text>
        <r>
          <rPr>
            <sz val="9"/>
            <color indexed="81"/>
            <rFont val="Tahoma"/>
            <family val="2"/>
            <charset val="186"/>
          </rPr>
          <t xml:space="preserve">Įrengta 5 vnt. šviesoforų, buvo ekploatuojami 66 šviesoforai
</t>
        </r>
      </text>
    </comment>
    <comment ref="O235" authorId="0" shapeId="0">
      <text>
        <r>
          <rPr>
            <b/>
            <sz val="9"/>
            <color indexed="81"/>
            <rFont val="Tahoma"/>
            <family val="2"/>
            <charset val="186"/>
          </rPr>
          <t>2020 m. planuojama projektuoti 7 perėjas:</t>
        </r>
        <r>
          <rPr>
            <sz val="9"/>
            <color indexed="81"/>
            <rFont val="Tahoma"/>
            <family val="2"/>
            <charset val="186"/>
          </rPr>
          <t xml:space="preserve">
1. Liepų g. ((prie Klaipėdos valstybinės kolegijos);
2. Taikos pr. (ties Saturnu);
3. Taikos pr. ir Debreceno g.;
4. Baltijos pr. 103;
5. Dubysos g. 21; 
6. K. Donelaičio g. ir S. Daukanto g. sankryža;
7. Šilutės pl. ir Svajonės g.
</t>
        </r>
      </text>
    </comment>
    <comment ref="O236" authorId="0" shapeId="0">
      <text>
        <r>
          <rPr>
            <sz val="9"/>
            <color indexed="81"/>
            <rFont val="Tahoma"/>
            <family val="2"/>
            <charset val="186"/>
          </rPr>
          <t xml:space="preserve">2020 m. planuojama įrengti 3 naujas šviesoforines perėjas – Šilutės pl. 48; Šilutės pl. 62; Smiltelės g. 47.
</t>
        </r>
      </text>
    </comment>
    <comment ref="M245" authorId="0" shapeId="0">
      <text>
        <r>
          <rPr>
            <sz val="9"/>
            <color indexed="81"/>
            <rFont val="Tahoma"/>
            <family val="2"/>
            <charset val="186"/>
          </rPr>
          <t>Kasmet sąrašą teikia Keleivinis transportas</t>
        </r>
      </text>
    </comment>
    <comment ref="O245" authorId="0" shapeId="0">
      <text>
        <r>
          <rPr>
            <b/>
            <sz val="9"/>
            <color indexed="81"/>
            <rFont val="Tahoma"/>
            <family val="2"/>
            <charset val="186"/>
          </rPr>
          <t xml:space="preserve">Rūko g.–Jaunystės g. </t>
        </r>
        <r>
          <rPr>
            <sz val="9"/>
            <color indexed="81"/>
            <rFont val="Tahoma"/>
            <family val="2"/>
            <charset val="186"/>
          </rPr>
          <t xml:space="preserve">
</t>
        </r>
      </text>
    </comment>
    <comment ref="M249" authorId="0" shapeId="0">
      <text>
        <r>
          <rPr>
            <sz val="9"/>
            <color indexed="81"/>
            <rFont val="Tahoma"/>
            <family val="2"/>
            <charset val="186"/>
          </rPr>
          <t>Siekiant greičiau grąžinti žaliąsias rodykles, reikia atlikti transporto srautų analizės pirkimo procedūras. Reikalavimą atlikti analizę  įvedė Transporto kompetencijų agentūra.</t>
        </r>
      </text>
    </comment>
    <comment ref="E251" authorId="0" shapeId="0">
      <text>
        <r>
          <rPr>
            <b/>
            <sz val="9"/>
            <color indexed="81"/>
            <rFont val="Tahoma"/>
            <family val="2"/>
            <charset val="186"/>
          </rPr>
          <t>Tikslas</t>
        </r>
        <r>
          <rPr>
            <sz val="9"/>
            <color indexed="81"/>
            <rFont val="Tahoma"/>
            <family val="2"/>
            <charset val="186"/>
          </rPr>
          <t xml:space="preserve">
1. Parengti Klaipėdos miesto saugaus eismo strategiją „Vizija 0“ kartu su pasiekimų vertinimo rodikliais (KPI‘s) ir tipinių saugaus eismo priemonių aprašymais ir detalizavimu.
2. Kiekvienam įgyvendinamam susisiekimo infrastruktūros projektui atlikti eismo laidumo modeliavimą dėl poveikio laidumui, patogumui ir saugaus eismo auditui. 
</t>
        </r>
        <r>
          <rPr>
            <b/>
            <sz val="9"/>
            <color indexed="81"/>
            <rFont val="Tahoma"/>
            <family val="2"/>
            <charset val="186"/>
          </rPr>
          <t>Darbai:</t>
        </r>
        <r>
          <rPr>
            <sz val="9"/>
            <color indexed="81"/>
            <rFont val="Tahoma"/>
            <family val="2"/>
            <charset val="186"/>
          </rPr>
          <t xml:space="preserve">
1. Parengiama reali saugaus eismo strategija „Vizija 0“ su priemonių planu, kartu su siektinais KPI‘s. Taip pat parengiami tipiniai detalizuoti saugaus eismo sprendiniai:
2. Modeliai;
3. Saugaus eismo auditas
</t>
        </r>
      </text>
    </comment>
    <comment ref="M251" authorId="0" shapeId="0">
      <text>
        <r>
          <rPr>
            <sz val="9"/>
            <color indexed="81"/>
            <rFont val="Tahoma"/>
            <family val="2"/>
            <charset val="186"/>
          </rPr>
          <t>Modeliavimo paslauga apima  – Transporto srautų (probleminiuose kelių objektuose) matavimą realiu laiku, taikant inovatyvias technologijas, bei siekiant suvaldyti „kamščius“ mieste</t>
        </r>
      </text>
    </comment>
    <comment ref="F253"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M254" authorId="0" shapeId="0">
      <text>
        <r>
          <rPr>
            <b/>
            <sz val="9"/>
            <color indexed="81"/>
            <rFont val="Tahoma"/>
            <family val="2"/>
            <charset val="186"/>
          </rPr>
          <t xml:space="preserve">7 greičio matuokliai 2020–2022 m. </t>
        </r>
        <r>
          <rPr>
            <sz val="9"/>
            <color indexed="81"/>
            <rFont val="Tahoma"/>
            <family val="2"/>
            <charset val="186"/>
          </rPr>
          <t xml:space="preserve">
</t>
        </r>
        <r>
          <rPr>
            <b/>
            <sz val="9"/>
            <color indexed="81"/>
            <rFont val="Tahoma"/>
            <family val="2"/>
            <charset val="186"/>
          </rPr>
          <t>1 sutartis</t>
        </r>
        <r>
          <rPr>
            <sz val="9"/>
            <color indexed="81"/>
            <rFont val="Tahoma"/>
            <family val="2"/>
            <charset val="186"/>
          </rPr>
          <t xml:space="preserve"> (2020-2022 m. - m.  po 59,4 tūkst. eur).  Įsigyjama paslauga kartu su 2 greičio matuokliais. Paslauga brangesnė. Matuokliai nebus savivaldybės turtas.
</t>
        </r>
        <r>
          <rPr>
            <b/>
            <sz val="9"/>
            <color indexed="81"/>
            <rFont val="Tahoma"/>
            <family val="2"/>
            <charset val="186"/>
          </rPr>
          <t>2 sutartis</t>
        </r>
        <r>
          <rPr>
            <sz val="9"/>
            <color indexed="81"/>
            <rFont val="Tahoma"/>
            <family val="2"/>
            <charset val="186"/>
          </rPr>
          <t xml:space="preserve"> (2019–2022 m. po 27,7 tūkst. eur). Įsigyta 2 pažangesnių nauji greičio matuoklių priežiūra. Savivaldybės turtas. Matuokliai pigesni, nes nauji.
</t>
        </r>
        <r>
          <rPr>
            <b/>
            <sz val="9"/>
            <color indexed="81"/>
            <rFont val="Tahoma"/>
            <family val="2"/>
            <charset val="186"/>
          </rPr>
          <t>3 sutartis</t>
        </r>
        <r>
          <rPr>
            <sz val="9"/>
            <color indexed="81"/>
            <rFont val="Tahoma"/>
            <family val="2"/>
            <charset val="186"/>
          </rPr>
          <t xml:space="preserve"> iki 2020-10 mėn. (reikalinga po 59,9 tūkst. eur). Planuojama nauja sutartis dėl 3 senų greičio matuoklių priežiūros. Savivaldybės turtas. Senų greičio matuoklių priežiūros kaina yra brangesnė.
</t>
        </r>
      </text>
    </comment>
    <comment ref="F258"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M258" authorId="0" shapeId="0">
      <text>
        <r>
          <rPr>
            <sz val="9"/>
            <color indexed="81"/>
            <rFont val="Tahoma"/>
            <family val="2"/>
            <charset val="186"/>
          </rPr>
          <t xml:space="preserve">Projekto metu vykdyti vieši renginiai darnaus judumo temomis, parengtas techninis projektas ir planuojama įsigyti dalį eismo valdymo sistemos įdiegimo rangos, planuojama įrengti 3 vnt. bendro tipo (25 vietų) dviračių saugyklas ir 1 vnt. individualaus tipo (10 vietų) dviračių saugyklą. </t>
        </r>
      </text>
    </comment>
    <comment ref="F259" authorId="0"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F260"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F263" authorId="0" shapeId="0">
      <text>
        <r>
          <rPr>
            <b/>
            <sz val="9"/>
            <color indexed="81"/>
            <rFont val="Tahoma"/>
            <family val="2"/>
            <charset val="186"/>
          </rPr>
          <t>P1,</t>
        </r>
        <r>
          <rPr>
            <sz val="9"/>
            <color indexed="81"/>
            <rFont val="Tahoma"/>
            <family val="2"/>
            <charset val="186"/>
          </rPr>
          <t xml:space="preserve"> 3.6.2. Diegiama koordinuotų eismo valdymo sistemų, vnt.</t>
        </r>
      </text>
    </comment>
    <comment ref="F265"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F266"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KEPS 3.3.4.</t>
        </r>
        <r>
          <rPr>
            <sz val="9"/>
            <color indexed="81"/>
            <rFont val="Tahoma"/>
            <family val="2"/>
            <charset val="186"/>
          </rPr>
          <t xml:space="preserve"> Formuoti pagrindinę greitojo viešojo transporto ašį, įrengiant tramvajaus sistemą ar įsigyjant kitų transporto alternatyvų </t>
        </r>
      </text>
    </comment>
    <comment ref="F267" authorId="0" shapeId="0">
      <text>
        <r>
          <rPr>
            <b/>
            <sz val="9"/>
            <color indexed="81"/>
            <rFont val="Tahoma"/>
            <family val="2"/>
            <charset val="186"/>
          </rPr>
          <t>KSP 2.1.2.5.</t>
        </r>
        <r>
          <rPr>
            <sz val="9"/>
            <color indexed="81"/>
            <rFont val="Tahoma"/>
            <family val="2"/>
            <charset val="186"/>
          </rPr>
          <t xml:space="preserve"> Sudaryti sąlygas naujų ekologiškų viešojo transporto rūšių atsiradimui
</t>
        </r>
      </text>
    </comment>
    <comment ref="F269"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P2</t>
        </r>
        <r>
          <rPr>
            <sz val="9"/>
            <color indexed="81"/>
            <rFont val="Tahoma"/>
            <family val="2"/>
            <charset val="186"/>
          </rPr>
          <t xml:space="preserve"> Klaipėdos miesto darnaus judumo planas (2018-09-13, T2-185);</t>
        </r>
      </text>
    </comment>
    <comment ref="M269" authorId="0" shapeId="0">
      <text>
        <r>
          <rPr>
            <b/>
            <sz val="9"/>
            <color indexed="81"/>
            <rFont val="Tahoma"/>
            <family val="2"/>
            <charset val="186"/>
          </rPr>
          <t>Rezultatai:</t>
        </r>
        <r>
          <rPr>
            <sz val="9"/>
            <color indexed="81"/>
            <rFont val="Tahoma"/>
            <family val="2"/>
            <charset val="186"/>
          </rPr>
          <t xml:space="preserve">
SPG ir miesto Tarybai pritarus sprendimo projektui, kartu su Projekto partneriais būtų rengiama Projekto paraiška, siekiant miestiečiams parodyti ekonominę ir socialinę darnaus judumo (mobilumo) naudą.
Klaipėdos miesto savivaldybė, dalyvaudama Projekte, tikisi koncentruotis į pagrindinių trijų sričių problematiką (tačiau ji gali būti papildyta, modifikuota pagal vietos veiklos grupės diskusijas):
1) saugumas viešose miesto erdvėse;
2) senamiesčio centrinė dalis bemotoriam transportui; 
3) gyventojų motyvavimas keisti mobilumo įpročius.
Numatomos šios pagrindinės Projekto veiklos:
- partnerių susitikimas problemų identifikavimui ir projekto veiklų įgyvendinimo aptarimas;
- vietos veiklos grupės iš skirtingų visuomenės grupių sudarymas ir jų įtraukties į diskusijų užtikrinimas;
- keitimasis gerąją praktika tarp Projekto partnerių;
- integruoto veiksmų plano rengimas; 
- veiklų viešinimas.
Klaipėdos miesto savivaldybės tarybai pritarus dalyvavimui Projekte partnerio teisėmis bei laimėjus paraiškų konkursą, Klaipėdos miesto savivaldybė prisidėtų prie Klaipėdos miesto darnaus judumo strateginių tikslų siekimo. 
Laukiamas galutinis Projekto rezultatas - kartu su užsienio partneriais, mokslo, vietos valdžios, verslo ir bendruomenių atstovais parengtas integruotas veiksmų planas (IAP) dėl ekonominės ir socialinės darnaus judumo priemonių įgyvendinimo Klaipėdos miesto naudos įvertinimo. 
</t>
        </r>
      </text>
    </comment>
    <comment ref="E272" authorId="0" shapeId="0">
      <text>
        <r>
          <rPr>
            <b/>
            <sz val="9"/>
            <color indexed="81"/>
            <rFont val="Tahoma"/>
            <family val="2"/>
            <charset val="186"/>
          </rPr>
          <t>Apie projektą SUMP_PLUS:</t>
        </r>
        <r>
          <rPr>
            <sz val="9"/>
            <color indexed="81"/>
            <rFont val="Tahoma"/>
            <family val="2"/>
            <charset val="186"/>
          </rPr>
          <t xml:space="preserve">
Klaipėdos miesto savivaldybė partnerio teisėmis dalyvauja ES komisijos programos „Horizon 2020“ finansuojamame projekte „Darnaus judumo planavimas: kryptys bei sąsajos urbanistinėje sistemoje (sustainable urban mobility planning: pathways and links to urban system (SUMP-PLUS)“ (toliau – Projektas) kartu su kitais Europos miestais: Alba Julija (Rumunija), Antverpenas (Belgija), Luka (Italija), Mančesteris (Jungtinė Karalystė), Platanija (Graikija). 
Projekto pradžia – 2019 m. rugsėjo 1 d.; tai trejų metų mokslinių tyrimų ir inovacijų projektas, skirtas spręsti darnaus judumo iššūkius. 
Projekto tikslas – paaiškinti, patarti bei pasidalinti savo patirtimi, žiniomis su kitais Europos miestais, kaip įgyvendinti darnaus judumo viziją bei priemones. Bendromis jėgomis surasti ir parodyti naujus partnerystės ir verslo modelius siekiant įgyvendini darnaus judumo tikslus.
</t>
        </r>
      </text>
    </comment>
    <comment ref="F272"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P2</t>
        </r>
        <r>
          <rPr>
            <sz val="9"/>
            <color indexed="81"/>
            <rFont val="Tahoma"/>
            <family val="2"/>
            <charset val="186"/>
          </rPr>
          <t xml:space="preserve"> Klaipėdos miesto darnaus judumo planas (2018-09-13, T2-185);</t>
        </r>
      </text>
    </comment>
    <comment ref="M272" authorId="0" shapeId="0">
      <text>
        <r>
          <rPr>
            <b/>
            <sz val="9"/>
            <color indexed="81"/>
            <rFont val="Tahoma"/>
            <family val="2"/>
            <charset val="186"/>
          </rPr>
          <t>Projekto tikslai:</t>
        </r>
        <r>
          <rPr>
            <sz val="9"/>
            <color indexed="81"/>
            <rFont val="Tahoma"/>
            <family val="2"/>
            <charset val="186"/>
          </rPr>
          <t xml:space="preserve">
SUMP-PLUS pagrindiniai tikslai: 
• Plėtoti ir taikyti efektyvius būdus, metodus bei priemones miestams, susiduriantiems su sparčiu eismo augimu (susijusiu su automobilių nuosavybės ir naudojimo padidėjimu), kad jie galėtų nustatyti praktinį būdą kuris per tam tikrą laiką nustatytų kliūtis, kurios trukdo įgyvendinti darnaus judumo tikslus. 
• Parodyti, kaip miestai gali sukurti stipresnius ryšius su kitomis miesto sistemos sudedamosiomis dalimis, kurios sukuria judumo reikalavimus (švietimas, sveikata, mažmeninė prekyba, žemės naudojimo planavimas ir kt.). 
• Nustatyti ir parodyti naujus partnerystės ir verslo modelius, kurie leistų ekonomiškai efektyviai įgyvendinti įvairius judumo tikslus per tinkamas viešojo ir privataus sektoriaus partnerystes.
• Plačiai bendradarbiauti su miestiečiais, lankytojais ir įmonėmis, siekiant susitarti dėl miesto transporto vizijos ir bendrai kurti konkrečius sprendimus
</t>
        </r>
        <r>
          <rPr>
            <b/>
            <sz val="9"/>
            <color indexed="81"/>
            <rFont val="Tahoma"/>
            <family val="2"/>
            <charset val="186"/>
          </rPr>
          <t xml:space="preserve"> Projekto rezultatai:
</t>
        </r>
        <r>
          <rPr>
            <sz val="9"/>
            <color indexed="81"/>
            <rFont val="Tahoma"/>
            <family val="2"/>
            <charset val="186"/>
          </rPr>
          <t>• Klaipėdos miesto Darnaus judumo plano įgyvendinimo proceso stebėsena.
• Konkrečių priemonių įgyvendinimas.</t>
        </r>
        <r>
          <rPr>
            <b/>
            <sz val="9"/>
            <color indexed="81"/>
            <rFont val="Tahoma"/>
            <family val="2"/>
            <charset val="186"/>
          </rPr>
          <t xml:space="preserve">
</t>
        </r>
      </text>
    </comment>
    <comment ref="F275"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
</t>
        </r>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O275"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O276" authorId="0" shapeId="0">
      <text>
        <r>
          <rPr>
            <sz val="9"/>
            <color indexed="81"/>
            <rFont val="Tahoma"/>
            <family val="2"/>
            <charset val="186"/>
          </rPr>
          <t xml:space="preserve">Pagal ES projektą 2019-10 įrengtos 3 stotelės, 6 prieigos ir priežiūros paslauga. Elektrą apmoką savivaldybė.
</t>
        </r>
        <r>
          <rPr>
            <b/>
            <sz val="9"/>
            <color indexed="81"/>
            <rFont val="Tahoma"/>
            <family val="2"/>
            <charset val="186"/>
          </rPr>
          <t>2020 m. 3 stotelės, 6 prieigos:</t>
        </r>
        <r>
          <rPr>
            <sz val="9"/>
            <color indexed="81"/>
            <rFont val="Tahoma"/>
            <family val="2"/>
            <charset val="186"/>
          </rPr>
          <t xml:space="preserve">
Taikos pr. 80 (2 vnt.);
Jūrininkų pr. 16 (2 vnt.)
S. Neries g. 16A (2 vnt.)
Savivaldybė 5 metus po stotelių įrengimo turi užtikrinti nemokamą elektromobilių įkrovimo paslaugų teikimą. Elektros išlaidos suplanuotos 7 programoje.
</t>
        </r>
      </text>
    </comment>
    <comment ref="F277"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N277" authorId="0" shapeId="0">
      <text>
        <r>
          <rPr>
            <sz val="9"/>
            <color indexed="81"/>
            <rFont val="Tahoma"/>
            <family val="2"/>
            <charset val="186"/>
          </rPr>
          <t>techninis aptarnavimas jau apmokėtas 5 metams į priekį, ekloatacija perduota MŪD</t>
        </r>
      </text>
    </comment>
    <comment ref="F280"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I290" authorId="0" shapeId="0">
      <text>
        <r>
          <rPr>
            <b/>
            <sz val="9"/>
            <color indexed="81"/>
            <rFont val="Tahoma"/>
            <family val="2"/>
            <charset val="186"/>
          </rPr>
          <t xml:space="preserve">19721 III SVP keitimas
</t>
        </r>
        <r>
          <rPr>
            <sz val="9"/>
            <color indexed="81"/>
            <rFont val="Tahoma"/>
            <family val="2"/>
            <charset val="186"/>
          </rPr>
          <t xml:space="preserve">
</t>
        </r>
      </text>
    </comment>
    <comment ref="J290" authorId="0" shapeId="0">
      <text>
        <r>
          <rPr>
            <b/>
            <sz val="9"/>
            <color indexed="81"/>
            <rFont val="Tahoma"/>
            <family val="2"/>
            <charset val="186"/>
          </rPr>
          <t>15233,7 biudžetas</t>
        </r>
        <r>
          <rPr>
            <sz val="9"/>
            <color indexed="81"/>
            <rFont val="Tahoma"/>
            <family val="2"/>
            <charset val="186"/>
          </rPr>
          <t xml:space="preserve">
</t>
        </r>
      </text>
    </comment>
    <comment ref="J292" authorId="0" shapeId="0">
      <text>
        <r>
          <rPr>
            <b/>
            <sz val="9"/>
            <color indexed="81"/>
            <rFont val="Tahoma"/>
            <family val="2"/>
            <charset val="186"/>
          </rPr>
          <t>1900</t>
        </r>
      </text>
    </comment>
  </commentList>
</comments>
</file>

<file path=xl/comments3.xml><?xml version="1.0" encoding="utf-8"?>
<comments xmlns="http://schemas.openxmlformats.org/spreadsheetml/2006/main">
  <authors>
    <author>Audra Cepiene</author>
  </authors>
  <commentList>
    <comment ref="M3" authorId="0" shapeId="0">
      <text>
        <r>
          <rPr>
            <b/>
            <sz val="9"/>
            <color indexed="81"/>
            <rFont val="Tahoma"/>
            <family val="2"/>
            <charset val="186"/>
          </rPr>
          <t>A. Samuilovas</t>
        </r>
        <r>
          <rPr>
            <sz val="9"/>
            <color indexed="81"/>
            <rFont val="Tahoma"/>
            <family val="2"/>
            <charset val="186"/>
          </rPr>
          <t xml:space="preserve">
socialinės grupės 
1. senjorai 80+ viso ~180 000
2. senjorai 70-79 viso ~1 000 000, papildomai nuo dabar mokamų 400 000
3. Senjorai 63-69 (išėjus į pensiją) viso 500 000,  papildomai nuo dabar mokamų 300 000  
</t>
        </r>
      </text>
    </comment>
  </commentList>
</comments>
</file>

<file path=xl/sharedStrings.xml><?xml version="1.0" encoding="utf-8"?>
<sst xmlns="http://schemas.openxmlformats.org/spreadsheetml/2006/main" count="1130" uniqueCount="412">
  <si>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</si>
  <si>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</si>
  <si>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</si>
  <si>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</si>
  <si>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</si>
  <si>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</si>
  <si>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</si>
  <si>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</si>
  <si>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</si>
  <si>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</si>
  <si>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</si>
  <si>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</si>
  <si>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</si>
  <si>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</si>
  <si>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</si>
  <si>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</si>
  <si>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</si>
  <si>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</si>
  <si>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</si>
  <si>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</si>
  <si>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</si>
  <si>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</si>
  <si>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</si>
  <si>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</si>
  <si>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</si>
  <si>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</si>
  <si>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</si>
  <si>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</si>
  <si>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</si>
  <si>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</si>
  <si>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</si>
  <si>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</si>
  <si>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</si>
  <si>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</si>
  <si>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</si>
  <si>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</si>
  <si>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</si>
  <si>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</si>
  <si>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</si>
  <si>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</si>
  <si>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</si>
  <si>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</si>
  <si>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</si>
  <si>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</si>
  <si>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</si>
  <si>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</si>
  <si>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Transporto kompensacijų mokėjimas:</t>
  </si>
  <si>
    <t>Asfaltuotų daugiabučių kiemų dangų remontas</t>
  </si>
  <si>
    <t>Patikrinta viešojo transporto priemonių, tūkst. vnt.</t>
  </si>
  <si>
    <t>1</t>
  </si>
  <si>
    <t>Viešojo transporto paslaugų organizavimas:</t>
  </si>
  <si>
    <t xml:space="preserve">Iš viso  programai:  </t>
  </si>
  <si>
    <t>Pajūrio g. rekonstravimas</t>
  </si>
  <si>
    <t>Pamario gatvės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</si>
  <si>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</si>
  <si>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</si>
  <si>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</si>
  <si>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</si>
  <si>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</si>
  <si>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</si>
  <si>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</si>
  <si>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</si>
  <si>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</si>
  <si>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</si>
  <si>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 xml:space="preserve">IED Projektų skyrius </t>
  </si>
  <si>
    <t>SB(VRL)</t>
  </si>
  <si>
    <t>P2.1.2.9</t>
  </si>
  <si>
    <t xml:space="preserve"> - vežėjams už lengvatas turinčių keleivių vežimą</t>
  </si>
  <si>
    <t xml:space="preserve"> - moksleiviams</t>
  </si>
  <si>
    <t xml:space="preserve"> - profesinių mokyklų moksleiviams</t>
  </si>
  <si>
    <t>Suženklinta gatvių, ha</t>
  </si>
  <si>
    <t>Eksploatuojama greičio matuoklių, vnt.</t>
  </si>
  <si>
    <t>Parengtas paviljono su aikštele techninis projektas, vnt.</t>
  </si>
  <si>
    <t xml:space="preserve">Savivaldybės biudžetas, iš jo: </t>
  </si>
  <si>
    <t xml:space="preserve">Parengtas techninis projektas, vnt. </t>
  </si>
  <si>
    <t>Planas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</si>
  <si>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</si>
  <si>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</si>
  <si>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SB(ŽPL)</t>
  </si>
  <si>
    <t>SB(KPP)</t>
  </si>
  <si>
    <t>Kiemų ir privažiuojamųjų kelių  prie biudžetinių įstaigų dangos remontas</t>
  </si>
  <si>
    <t>Asfaltbetonio dangos, žvyruotos dangos ir akmenimis grįstų miesto gatvių dangos remontas</t>
  </si>
  <si>
    <t>Eismo reguliavimo infrastruktūros eksploatacija ir įrengimas</t>
  </si>
  <si>
    <t>Mokamo automobilių stovėjimo sistemos mieste kūrimas ir išlaikymas</t>
  </si>
  <si>
    <t>Eismo srautų reguliavimo ir saugumo priemonių įgyvendinimas:</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</si>
  <si>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</si>
  <si>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</si>
  <si>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</si>
  <si>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</si>
  <si>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</si>
  <si>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</si>
  <si>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Aiškinamojo rašto priedas Nr.3</t>
  </si>
  <si>
    <t>2019-ieji metai</t>
  </si>
  <si>
    <t>Klaipėdos miesto viešojo transporto atnaujinimas (autobusų įsigijimas)</t>
  </si>
  <si>
    <t>Klaipėdos miesto viešojo transporto švieslenčių ir informacinių švieslenčių įrengimas ir atnaujinimas</t>
  </si>
  <si>
    <t xml:space="preserve">Įrengta švieslenčių miesto autobusų stotelėse, vnt.  </t>
  </si>
  <si>
    <t>P2.1.2.5</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</si>
  <si>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</si>
  <si>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Kombinuotų kelionių jungčių (PARK&amp;RIDE) įrengimas (šiaurinėje miesto dalyje)</t>
  </si>
  <si>
    <t>Įdiegta transporto valdymo sistema. Užbaigtumas, proc.</t>
  </si>
  <si>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</si>
  <si>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</si>
  <si>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</si>
  <si>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Statybininkų prospekto tęsinio tiesimas nuo Šilutės pl. per LEZ teritoriją iki 141 kelio: II etapas – Lypkių gatvės ruožo nuo Šilutės plento tiesimas</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</si>
  <si>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</si>
  <si>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</si>
  <si>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</si>
  <si>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Eksploatuojama bilietų automatų, vnt.</t>
  </si>
  <si>
    <t>Įrengtas naujas žvejų laivams skirtas slipas (aikštelė, skirta valtims nuleisti ir ištraukti iš vandens). Užbaigtumas, proc.</t>
  </si>
  <si>
    <t>Kompensuota bilietų moksleiviams, tūkst. vnt.</t>
  </si>
  <si>
    <t>Kompensuota bilietų profesinių mokyklų moksleiviams, tūkst. vnt.</t>
  </si>
  <si>
    <t>Atlikta rekonstravimo darbų. Užbaigtumas, proc.</t>
  </si>
  <si>
    <t>Atlikta gatvės (1374 m ) rekonstravimo darbų. Užbaigtumas, proc.</t>
  </si>
  <si>
    <t>Įstaigų, kurių kiemuose atlikta asfalto dangos remonto darbų, skaičius</t>
  </si>
  <si>
    <t>Kūlių Vartų g. ir Bangų g., Tiltų g., Galinio Pylimo g., Taikos pr. sankryžos rekonstravimas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</si>
  <si>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</si>
  <si>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</si>
  <si>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Parengtas II etapo techninis projektas (Klaipėdos g., Virkučių g., Slengių g., Lietaus g., Vaivorykštės g., Griaustinio g. ir Arimų g.), vnt.</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</si>
  <si>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</si>
  <si>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</si>
  <si>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</si>
  <si>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Elektromobilių įkrovimo stotelių įrengimas  Klaipėdos mieste</t>
  </si>
  <si>
    <t xml:space="preserve">Nuostolių kompensacijų mokėjimas: </t>
  </si>
  <si>
    <t>patirtų įgyvendinant ES Sanglaudos fondų finansuojamus ekologiškų viešojo transporto  priemonių įsigijimo projektus</t>
  </si>
  <si>
    <t>Parengta galimybių studija, vnt.</t>
  </si>
  <si>
    <t>2020-ieji metai</t>
  </si>
  <si>
    <t>Atlikta gatvės tiesimo darbų. Užbaigtumas, proc.</t>
  </si>
  <si>
    <t>2.1.2.2.</t>
  </si>
  <si>
    <r>
      <t xml:space="preserve">Programų lėšų likučių lėšos </t>
    </r>
    <r>
      <rPr>
        <b/>
        <sz val="10"/>
        <rFont val="Times New Roman"/>
        <family val="1"/>
        <charset val="186"/>
      </rPr>
      <t xml:space="preserve">SB(L) </t>
    </r>
  </si>
  <si>
    <t>Šermukšnių g.;</t>
  </si>
  <si>
    <t>2019 m.</t>
  </si>
  <si>
    <t>2020 m.</t>
  </si>
  <si>
    <t>S. Šimkaus g.;</t>
  </si>
  <si>
    <t>Jurginų g.;</t>
  </si>
  <si>
    <t>Subsidijuojamų maršrutų skaičius:</t>
  </si>
  <si>
    <t>Atliktas gatvių – Akmenų g. (405 m), Vėjo g. (1373 m), Smėlio g. (960 m) ir Debesų g. (890 m) rekonstravimas. Užbaigtumas, proc.</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</si>
  <si>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</si>
  <si>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</si>
  <si>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</si>
  <si>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</si>
  <si>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Atlikta Pamario g. (4400 m) rekonstravimo darbų (II-IV etapai). Užbaigtumas, proc.</t>
  </si>
  <si>
    <t>Atlikta prospekto atkarpos rekonstravimo darbų.  Užbaigtumas, proc.</t>
  </si>
  <si>
    <t>10</t>
  </si>
  <si>
    <t>08</t>
  </si>
  <si>
    <t>Elektra varomo viešojo transporto naujų galimybių plėtra (DEPO), ELENA</t>
  </si>
  <si>
    <t>Parengtas tramvajaus ir elektrinių autobusų pirkimo strategijos dokumentų paketas, vnt.</t>
  </si>
  <si>
    <t>Įrengta elektromobilių įkrovimo prieigų, vnt.</t>
  </si>
  <si>
    <t>Įdiegta dviračių saugojimo (angl. bike-storing) sistema, vnt.</t>
  </si>
  <si>
    <t>Lengvųjų automobilių taksi  ženklinimo  sprendinių projekto parengimas</t>
  </si>
  <si>
    <t>Parengtas ženklinimo sprendinių projektas, vnt.</t>
  </si>
  <si>
    <t>Transporto skyrius</t>
  </si>
  <si>
    <t>Įrengta elektros įvadų švieslenčių įrengimui, vnt.</t>
  </si>
  <si>
    <t>Tauralaukio gyvenvietės gatvių rekonstravimas</t>
  </si>
  <si>
    <t xml:space="preserve">Naujo įvažiuojamojo kelio (Priešpilio g.) į piliavietę ir Kruizinių laivų terminalą tiesimas </t>
  </si>
  <si>
    <t xml:space="preserve">Puodžių gatvės rekonstravimas  </t>
  </si>
  <si>
    <t xml:space="preserve">Dubliuojančios gatvės nuo Šiltnamių g. iki Klaipėdos g. su pėsčiųjų ir dviračių taku ir įvažomis į Liepojos g. įrengimas                          </t>
  </si>
  <si>
    <t xml:space="preserve">Joniškės g. rekonstravimas (II etapas – nuo Klemiškės g. iki Liepų g., Šienpjovių g.) </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</si>
  <si>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</si>
  <si>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</si>
  <si>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Sodų bendrija „Vaiteliai“–„Rasa“ kursavimas </t>
  </si>
  <si>
    <t xml:space="preserve">Atlikta gatvės rekonstravimo darbų. Užbaigtumas, proc.
</t>
  </si>
  <si>
    <t>Ekologiškų viešojo transporto priemonių, kuriomis važiuojant patiriami nuostoliai, vnt.</t>
  </si>
  <si>
    <t>Įsigyta naujų ekologiškų autobusų, vnt.</t>
  </si>
  <si>
    <t>Klaipėdos miestui priklausančių elektromobilių įkrovimo stotelių eksploatavimas ir priežiūra</t>
  </si>
  <si>
    <t>Senamiesčio grindinio atnaujinimas ir universalaus dizaino pritaikymas</t>
  </si>
  <si>
    <t>Įrengta neregių vedimo dangos autobusų stotelėse, vnt</t>
  </si>
  <si>
    <t>Klemiškės g. rekonstravimas</t>
  </si>
  <si>
    <t>SB(ES)</t>
  </si>
  <si>
    <t>2021-ųjų metų lėšų projektas</t>
  </si>
  <si>
    <t>2021-ieji metai</t>
  </si>
  <si>
    <t>Eksploatuojama elektromobilių įkrovimo stotelių, vnt.</t>
  </si>
  <si>
    <t>Atliktas poveikio aplinkai vertinimo dokumentas, vnt.</t>
  </si>
  <si>
    <t>I, P2</t>
  </si>
  <si>
    <t>P2</t>
  </si>
  <si>
    <t>Atlikta sankryžos rekonstravimo darbų. Užbaigtumas, proc.</t>
  </si>
  <si>
    <t>40</t>
  </si>
  <si>
    <t>Atlikta senamiesčio gatvių atnaujinimo darbų. Užbaigtumas, proc.</t>
  </si>
  <si>
    <t>Žvejybos produktų iškrovimo vietos prie jūros Klaipėdos miesto teritorijoje įrengimas</t>
  </si>
  <si>
    <t>LRVB</t>
  </si>
  <si>
    <t>8</t>
  </si>
  <si>
    <t>Įrengta (I etapo) stotelių su įvažomis, vnt.</t>
  </si>
  <si>
    <r>
      <t xml:space="preserve">Valstybės biudžeto specialiosios tikslinės dotacijos lėšos </t>
    </r>
    <r>
      <rPr>
        <b/>
        <sz val="10"/>
        <rFont val="Times New Roman"/>
        <family val="1"/>
        <charset val="186"/>
      </rPr>
      <t>SB(VB)</t>
    </r>
  </si>
  <si>
    <t>Atlikta eismo juostos įrengimo darbų. Užbaigtumas, proc.</t>
  </si>
  <si>
    <t>Maršrutas į LEZ teritoriją</t>
  </si>
  <si>
    <t>Naktinis maršrutas</t>
  </si>
  <si>
    <t>Išmokėta už 2018 m. gautą autobusų integracijos įrangą ir sistemą. Užbaigtumas, proc.</t>
  </si>
  <si>
    <t>Parengta projektų, vnt.</t>
  </si>
  <si>
    <t>Rekonstruotas šviesoforas (Tilžės g. ir Sausio 15-osios g. sankryžoje), vnt.</t>
  </si>
  <si>
    <t>2021 m.</t>
  </si>
  <si>
    <t>Gedminų g.;</t>
  </si>
  <si>
    <t>Prižiūrėta tiltų ir viadukų, vnt.</t>
  </si>
  <si>
    <t>Pėsčiųjų ir dviračių takų, šaligatvių (su dviračių takais) remonto bei įrengimo darbai</t>
  </si>
  <si>
    <t>Keleivinio transporto stotelių su įvažomis Klaipėdos miesto gatvėse projektavimas ir įrengimas</t>
  </si>
  <si>
    <t>Įrengtas įvažos pratęsimas, vnt.</t>
  </si>
  <si>
    <t xml:space="preserve">Neeksploatuojamų požeminių perėjų Šilutės pl. kapitalinis remontas </t>
  </si>
  <si>
    <t xml:space="preserve"> Miesto tvarkymo skyrius</t>
  </si>
  <si>
    <t>Tilžės g. nuo Šilutės pl. iki geležinkelio pervažos rekonstravimas, pertvarkant žiedinę Mokyklos g. ir Šilutės pl. sankryžą</t>
  </si>
  <si>
    <t>1,3</t>
  </si>
  <si>
    <t>1,8</t>
  </si>
  <si>
    <t>Suremontuota asfaltbetonio dangos duobių kiemuose, ha</t>
  </si>
  <si>
    <t>Atnaujinta šaligatvių miesto gatvėse, ha</t>
  </si>
  <si>
    <t>0,15</t>
  </si>
  <si>
    <t>Suremontuota gatvių akmens grindinio dangos  senamiesčio gatvėse, ha</t>
  </si>
  <si>
    <t>4,5</t>
  </si>
  <si>
    <t>Suremontuota šaligatvių (su dviračių takais), ha</t>
  </si>
  <si>
    <t>Atnaujinta dekoratyvinių kelio ženklų stovų, vnt.</t>
  </si>
  <si>
    <t>Nuostolingų maršrutų subsidijavimas priemiesčio ir miesto maršrutus aptarnaujantiems vežėjams</t>
  </si>
  <si>
    <t>Automatinės eismo priežiūros prietaisų eksploatacija</t>
  </si>
  <si>
    <r>
      <t xml:space="preserve">Kelių priežiūros ir plėtros programos lėšos įtrauktos į savivaldybės biudžetą </t>
    </r>
    <r>
      <rPr>
        <b/>
        <sz val="10"/>
        <rFont val="Times New Roman"/>
        <family val="1"/>
        <charset val="186"/>
      </rPr>
      <t>SB(KPP)</t>
    </r>
  </si>
  <si>
    <r>
      <t xml:space="preserve">Planuojamos kelių priežiūros ir plėtros programos lėšos </t>
    </r>
    <r>
      <rPr>
        <b/>
        <sz val="10"/>
        <rFont val="Times New Roman"/>
        <family val="1"/>
        <charset val="186"/>
      </rPr>
      <t>SB(KPP)</t>
    </r>
  </si>
  <si>
    <t>I, P2, P6</t>
  </si>
  <si>
    <t xml:space="preserve">Renginių, kurių metu keleiviams bus taikomos lengvatos, vnt. </t>
  </si>
  <si>
    <t>priedas</t>
  </si>
  <si>
    <t>Įrengta kintamos informacijos ženklų Prano Lideikio g. Užbaigtumas, proc.</t>
  </si>
  <si>
    <t>Smiltelės g. (ruožas nuo Taikos pr. iki Minijos g.);</t>
  </si>
  <si>
    <t>Vytauto g. (ruožas nuo S. Šimkaus g. iki Puodžių g.);</t>
  </si>
  <si>
    <t>H. Manto g. (labiausiai pažeisti ruožai, įvažos);</t>
  </si>
  <si>
    <t>Įvažiuojamųjų kelių atnaujinimas:</t>
  </si>
  <si>
    <t>Įvažiuojamojo kelio į Taikos pr. 101;</t>
  </si>
  <si>
    <t>Įvažiuojamojo kelio  į Debreceno g. 61</t>
  </si>
  <si>
    <t>Parengtas S. Neries gatvės šaligatvių kompleksiško atnaujinimo projektas</t>
  </si>
  <si>
    <t xml:space="preserve">Klaipėdos miesto savivaldybės susisiekimo sistemos  priežiūros ir plėtros programos (Nr. 06) aprašymo             
</t>
  </si>
  <si>
    <t xml:space="preserve">10  </t>
  </si>
  <si>
    <t>0,66</t>
  </si>
  <si>
    <t>1,1</t>
  </si>
  <si>
    <t>Kompensuota bilietų pradinių klasių moksleivaims, tūkst. vnt.</t>
  </si>
  <si>
    <t>URBACT III projekto „Gyvos gatvės“ įgyvendinimas</t>
  </si>
  <si>
    <t>Atnaujinta senamiesčio dangų pritaikant neįgaliesiems, ha</t>
  </si>
  <si>
    <t>0,13</t>
  </si>
  <si>
    <t>Įgyvendintas projektas, vnt.</t>
  </si>
  <si>
    <t>Parengtas  techninis projektas (ruožas nuo Laivų skersgatvio iki Artojų g.), vnt.</t>
  </si>
  <si>
    <t>P6</t>
  </si>
  <si>
    <t>Medžiagų tyrimas ir kontroliniai bandymai, topografinių nuotraukų, išpildomųjų geodezinių nuotraukų įsigijimas, statinių projektų ekspertizių bei kitos inžinerinės paslaugos</t>
  </si>
  <si>
    <t>18</t>
  </si>
  <si>
    <t>50</t>
  </si>
  <si>
    <t>100</t>
  </si>
  <si>
    <t>Įgyvendintas projekto, vnt.</t>
  </si>
  <si>
    <t>Mėgėjų sodų teritorijoje savivaldybių institucijų valdomų kelių remontas</t>
  </si>
  <si>
    <t>UAB „Klaipėdos autobusų parkas" įstatinio kapitalo didinimas įsigyjant du elektra varomus autobusus</t>
  </si>
  <si>
    <t>Padidintas UAB „Klaipėdos autobusų parkas" įstatinis kapitalas, proc.</t>
  </si>
  <si>
    <t xml:space="preserve">Teatro ir Sukilėlių g. rekonstrukcija </t>
  </si>
  <si>
    <t>Senamiesčio gatvės</t>
  </si>
  <si>
    <t>2022-ieji metai</t>
  </si>
  <si>
    <t>2020-ųjų metų asignavimų planas</t>
  </si>
  <si>
    <t>2022-ųjų metų lėšų projektas</t>
  </si>
  <si>
    <t xml:space="preserve">2019–2022 M. KLAIPĖDOS MIESTO SAVIVALDYBĖS     </t>
  </si>
  <si>
    <t>67</t>
  </si>
  <si>
    <t>7,2</t>
  </si>
  <si>
    <t>7,5</t>
  </si>
  <si>
    <t>Įdiegta paslauga. Užbaigtumas, proc.</t>
  </si>
  <si>
    <t>Parengta naujai įrengiamų šviesoforų projektų, vnt.</t>
  </si>
  <si>
    <t>Naujai įrengta šviesoforų, vnt.</t>
  </si>
  <si>
    <t>Objektų, kuriuose nagrinėjamas transporto srautų pasiskirstymas ir modeliavimo scenarijai, skaičius</t>
  </si>
  <si>
    <t>Nesuremontuotos</t>
  </si>
  <si>
    <t>Šilutės pl. (tarp Baltijos pr. ir Šilutės pl. žiedo ir Mainų g.);</t>
  </si>
  <si>
    <t>Žardininkų g.</t>
  </si>
  <si>
    <t>Parengtas techninis projektas, vnt</t>
  </si>
  <si>
    <t>2022 m.</t>
  </si>
  <si>
    <t>Mogiliovo gyvenamojo rajono gatvės (pagal poreikį remontuojamos kitos gatvės);</t>
  </si>
  <si>
    <t xml:space="preserve">Parengtas aprašas, vnt. </t>
  </si>
  <si>
    <t>Atlikta teritorijos paprastojo remonto darbų. Užbaigtumas, proc.</t>
  </si>
  <si>
    <t>0,8</t>
  </si>
  <si>
    <t>S. Daukanto g. nuo Šaulių g. iki J. Zauerveino g. kapitalinis remontas</t>
  </si>
  <si>
    <t>Atlikta gatvės kapitalinio remonto ir eismo juostos įrengimo darbų. Užbaigtumas, proc.</t>
  </si>
  <si>
    <t>Paprastojo remonto ir priežiūros darbų techninė priežiūra</t>
  </si>
  <si>
    <t>Atlikta techninė priežiūra, vnt.</t>
  </si>
  <si>
    <t>Gatvių tiesimas ir rekonstravimas:</t>
  </si>
  <si>
    <t>SB:</t>
  </si>
  <si>
    <t>SB(L):</t>
  </si>
  <si>
    <t>SB(ŽPL):</t>
  </si>
  <si>
    <t>SB(KPP):</t>
  </si>
  <si>
    <t>SB(ES):</t>
  </si>
  <si>
    <t>KVJUD:</t>
  </si>
  <si>
    <t>LRVB:</t>
  </si>
  <si>
    <t>ES:</t>
  </si>
  <si>
    <t>Kt:</t>
  </si>
  <si>
    <t>SB(VR):</t>
  </si>
  <si>
    <t>SB(VRL):</t>
  </si>
  <si>
    <t>Danės g. rekonstravimas</t>
  </si>
  <si>
    <t>Šilutės plento ruožo nuo Tilžės g. iki geležinkelio pervažos (iki Kauno g.) rekonstrukcija (SM programa 06.2.1-TID-R-511 pr.Vietinių kelių vystymas)</t>
  </si>
  <si>
    <t>Įrengtas laikinas kelias (Lypkių pervažoje). Užbaigtumas, proc</t>
  </si>
  <si>
    <t>Atlikti elektros įrenginių iškėlimo ir apsaugos darbai. Užbaigtumas, proc.</t>
  </si>
  <si>
    <t>Įtraukta Lietuvos automobilių kelių direkcijos dalis pagal planuojamą pasirašyti bendradarbiavimo sutartį (lėšos detalizuotos pirkimo vertei pagrįsti)</t>
  </si>
  <si>
    <t>Dokumentacijos, reikalingos žemės perdavimo  naudotis savivaldybei procedūrų atlikimo, parengimas, vnt.</t>
  </si>
  <si>
    <t>Įrengta stotelių su įvažomis, vnt.</t>
  </si>
  <si>
    <t xml:space="preserve">Parengtas techninis projektas (Žvejų g., Teatro g., Sukilėlių g., Daržų g., Aukštoji g., Didžioji Vandens g., Vežėjų g.), vnt. </t>
  </si>
  <si>
    <t>Parengtas Tomo ir Pylimo g. techninis projektas, vnt.</t>
  </si>
  <si>
    <t>Įdiegta transporto (I etapas) valdymo sistema. Užbaigtumas, proc.</t>
  </si>
  <si>
    <t>Atlikta remonto darbų. Užbaigtumas, proc.</t>
  </si>
  <si>
    <t>Atlikta Dailės g. su projekto parengimu  remonto darbų. Užbaigtumas, proc.</t>
  </si>
  <si>
    <t>Atlikta Dienovidžio g. remonto darbų. Užbaigtumas, proc.</t>
  </si>
  <si>
    <t>P1</t>
  </si>
  <si>
    <t>P1, P6</t>
  </si>
  <si>
    <t>Lypkių pervažos įrengimas</t>
  </si>
  <si>
    <t>Kursuojančių ekologiškų elektrinių autobusų skaičius</t>
  </si>
  <si>
    <t>Mogiliovo gyvenamojo rajono gatvės (pagal poreikį viena iš šio gyvenamojo rajono gatvių);</t>
  </si>
  <si>
    <t>Atlikta kelio Taikos pr. 109 ir 101 atnaujinimo darbų. Užbaigtumas, proc.</t>
  </si>
  <si>
    <t>Atlikta kelio  į Debreceno g. 61 atnaujinimo darbų. Užbaigtumas, proc.</t>
  </si>
  <si>
    <t>2</t>
  </si>
  <si>
    <t>2.1.2.5</t>
  </si>
  <si>
    <t>2.1.2.10</t>
  </si>
  <si>
    <r>
      <rPr>
        <b/>
        <sz val="9"/>
        <rFont val="Times New Roman"/>
        <family val="1"/>
        <charset val="186"/>
      </rPr>
      <t xml:space="preserve">P2, </t>
    </r>
    <r>
      <rPr>
        <sz val="9"/>
        <rFont val="Times New Roman"/>
        <family val="1"/>
        <charset val="186"/>
      </rPr>
      <t>2.1.2.5</t>
    </r>
  </si>
  <si>
    <t>laikinai patirtų vykdant keleivinio kelių transporto viešųjų paslaugų vežant keleivius vietinio (miesto) reguliaraus susisiekimo autobusų maršrutais</t>
  </si>
  <si>
    <t>2019-ųjų metų asignavimų planas*</t>
  </si>
  <si>
    <r>
      <rPr>
        <b/>
        <sz val="9"/>
        <rFont val="Times New Roman"/>
        <family val="1"/>
        <charset val="186"/>
      </rPr>
      <t xml:space="preserve">P2, </t>
    </r>
    <r>
      <rPr>
        <sz val="9"/>
        <rFont val="Times New Roman"/>
        <family val="1"/>
        <charset val="186"/>
      </rPr>
      <t xml:space="preserve"> P2.1.2.8</t>
    </r>
  </si>
  <si>
    <t>09</t>
  </si>
  <si>
    <t>Tauralaukio gatvės</t>
  </si>
  <si>
    <t>Planuotos, tačiau 2019 m. nesuremontuotos gatvės. SPG STR3-13 posėdyje nuspręsta 2019-2021 SVP keitime gatvių nekoreguoti</t>
  </si>
  <si>
    <t>Darnaus judumo projektų įgyvendinimas:</t>
  </si>
  <si>
    <t>Parengtas planas, vnt.</t>
  </si>
  <si>
    <t>Viešojo transporto parko atnaujinimo veiksmų plano parengimas ir įgyvendinimas</t>
  </si>
  <si>
    <t>0,4</t>
  </si>
  <si>
    <t>5,3</t>
  </si>
  <si>
    <t>Kursuojančių ekologiškų elektrinių autobusų skaičius, vnt.</t>
  </si>
  <si>
    <t xml:space="preserve">P1, P2 </t>
  </si>
  <si>
    <t>Įsigyti šviesoforų postų eismo valdymo įrendiniai, vnt.</t>
  </si>
  <si>
    <t>11</t>
  </si>
  <si>
    <t>12</t>
  </si>
  <si>
    <t>13</t>
  </si>
  <si>
    <t>14</t>
  </si>
  <si>
    <t>Parengtas pėsčiųjų takų ir laiptų prie Kultūros centro „Žvejų rūmai“ aprašas, vnt.</t>
  </si>
  <si>
    <r>
      <t xml:space="preserve">P2.1.2.5,   </t>
    </r>
    <r>
      <rPr>
        <b/>
        <sz val="10"/>
        <rFont val="Times New Roman"/>
        <family val="1"/>
        <charset val="186"/>
      </rPr>
      <t>P6</t>
    </r>
  </si>
  <si>
    <t>Rekonstruoti, tiesti ir prižiūrėti gatves</t>
  </si>
  <si>
    <t>Atlikta įrengimo darbų. Užbaigtumas, proc.</t>
  </si>
  <si>
    <t xml:space="preserve">Transporto (eismo) valdymo sistemos diegimas </t>
  </si>
  <si>
    <t>Naujo tilto su pakeliamu mechanizmu per Danę statybos dokumentacijos parengimas</t>
  </si>
  <si>
    <t xml:space="preserve"> Projektų skyrius </t>
  </si>
  <si>
    <t>Žemėtvarkos skyrius</t>
  </si>
  <si>
    <t>Statybos ir infrastruktūros plėtros skyrius</t>
  </si>
  <si>
    <t xml:space="preserve">Projektų skyrius </t>
  </si>
  <si>
    <t>Miesto tvarkymo skyrius</t>
  </si>
  <si>
    <t>I, P1</t>
  </si>
  <si>
    <t>I, P1 P2</t>
  </si>
  <si>
    <t>Projekto „Darnaus judumo planavimas: bendradarbiavimas bei ryšiai urbanistinėje sistemoje (SUMP- PLUS)“ įgyvendinimas</t>
  </si>
  <si>
    <t>Projektų skyrius</t>
  </si>
  <si>
    <t xml:space="preserve"> Transporto skyrius</t>
  </si>
  <si>
    <t xml:space="preserve">Atlikta kitų gatvių  remonto darbų. Užbaigtumas, proc. </t>
  </si>
  <si>
    <t xml:space="preserve"> Ištisinio asfaltbetonio dangos įrengimas: </t>
  </si>
  <si>
    <t>Transporto srautų modeliavimas</t>
  </si>
  <si>
    <t>3</t>
  </si>
  <si>
    <t>4</t>
  </si>
  <si>
    <t>7</t>
  </si>
  <si>
    <t xml:space="preserve">2020–2022 M. KLAIPĖDOS MIESTO SAVIVALDYBĖS     </t>
  </si>
  <si>
    <t>P</t>
  </si>
  <si>
    <t>P,  P2</t>
  </si>
  <si>
    <t>Laikino kelio (Lypkių pervažoje) įrengimas</t>
  </si>
  <si>
    <t xml:space="preserve">2020 m. </t>
  </si>
  <si>
    <t>P, P2</t>
  </si>
  <si>
    <t>P, P6</t>
  </si>
  <si>
    <t>Koreguotas techninis projektas, vnt.</t>
  </si>
  <si>
    <t>Paklota ištisinio asfaltbetonio dangos (2022 m. bus planujamas naujas poreikis), ha</t>
  </si>
  <si>
    <t>Įrengtas laikinas kelias (Lypkių pervažoje). Užbaigtumas, proc.</t>
  </si>
  <si>
    <t>Gatvės ir pėsčiųjų bei dviračių takų įrengimas prisidedant prie BĮ Lietuvos jūrų muziejaus projekto „Baltijos jūros gyvūnų reabilitacinis centras“  įgyvendinimo</t>
  </si>
  <si>
    <t xml:space="preserve"> - papildomoms socialinėms grupėms</t>
  </si>
  <si>
    <t>Socialinių grupių, kurioms taikoma 99 proc. nuolaida, skaičius</t>
  </si>
  <si>
    <t>SB"</t>
  </si>
  <si>
    <t>180</t>
  </si>
  <si>
    <t>1000</t>
  </si>
  <si>
    <t>500</t>
  </si>
  <si>
    <t>senjorų virš 80 metų, ( tūkst.)skaičius</t>
  </si>
  <si>
    <t>senjorų nuo 70 iki 79, (tūkst.) skaičius</t>
  </si>
  <si>
    <t>senjorų nuo 63 iki 69, (tūkst.) skaičius</t>
  </si>
  <si>
    <t>180"</t>
  </si>
  <si>
    <t>580"</t>
  </si>
  <si>
    <t>880"</t>
  </si>
  <si>
    <t>SB(ESA)</t>
  </si>
  <si>
    <r>
      <t xml:space="preserve">Savivaldybės biudžeto apyvartos lėšos Europos Sąjungos finansinės paramos programų laikinam lėšų stygiui dengti </t>
    </r>
    <r>
      <rPr>
        <b/>
        <sz val="10"/>
        <rFont val="Times New Roman"/>
        <family val="1"/>
        <charset val="186"/>
      </rPr>
      <t xml:space="preserve"> SB(ESA)</t>
    </r>
  </si>
  <si>
    <t>SB(VB)</t>
  </si>
  <si>
    <t>15</t>
  </si>
  <si>
    <t>16</t>
  </si>
  <si>
    <t>17</t>
  </si>
  <si>
    <t>19</t>
  </si>
  <si>
    <t>20</t>
  </si>
  <si>
    <t>21</t>
  </si>
  <si>
    <t>22</t>
  </si>
  <si>
    <t>23</t>
  </si>
  <si>
    <t>24</t>
  </si>
  <si>
    <t>25</t>
  </si>
  <si>
    <t>26</t>
  </si>
  <si>
    <t>27</t>
  </si>
  <si>
    <t>28</t>
  </si>
  <si>
    <t>29</t>
  </si>
  <si>
    <t>30</t>
  </si>
  <si>
    <t>31</t>
  </si>
  <si>
    <t>32</t>
  </si>
  <si>
    <t>Sankryžų skaičius, kuriose atliktos transporto srautų analizės, vnt.</t>
  </si>
  <si>
    <t>Parengtas techninis projektas (ruožas nuo Laivų skg. iki Artojų g.), vnt.</t>
  </si>
  <si>
    <t>Klaipėdos miesto gatvių rekonstravimas bendromis savivaldybės ir privačių asmenų lėšomis</t>
  </si>
  <si>
    <t>Eismo juostos, skirtos iš Prano Lideikio g. pasukti į H. Manto gatvę, įrengimas</t>
  </si>
  <si>
    <t>Įrengtas Smiltynės g. ruožas su dviračių ir pėsčiųjų takais, proc.</t>
  </si>
  <si>
    <t>Joniškės g. (neremontuotas ruožas šalia Klaipėdos baldų įmonės iki Bangų g.);</t>
  </si>
  <si>
    <t>H. Manto (labiausiai pažeisti ruožai, vietos);</t>
  </si>
  <si>
    <t>Šilutės plento senasis ruožas (projektavimas);</t>
  </si>
  <si>
    <t>Įrengtas Smiltynės g. ruožas su dviračių ir pėsčiųjų takais. Užbaigtumas, proc.</t>
  </si>
  <si>
    <t xml:space="preserve">Jūrininkų prospekto ruožo nuo Šilutės pl. iki Minijos g. rekonstrukcija </t>
  </si>
  <si>
    <t>H. Manto (labiausiai pažeisti ruoži, vietos);</t>
  </si>
  <si>
    <t>Šilutės pl. senasis ruožas;</t>
  </si>
  <si>
    <t>Vingio g. (ruožas nuo Smiltelės g. iki Šilutės pl.);</t>
  </si>
  <si>
    <t>Šilutės pl. senasis ruožasa;</t>
  </si>
  <si>
    <t>Gatvių sarašas bus sudaromas po gatvių apžiūrų 2021–2022 m.</t>
  </si>
  <si>
    <t xml:space="preserve">Šalia Klaipėdos Simono Dacho progimnazijos esančio Jūrininkų tako gatvės pailginimas </t>
  </si>
  <si>
    <t>Vilniaus dailės akademijos Klaipėdos fakulteto teritorijos sutvarkymas</t>
  </si>
  <si>
    <t>Kelio Klaipėda–Kretinga Nr. 168 (Medelyno g.) rekonstravimas</t>
  </si>
  <si>
    <t>Įvažiuojamojo kelio ir šalia esančio skvero į Taikos pr. 109 ;</t>
  </si>
  <si>
    <t>Transporto balso funkcijos, skirtos regėjimo negalią turintiems žmonėms, įdiegimas</t>
  </si>
  <si>
    <r>
      <t>Įvažos pratęsimo Naujojo turgaus autobusų stotelėje įrengimas (</t>
    </r>
    <r>
      <rPr>
        <i/>
        <sz val="10"/>
        <rFont val="Times New Roman"/>
        <family val="1"/>
        <charset val="186"/>
      </rPr>
      <t>kryptis į pietinę miesto dalį</t>
    </r>
    <r>
      <rPr>
        <sz val="10"/>
        <rFont val="Times New Roman"/>
        <family val="1"/>
        <charset val="186"/>
      </rPr>
      <t xml:space="preserve">)  </t>
    </r>
  </si>
  <si>
    <r>
      <t>Įvažos pratęsimo Naujojo turgaus autobusų stotelėjeįrengimas (</t>
    </r>
    <r>
      <rPr>
        <i/>
        <sz val="10"/>
        <rFont val="Times New Roman"/>
        <family val="1"/>
        <charset val="186"/>
      </rPr>
      <t>kryptis į pietinę miesto dalį</t>
    </r>
    <r>
      <rPr>
        <sz val="10"/>
        <rFont val="Times New Roman"/>
        <family val="1"/>
        <charset val="186"/>
      </rPr>
      <t xml:space="preserve">)  </t>
    </r>
  </si>
  <si>
    <t>Transporto srautų analizė, skirta žaliųjų rodyklių grąžinimui</t>
  </si>
  <si>
    <t>Projekto „Darnaus judumo planavimas: bendradarbiavimas bei ryšiai urbanistinėje sistemoje (SUMP-PLUS)“ įgyvendinimas</t>
  </si>
  <si>
    <t>Eksploatuojama elektromobilių įkrovimo stotelių, įrengtų pagal ES projektą, vnt.</t>
  </si>
  <si>
    <t>*Pagal Klaipėdos miesto savivaldybės tarybos 2019-10-24 sprendimą Nr. T2-293</t>
  </si>
  <si>
    <t>Atlikta gatvės rekonstravimo darbų. Užbaigtumas, proc.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</si>
</sst>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409]General"/>
  </numFmts>
  <fonts count="39" x14ac:knownFonts="1">
    <font>
      <sz val="10"/>
      <name val="Arial"/>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8"/>
      <name val="Arial"/>
      <family val="2"/>
      <charset val="186"/>
    </font>
    <font>
      <sz val="10"/>
      <color rgb="FFFF0000"/>
      <name val="Times New Roman"/>
      <family val="1"/>
      <charset val="186"/>
    </font>
    <font>
      <sz val="7"/>
      <name val="Arial"/>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b/>
      <i/>
      <sz val="10"/>
      <name val="Times New Roman"/>
      <family val="1"/>
      <charset val="186"/>
    </font>
    <font>
      <sz val="10"/>
      <color rgb="FF1F497D"/>
      <name val="Times New Roman"/>
      <family val="1"/>
      <charset val="186"/>
    </font>
    <font>
      <b/>
      <sz val="10"/>
      <color rgb="FFFF0000"/>
      <name val="Times New Roman"/>
      <family val="1"/>
      <charset val="186"/>
    </font>
    <font>
      <sz val="12"/>
      <name val="Times New Roman"/>
      <family val="1"/>
      <charset val="186"/>
    </font>
    <font>
      <b/>
      <sz val="10"/>
      <color theme="1"/>
      <name val="Times New Roman"/>
      <family val="1"/>
      <charset val="186"/>
    </font>
    <font>
      <sz val="8"/>
      <color indexed="81"/>
      <name val="Tahoma"/>
      <family val="2"/>
      <charset val="186"/>
    </font>
    <font>
      <sz val="10"/>
      <name val="Times New Roman"/>
      <family val="1"/>
    </font>
    <font>
      <b/>
      <sz val="8"/>
      <color indexed="81"/>
      <name val="Tahoma"/>
      <family val="2"/>
      <charset val="186"/>
    </font>
    <font>
      <strike/>
      <sz val="10"/>
      <name val="Times New Roman"/>
      <family val="1"/>
      <charset val="186"/>
    </font>
    <font>
      <b/>
      <sz val="11"/>
      <name val="Calibri"/>
      <family val="2"/>
      <charset val="186"/>
      <scheme val="minor"/>
    </font>
    <font>
      <b/>
      <sz val="10"/>
      <name val="Arial"/>
      <family val="2"/>
      <charset val="186"/>
    </font>
    <font>
      <sz val="11"/>
      <color rgb="FF000000"/>
      <name val="Calibri"/>
      <family val="2"/>
      <charset val="186"/>
    </font>
    <font>
      <sz val="10"/>
      <color theme="3"/>
      <name val="Times New Roman"/>
      <family val="1"/>
      <charset val="186"/>
    </font>
    <font>
      <i/>
      <sz val="9"/>
      <name val="Times New Roman"/>
      <family val="1"/>
      <charset val="186"/>
    </font>
    <font>
      <i/>
      <sz val="10"/>
      <name val="Arial"/>
      <family val="2"/>
      <charset val="186"/>
    </font>
    <font>
      <i/>
      <sz val="9"/>
      <name val="Arial"/>
      <family val="2"/>
      <charset val="186"/>
    </font>
    <font>
      <b/>
      <i/>
      <sz val="8"/>
      <name val="Times New Roman"/>
      <family val="1"/>
      <charset val="186"/>
    </font>
    <font>
      <sz val="9"/>
      <name val="Arial"/>
      <family val="2"/>
      <charset val="186"/>
    </font>
    <font>
      <i/>
      <sz val="7"/>
      <name val="Times New Roman"/>
      <family val="1"/>
      <charset val="186"/>
    </font>
    <font>
      <b/>
      <i/>
      <sz val="10"/>
      <name val="Arial"/>
      <family val="2"/>
      <charset val="186"/>
    </font>
    <font>
      <b/>
      <i/>
      <sz val="9"/>
      <color indexed="81"/>
      <name val="Tahoma"/>
      <family val="2"/>
      <charset val="186"/>
    </font>
    <font>
      <sz val="9"/>
      <color rgb="FFFF0000"/>
      <name val="Times New Roman"/>
      <family val="1"/>
      <charset val="186"/>
    </font>
  </fonts>
  <fills count="14">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rgb="FFFFFFCC"/>
        <bgColor indexed="64"/>
      </patternFill>
    </fill>
    <fill>
      <patternFill patternType="solid">
        <fgColor rgb="FF92D050"/>
        <bgColor indexed="64"/>
      </patternFill>
    </fill>
    <fill>
      <patternFill patternType="solid">
        <fgColor rgb="FFFFFF00"/>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thin">
        <color indexed="64"/>
      </left>
      <right style="medium">
        <color indexed="64"/>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s>
  <cellStyleXfs count="4">
    <xf numFmtId="0" fontId="0" fillId="0" borderId="0"/>
    <xf numFmtId="164" fontId="6" fillId="0" borderId="0" applyFont="0" applyFill="0" applyBorder="0" applyAlignment="0" applyProtection="0"/>
    <xf numFmtId="0" fontId="6" fillId="0" borderId="0"/>
    <xf numFmtId="166" fontId="28" fillId="0" borderId="0" applyBorder="0" applyProtection="0"/>
  </cellStyleXfs>
  <cellXfs count="1742">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6" fillId="0" borderId="0" xfId="0" applyFont="1"/>
    <xf numFmtId="0" fontId="2" fillId="0" borderId="0" xfId="0" applyNumberFormat="1" applyFont="1" applyAlignment="1">
      <alignment vertical="top"/>
    </xf>
    <xf numFmtId="49" fontId="2" fillId="2" borderId="34" xfId="0" applyNumberFormat="1" applyFont="1" applyFill="1" applyBorder="1" applyAlignment="1">
      <alignment horizontal="center" vertical="top"/>
    </xf>
    <xf numFmtId="165" fontId="1" fillId="0" borderId="0" xfId="0" applyNumberFormat="1" applyFont="1" applyAlignment="1">
      <alignment vertical="top"/>
    </xf>
    <xf numFmtId="0" fontId="1" fillId="0" borderId="31" xfId="0" applyFont="1" applyBorder="1" applyAlignment="1">
      <alignment vertical="top"/>
    </xf>
    <xf numFmtId="0" fontId="2" fillId="0" borderId="31" xfId="0" applyNumberFormat="1" applyFont="1" applyBorder="1" applyAlignment="1">
      <alignment vertical="top"/>
    </xf>
    <xf numFmtId="49" fontId="2" fillId="9" borderId="15" xfId="0" applyNumberFormat="1" applyFont="1" applyFill="1" applyBorder="1" applyAlignment="1">
      <alignment horizontal="center" vertical="top" wrapText="1"/>
    </xf>
    <xf numFmtId="0" fontId="1" fillId="7" borderId="28" xfId="0" applyFont="1" applyFill="1" applyBorder="1" applyAlignment="1">
      <alignment vertical="top" wrapText="1"/>
    </xf>
    <xf numFmtId="3" fontId="1" fillId="7" borderId="27" xfId="0" applyNumberFormat="1" applyFont="1" applyFill="1" applyBorder="1" applyAlignment="1">
      <alignment horizontal="center" vertical="top"/>
    </xf>
    <xf numFmtId="3" fontId="1" fillId="7" borderId="26" xfId="0" applyNumberFormat="1" applyFont="1" applyFill="1" applyBorder="1" applyAlignment="1">
      <alignment horizontal="center" vertical="top"/>
    </xf>
    <xf numFmtId="3" fontId="1" fillId="7" borderId="80" xfId="0" applyNumberFormat="1" applyFont="1" applyFill="1" applyBorder="1" applyAlignment="1">
      <alignment horizontal="center" vertical="top"/>
    </xf>
    <xf numFmtId="3" fontId="1" fillId="7" borderId="81" xfId="0" applyNumberFormat="1" applyFont="1" applyFill="1" applyBorder="1" applyAlignment="1">
      <alignment horizontal="center" vertical="top"/>
    </xf>
    <xf numFmtId="0" fontId="1" fillId="7" borderId="79" xfId="0" applyFont="1" applyFill="1" applyBorder="1" applyAlignment="1">
      <alignment horizontal="left" vertical="top" wrapText="1"/>
    </xf>
    <xf numFmtId="3" fontId="1" fillId="7" borderId="26" xfId="0" applyNumberFormat="1" applyFont="1" applyFill="1" applyBorder="1" applyAlignment="1">
      <alignment horizontal="center" vertical="top" wrapText="1"/>
    </xf>
    <xf numFmtId="3" fontId="1" fillId="0" borderId="81" xfId="0" applyNumberFormat="1" applyFont="1" applyFill="1" applyBorder="1" applyAlignment="1">
      <alignment horizontal="center" vertical="top"/>
    </xf>
    <xf numFmtId="165" fontId="1" fillId="0" borderId="10" xfId="0" applyNumberFormat="1" applyFont="1" applyFill="1" applyBorder="1" applyAlignment="1">
      <alignment horizontal="center" vertical="top"/>
    </xf>
    <xf numFmtId="165" fontId="1" fillId="0" borderId="17" xfId="0" applyNumberFormat="1" applyFont="1" applyFill="1" applyBorder="1" applyAlignment="1">
      <alignment horizontal="center" vertical="top"/>
    </xf>
    <xf numFmtId="3" fontId="1" fillId="0" borderId="0" xfId="0" applyNumberFormat="1" applyFont="1" applyBorder="1" applyAlignment="1">
      <alignment vertical="top"/>
    </xf>
    <xf numFmtId="165" fontId="1" fillId="7" borderId="47"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34" xfId="0" applyNumberFormat="1" applyFont="1" applyFill="1" applyBorder="1" applyAlignment="1">
      <alignment horizontal="center" vertical="top"/>
    </xf>
    <xf numFmtId="165" fontId="1" fillId="7" borderId="27" xfId="0" applyNumberFormat="1" applyFont="1" applyFill="1" applyBorder="1" applyAlignment="1">
      <alignment horizontal="center" vertical="top"/>
    </xf>
    <xf numFmtId="165" fontId="1" fillId="7" borderId="26" xfId="0" applyNumberFormat="1" applyFont="1" applyFill="1" applyBorder="1" applyAlignment="1">
      <alignment horizontal="center" vertical="top"/>
    </xf>
    <xf numFmtId="0" fontId="1" fillId="7" borderId="61" xfId="0" applyFont="1" applyFill="1" applyBorder="1" applyAlignment="1">
      <alignment horizontal="center" vertical="top"/>
    </xf>
    <xf numFmtId="0" fontId="1" fillId="7" borderId="33" xfId="0" applyFont="1" applyFill="1" applyBorder="1" applyAlignment="1">
      <alignment horizontal="center" vertical="top"/>
    </xf>
    <xf numFmtId="3" fontId="1" fillId="7" borderId="34" xfId="0" applyNumberFormat="1" applyFont="1" applyFill="1" applyBorder="1" applyAlignment="1">
      <alignment horizontal="center" vertical="top"/>
    </xf>
    <xf numFmtId="165" fontId="1" fillId="7" borderId="19" xfId="0" applyNumberFormat="1" applyFont="1" applyFill="1" applyBorder="1" applyAlignment="1">
      <alignment horizontal="center" vertical="top"/>
    </xf>
    <xf numFmtId="165" fontId="1" fillId="0" borderId="0" xfId="0" applyNumberFormat="1" applyFont="1" applyBorder="1" applyAlignment="1">
      <alignment vertical="top"/>
    </xf>
    <xf numFmtId="165" fontId="1" fillId="7" borderId="22" xfId="0" applyNumberFormat="1" applyFont="1" applyFill="1" applyBorder="1" applyAlignment="1">
      <alignment vertical="top"/>
    </xf>
    <xf numFmtId="3" fontId="1" fillId="0" borderId="34" xfId="0" applyNumberFormat="1" applyFont="1" applyFill="1" applyBorder="1" applyAlignment="1">
      <alignment horizontal="center" vertical="top" wrapText="1"/>
    </xf>
    <xf numFmtId="165" fontId="1" fillId="0" borderId="22" xfId="0" applyNumberFormat="1" applyFont="1" applyBorder="1" applyAlignment="1">
      <alignment horizontal="center" vertical="top"/>
    </xf>
    <xf numFmtId="165" fontId="1" fillId="0" borderId="5" xfId="0" applyNumberFormat="1" applyFont="1" applyFill="1" applyBorder="1" applyAlignment="1">
      <alignment horizontal="center" vertical="top"/>
    </xf>
    <xf numFmtId="165" fontId="1" fillId="7" borderId="86" xfId="0" applyNumberFormat="1" applyFont="1" applyFill="1" applyBorder="1" applyAlignment="1">
      <alignment horizontal="center" vertical="top"/>
    </xf>
    <xf numFmtId="165" fontId="1" fillId="7" borderId="42" xfId="0" applyNumberFormat="1" applyFont="1" applyFill="1" applyBorder="1" applyAlignment="1">
      <alignment horizontal="center" vertical="top"/>
    </xf>
    <xf numFmtId="165" fontId="1" fillId="7" borderId="5" xfId="0" applyNumberFormat="1" applyFont="1" applyFill="1" applyBorder="1" applyAlignment="1">
      <alignment horizontal="center" vertical="top"/>
    </xf>
    <xf numFmtId="165" fontId="1" fillId="7" borderId="5" xfId="0" applyNumberFormat="1" applyFont="1" applyFill="1" applyBorder="1" applyAlignment="1">
      <alignment horizontal="center" vertical="top" wrapText="1"/>
    </xf>
    <xf numFmtId="165" fontId="1" fillId="7" borderId="90" xfId="0" applyNumberFormat="1" applyFont="1" applyFill="1" applyBorder="1" applyAlignment="1">
      <alignment horizontal="center" vertical="top"/>
    </xf>
    <xf numFmtId="165" fontId="2" fillId="9" borderId="69" xfId="0" applyNumberFormat="1" applyFont="1" applyFill="1" applyBorder="1" applyAlignment="1">
      <alignment horizontal="center" vertical="top"/>
    </xf>
    <xf numFmtId="165" fontId="1" fillId="3" borderId="22" xfId="0" applyNumberFormat="1" applyFont="1" applyFill="1" applyBorder="1" applyAlignment="1">
      <alignment horizontal="center" vertical="top"/>
    </xf>
    <xf numFmtId="165" fontId="1" fillId="7" borderId="98" xfId="0" applyNumberFormat="1" applyFont="1" applyFill="1" applyBorder="1" applyAlignment="1">
      <alignment horizontal="center" vertical="top"/>
    </xf>
    <xf numFmtId="165" fontId="2" fillId="9" borderId="52" xfId="0" applyNumberFormat="1" applyFont="1" applyFill="1" applyBorder="1" applyAlignment="1">
      <alignment horizontal="center" vertical="top"/>
    </xf>
    <xf numFmtId="165" fontId="2" fillId="2" borderId="3" xfId="0" applyNumberFormat="1" applyFont="1" applyFill="1" applyBorder="1" applyAlignment="1">
      <alignment horizontal="center" vertical="top"/>
    </xf>
    <xf numFmtId="165" fontId="1" fillId="7" borderId="65" xfId="0" applyNumberFormat="1" applyFont="1" applyFill="1" applyBorder="1" applyAlignment="1">
      <alignment horizontal="center" vertical="top"/>
    </xf>
    <xf numFmtId="165" fontId="1" fillId="7" borderId="33" xfId="0" applyNumberFormat="1" applyFont="1" applyFill="1" applyBorder="1" applyAlignment="1">
      <alignment horizontal="center" vertical="top"/>
    </xf>
    <xf numFmtId="165" fontId="1" fillId="0" borderId="93" xfId="0" applyNumberFormat="1" applyFont="1" applyFill="1" applyBorder="1" applyAlignment="1">
      <alignment horizontal="center" vertical="top"/>
    </xf>
    <xf numFmtId="165" fontId="1" fillId="7" borderId="79" xfId="0" applyNumberFormat="1" applyFont="1" applyFill="1" applyBorder="1" applyAlignment="1">
      <alignment horizontal="left" vertical="top" wrapText="1"/>
    </xf>
    <xf numFmtId="165" fontId="1" fillId="7" borderId="61" xfId="0" applyNumberFormat="1" applyFont="1" applyFill="1" applyBorder="1" applyAlignment="1">
      <alignment horizontal="center" vertical="top"/>
    </xf>
    <xf numFmtId="165" fontId="1" fillId="7" borderId="48" xfId="0" applyNumberFormat="1" applyFont="1" applyFill="1" applyBorder="1" applyAlignment="1">
      <alignment horizontal="center" vertical="top"/>
    </xf>
    <xf numFmtId="165" fontId="2" fillId="7" borderId="0" xfId="0" applyNumberFormat="1" applyFont="1" applyFill="1" applyBorder="1" applyAlignment="1">
      <alignment horizontal="center" vertical="top"/>
    </xf>
    <xf numFmtId="165" fontId="2" fillId="8" borderId="55" xfId="0" applyNumberFormat="1" applyFont="1" applyFill="1" applyBorder="1" applyAlignment="1">
      <alignment horizontal="center" vertical="top"/>
    </xf>
    <xf numFmtId="165" fontId="2" fillId="9" borderId="53" xfId="0" applyNumberFormat="1" applyFont="1" applyFill="1" applyBorder="1" applyAlignment="1">
      <alignment horizontal="center" vertical="top"/>
    </xf>
    <xf numFmtId="165" fontId="1" fillId="7" borderId="9" xfId="0" applyNumberFormat="1" applyFont="1" applyFill="1" applyBorder="1" applyAlignment="1">
      <alignment horizontal="center" vertical="top"/>
    </xf>
    <xf numFmtId="165" fontId="1" fillId="7" borderId="11" xfId="0" applyNumberFormat="1" applyFont="1" applyFill="1" applyBorder="1" applyAlignment="1">
      <alignment horizontal="left" vertical="top" wrapText="1"/>
    </xf>
    <xf numFmtId="165" fontId="2" fillId="7" borderId="10" xfId="0" applyNumberFormat="1" applyFont="1" applyFill="1" applyBorder="1" applyAlignment="1">
      <alignment vertical="top"/>
    </xf>
    <xf numFmtId="165" fontId="1" fillId="7" borderId="0" xfId="0" applyNumberFormat="1" applyFont="1" applyFill="1" applyBorder="1" applyAlignment="1">
      <alignment horizontal="center" vertical="top"/>
    </xf>
    <xf numFmtId="165" fontId="2" fillId="5" borderId="52"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19" xfId="0" applyNumberFormat="1" applyFont="1" applyFill="1" applyBorder="1" applyAlignment="1">
      <alignment horizontal="center" vertical="center" wrapText="1"/>
    </xf>
    <xf numFmtId="165" fontId="5" fillId="7" borderId="13" xfId="0" applyNumberFormat="1" applyFont="1" applyFill="1" applyBorder="1" applyAlignment="1">
      <alignment horizontal="center" vertical="center" textRotation="90" wrapText="1"/>
    </xf>
    <xf numFmtId="165" fontId="6" fillId="7" borderId="27" xfId="0" applyNumberFormat="1" applyFont="1" applyFill="1" applyBorder="1" applyAlignment="1">
      <alignment horizontal="center" vertical="center" textRotation="90" wrapText="1"/>
    </xf>
    <xf numFmtId="165" fontId="1" fillId="3" borderId="27" xfId="0" applyNumberFormat="1" applyFont="1" applyFill="1" applyBorder="1" applyAlignment="1">
      <alignment horizontal="center" vertical="top" wrapText="1"/>
    </xf>
    <xf numFmtId="165" fontId="2" fillId="7" borderId="13" xfId="0" applyNumberFormat="1" applyFont="1" applyFill="1" applyBorder="1" applyAlignment="1">
      <alignment vertical="top" wrapText="1"/>
    </xf>
    <xf numFmtId="165" fontId="1" fillId="7" borderId="47" xfId="0" applyNumberFormat="1" applyFont="1" applyFill="1" applyBorder="1" applyAlignment="1">
      <alignment horizontal="center" vertical="top" wrapText="1"/>
    </xf>
    <xf numFmtId="165" fontId="1" fillId="7" borderId="46"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165" fontId="1" fillId="7" borderId="44" xfId="0" applyNumberFormat="1" applyFont="1" applyFill="1" applyBorder="1" applyAlignment="1">
      <alignment horizontal="center" vertical="top"/>
    </xf>
    <xf numFmtId="165" fontId="1" fillId="7" borderId="57" xfId="0" applyNumberFormat="1" applyFont="1" applyFill="1" applyBorder="1" applyAlignment="1">
      <alignment horizontal="center" vertical="top"/>
    </xf>
    <xf numFmtId="165" fontId="1" fillId="7" borderId="99" xfId="0" applyNumberFormat="1" applyFont="1" applyFill="1" applyBorder="1" applyAlignment="1">
      <alignment horizontal="center" vertical="top"/>
    </xf>
    <xf numFmtId="165" fontId="1" fillId="7" borderId="61" xfId="0" applyNumberFormat="1" applyFont="1" applyFill="1" applyBorder="1" applyAlignment="1">
      <alignment horizontal="center" vertical="top" wrapText="1"/>
    </xf>
    <xf numFmtId="165" fontId="1" fillId="7" borderId="35"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28" xfId="0" applyNumberFormat="1" applyFont="1" applyFill="1" applyBorder="1" applyAlignment="1">
      <alignment horizontal="center" vertical="top"/>
    </xf>
    <xf numFmtId="165" fontId="1" fillId="7" borderId="79" xfId="0" applyNumberFormat="1" applyFont="1" applyFill="1" applyBorder="1" applyAlignment="1">
      <alignment horizontal="center" vertical="top"/>
    </xf>
    <xf numFmtId="165" fontId="1" fillId="7" borderId="11" xfId="0" applyNumberFormat="1" applyFont="1" applyFill="1" applyBorder="1" applyAlignment="1">
      <alignment horizontal="center" vertical="top"/>
    </xf>
    <xf numFmtId="165" fontId="1" fillId="7" borderId="76"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165" fontId="2" fillId="8" borderId="63" xfId="0" applyNumberFormat="1" applyFont="1" applyFill="1" applyBorder="1" applyAlignment="1">
      <alignment horizontal="center" vertical="top"/>
    </xf>
    <xf numFmtId="165" fontId="6" fillId="7" borderId="18" xfId="0" applyNumberFormat="1" applyFont="1" applyFill="1" applyBorder="1" applyAlignment="1">
      <alignment horizontal="center" vertical="center" textRotation="90" wrapText="1"/>
    </xf>
    <xf numFmtId="165" fontId="2" fillId="2" borderId="23" xfId="0" applyNumberFormat="1" applyFont="1" applyFill="1" applyBorder="1" applyAlignment="1">
      <alignment horizontal="center" vertical="top"/>
    </xf>
    <xf numFmtId="165" fontId="2" fillId="9" borderId="63" xfId="0" applyNumberFormat="1" applyFont="1" applyFill="1" applyBorder="1" applyAlignment="1">
      <alignment horizontal="center" vertical="top"/>
    </xf>
    <xf numFmtId="165" fontId="2" fillId="5" borderId="23" xfId="0" applyNumberFormat="1" applyFont="1" applyFill="1" applyBorder="1" applyAlignment="1">
      <alignment horizontal="center" vertical="top"/>
    </xf>
    <xf numFmtId="165" fontId="1" fillId="7" borderId="48" xfId="0" applyNumberFormat="1" applyFont="1" applyFill="1" applyBorder="1" applyAlignment="1">
      <alignment vertical="top"/>
    </xf>
    <xf numFmtId="165" fontId="1" fillId="7" borderId="94" xfId="0" applyNumberFormat="1" applyFont="1" applyFill="1" applyBorder="1" applyAlignment="1">
      <alignment horizontal="center" vertical="top"/>
    </xf>
    <xf numFmtId="165" fontId="1" fillId="0" borderId="61" xfId="0" applyNumberFormat="1" applyFont="1" applyBorder="1" applyAlignment="1">
      <alignment horizontal="center" vertical="top"/>
    </xf>
    <xf numFmtId="165" fontId="1" fillId="7" borderId="65" xfId="0" applyNumberFormat="1" applyFont="1" applyFill="1" applyBorder="1" applyAlignment="1">
      <alignment vertical="top"/>
    </xf>
    <xf numFmtId="165" fontId="1" fillId="0" borderId="48" xfId="0" applyNumberFormat="1" applyFont="1" applyFill="1" applyBorder="1" applyAlignment="1">
      <alignment horizontal="center" vertical="top"/>
    </xf>
    <xf numFmtId="165" fontId="1" fillId="7" borderId="72" xfId="0" applyNumberFormat="1" applyFont="1" applyFill="1" applyBorder="1" applyAlignment="1">
      <alignment horizontal="center" vertical="top"/>
    </xf>
    <xf numFmtId="165" fontId="2" fillId="0" borderId="0" xfId="0" applyNumberFormat="1" applyFont="1" applyFill="1" applyBorder="1" applyAlignment="1">
      <alignment horizontal="center" vertical="top" wrapText="1"/>
    </xf>
    <xf numFmtId="0" fontId="16" fillId="0" borderId="0" xfId="0" applyFont="1"/>
    <xf numFmtId="0" fontId="1" fillId="0" borderId="60" xfId="0" applyFont="1" applyBorder="1" applyAlignment="1">
      <alignment horizontal="center" vertical="center" textRotation="90"/>
    </xf>
    <xf numFmtId="0" fontId="1" fillId="0" borderId="2" xfId="0" applyFont="1" applyBorder="1" applyAlignment="1">
      <alignment horizontal="center" vertical="center" textRotation="90"/>
    </xf>
    <xf numFmtId="165" fontId="1" fillId="3" borderId="72" xfId="0" applyNumberFormat="1" applyFont="1" applyFill="1" applyBorder="1" applyAlignment="1">
      <alignment horizontal="center" vertical="top"/>
    </xf>
    <xf numFmtId="3" fontId="1" fillId="7" borderId="34" xfId="0" applyNumberFormat="1" applyFont="1" applyFill="1" applyBorder="1" applyAlignment="1">
      <alignment horizontal="center" vertical="top" wrapText="1"/>
    </xf>
    <xf numFmtId="3" fontId="1" fillId="7" borderId="87" xfId="0" applyNumberFormat="1" applyFont="1" applyFill="1" applyBorder="1" applyAlignment="1">
      <alignment horizontal="center" vertical="top"/>
    </xf>
    <xf numFmtId="165" fontId="1" fillId="7" borderId="19" xfId="0" applyNumberFormat="1" applyFont="1" applyFill="1" applyBorder="1" applyAlignment="1">
      <alignment vertical="top"/>
    </xf>
    <xf numFmtId="165" fontId="1" fillId="7" borderId="45" xfId="0" applyNumberFormat="1" applyFont="1" applyFill="1" applyBorder="1" applyAlignment="1">
      <alignment vertical="top"/>
    </xf>
    <xf numFmtId="165" fontId="1" fillId="7" borderId="5" xfId="0" applyNumberFormat="1" applyFont="1" applyFill="1" applyBorder="1" applyAlignment="1">
      <alignment vertical="top"/>
    </xf>
    <xf numFmtId="165" fontId="1" fillId="7" borderId="10" xfId="0" applyNumberFormat="1" applyFont="1" applyFill="1" applyBorder="1" applyAlignment="1">
      <alignment vertical="top"/>
    </xf>
    <xf numFmtId="165" fontId="1" fillId="7" borderId="33" xfId="0" applyNumberFormat="1" applyFont="1" applyFill="1" applyBorder="1" applyAlignment="1">
      <alignment vertical="top"/>
    </xf>
    <xf numFmtId="165" fontId="1" fillId="7" borderId="51" xfId="0" applyNumberFormat="1" applyFont="1" applyFill="1" applyBorder="1" applyAlignment="1">
      <alignment horizontal="center" vertical="top"/>
    </xf>
    <xf numFmtId="165" fontId="1" fillId="0" borderId="12" xfId="0" applyNumberFormat="1" applyFont="1" applyBorder="1" applyAlignment="1">
      <alignment vertical="top"/>
    </xf>
    <xf numFmtId="165" fontId="2" fillId="8" borderId="62" xfId="0" applyNumberFormat="1" applyFont="1" applyFill="1" applyBorder="1" applyAlignment="1">
      <alignment horizontal="center" vertical="top"/>
    </xf>
    <xf numFmtId="165" fontId="1" fillId="7" borderId="24" xfId="0" applyNumberFormat="1" applyFont="1" applyFill="1" applyBorder="1" applyAlignment="1">
      <alignment horizontal="center" vertical="top"/>
    </xf>
    <xf numFmtId="165" fontId="2" fillId="8" borderId="31" xfId="0" applyNumberFormat="1" applyFont="1" applyFill="1" applyBorder="1" applyAlignment="1">
      <alignment horizontal="center" vertical="top"/>
    </xf>
    <xf numFmtId="165" fontId="1" fillId="7" borderId="38" xfId="0" applyNumberFormat="1" applyFont="1" applyFill="1" applyBorder="1" applyAlignment="1">
      <alignment horizontal="center" vertical="top"/>
    </xf>
    <xf numFmtId="165" fontId="1" fillId="7" borderId="54" xfId="0" applyNumberFormat="1" applyFont="1" applyFill="1" applyBorder="1" applyAlignment="1">
      <alignment horizontal="center" vertical="top"/>
    </xf>
    <xf numFmtId="165" fontId="1" fillId="7" borderId="13" xfId="0" applyNumberFormat="1" applyFont="1" applyFill="1" applyBorder="1" applyAlignment="1">
      <alignment horizontal="center" vertical="top"/>
    </xf>
    <xf numFmtId="165" fontId="1" fillId="7" borderId="89" xfId="0" applyNumberFormat="1" applyFont="1" applyFill="1" applyBorder="1" applyAlignment="1">
      <alignment horizontal="center" vertical="top"/>
    </xf>
    <xf numFmtId="165" fontId="1" fillId="0" borderId="80" xfId="0" applyNumberFormat="1" applyFont="1" applyFill="1" applyBorder="1" applyAlignment="1">
      <alignment horizontal="center" vertical="top"/>
    </xf>
    <xf numFmtId="49" fontId="1" fillId="7" borderId="80" xfId="0" applyNumberFormat="1" applyFont="1" applyFill="1" applyBorder="1" applyAlignment="1">
      <alignment horizontal="center" vertical="top"/>
    </xf>
    <xf numFmtId="3" fontId="5" fillId="7" borderId="47" xfId="0" applyNumberFormat="1" applyFont="1" applyFill="1" applyBorder="1" applyAlignment="1">
      <alignment horizontal="center" vertical="top" wrapText="1"/>
    </xf>
    <xf numFmtId="165" fontId="1" fillId="7" borderId="37" xfId="0" applyNumberFormat="1" applyFont="1" applyFill="1" applyBorder="1" applyAlignment="1">
      <alignment horizontal="center" vertical="top"/>
    </xf>
    <xf numFmtId="49" fontId="1" fillId="7" borderId="47" xfId="0" applyNumberFormat="1" applyFont="1" applyFill="1" applyBorder="1" applyAlignment="1">
      <alignment horizontal="center" vertical="top"/>
    </xf>
    <xf numFmtId="3" fontId="1" fillId="7" borderId="100" xfId="0" applyNumberFormat="1" applyFont="1" applyFill="1" applyBorder="1" applyAlignment="1">
      <alignment horizontal="center" vertical="top"/>
    </xf>
    <xf numFmtId="165" fontId="2" fillId="8" borderId="69" xfId="0" applyNumberFormat="1" applyFont="1" applyFill="1" applyBorder="1" applyAlignment="1">
      <alignment horizontal="center" vertical="top"/>
    </xf>
    <xf numFmtId="3" fontId="5" fillId="7" borderId="17" xfId="0" applyNumberFormat="1" applyFont="1" applyFill="1" applyBorder="1" applyAlignment="1">
      <alignment horizontal="center" vertical="top" wrapText="1"/>
    </xf>
    <xf numFmtId="165" fontId="1" fillId="7" borderId="28" xfId="0" applyNumberFormat="1" applyFont="1" applyFill="1" applyBorder="1" applyAlignment="1">
      <alignment vertical="top" wrapText="1"/>
    </xf>
    <xf numFmtId="165" fontId="2" fillId="2" borderId="8" xfId="0" applyNumberFormat="1" applyFont="1" applyFill="1" applyBorder="1" applyAlignment="1">
      <alignment horizontal="center" vertical="top"/>
    </xf>
    <xf numFmtId="165" fontId="2" fillId="8" borderId="58"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165" fontId="1" fillId="7" borderId="49" xfId="0" applyNumberFormat="1" applyFont="1" applyFill="1" applyBorder="1" applyAlignment="1">
      <alignment horizontal="center" vertical="top"/>
    </xf>
    <xf numFmtId="165" fontId="2" fillId="7" borderId="47" xfId="0" applyNumberFormat="1" applyFont="1" applyFill="1" applyBorder="1" applyAlignment="1">
      <alignment vertical="top"/>
    </xf>
    <xf numFmtId="165" fontId="2" fillId="7" borderId="40" xfId="0" applyNumberFormat="1" applyFont="1" applyFill="1" applyBorder="1" applyAlignment="1">
      <alignment vertical="top" wrapText="1"/>
    </xf>
    <xf numFmtId="165" fontId="1" fillId="7" borderId="40" xfId="0" applyNumberFormat="1" applyFont="1" applyFill="1" applyBorder="1" applyAlignment="1">
      <alignment horizontal="center" vertical="top"/>
    </xf>
    <xf numFmtId="165" fontId="1" fillId="7" borderId="25"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165" fontId="1" fillId="0" borderId="14" xfId="0" applyNumberFormat="1" applyFont="1" applyBorder="1" applyAlignment="1">
      <alignment horizontal="center" vertical="top" wrapText="1"/>
    </xf>
    <xf numFmtId="165" fontId="1" fillId="7" borderId="80" xfId="0" applyNumberFormat="1" applyFont="1" applyFill="1" applyBorder="1" applyAlignment="1">
      <alignment vertical="top" wrapText="1"/>
    </xf>
    <xf numFmtId="165" fontId="1" fillId="7" borderId="74" xfId="0" applyNumberFormat="1" applyFont="1" applyFill="1" applyBorder="1" applyAlignment="1">
      <alignment horizontal="left" vertical="top" wrapText="1"/>
    </xf>
    <xf numFmtId="49" fontId="2" fillId="9" borderId="15" xfId="0" applyNumberFormat="1" applyFont="1" applyFill="1" applyBorder="1" applyAlignment="1">
      <alignment horizontal="center" vertical="top"/>
    </xf>
    <xf numFmtId="0" fontId="1" fillId="0" borderId="31" xfId="0" applyFont="1" applyBorder="1" applyAlignment="1">
      <alignment horizontal="center" vertical="top"/>
    </xf>
    <xf numFmtId="165" fontId="2" fillId="9" borderId="6" xfId="0" applyNumberFormat="1" applyFont="1" applyFill="1" applyBorder="1" applyAlignment="1">
      <alignment horizontal="center" vertical="top"/>
    </xf>
    <xf numFmtId="165" fontId="2" fillId="9" borderId="4"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1" fillId="3" borderId="10" xfId="0" applyNumberFormat="1" applyFont="1" applyFill="1" applyBorder="1" applyAlignment="1">
      <alignment horizontal="center" vertical="center" textRotation="90" wrapText="1"/>
    </xf>
    <xf numFmtId="165" fontId="13" fillId="7" borderId="28" xfId="0" applyNumberFormat="1" applyFont="1" applyFill="1" applyBorder="1" applyAlignment="1">
      <alignment vertical="top" wrapText="1"/>
    </xf>
    <xf numFmtId="165" fontId="13" fillId="7" borderId="5" xfId="0" applyNumberFormat="1" applyFont="1" applyFill="1" applyBorder="1" applyAlignment="1">
      <alignment horizontal="center" vertical="top"/>
    </xf>
    <xf numFmtId="3" fontId="1" fillId="0" borderId="10"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2" borderId="54" xfId="0" applyNumberFormat="1" applyFont="1" applyFill="1" applyBorder="1" applyAlignment="1">
      <alignment horizontal="center" vertical="top"/>
    </xf>
    <xf numFmtId="165" fontId="2" fillId="2" borderId="40" xfId="0" applyNumberFormat="1" applyFont="1" applyFill="1" applyBorder="1" applyAlignment="1">
      <alignment horizontal="center" vertical="top"/>
    </xf>
    <xf numFmtId="165" fontId="2" fillId="2" borderId="71" xfId="0" applyNumberFormat="1" applyFont="1" applyFill="1" applyBorder="1" applyAlignment="1">
      <alignment horizontal="center" vertical="top"/>
    </xf>
    <xf numFmtId="165" fontId="2" fillId="8" borderId="56" xfId="0" applyNumberFormat="1" applyFont="1" applyFill="1" applyBorder="1" applyAlignment="1">
      <alignment horizontal="center" vertical="top"/>
    </xf>
    <xf numFmtId="165" fontId="1" fillId="8" borderId="22" xfId="0" applyNumberFormat="1" applyFont="1" applyFill="1" applyBorder="1" applyAlignment="1">
      <alignment horizontal="center" vertical="top"/>
    </xf>
    <xf numFmtId="165" fontId="2" fillId="5" borderId="22" xfId="0" applyNumberFormat="1" applyFont="1" applyFill="1" applyBorder="1" applyAlignment="1">
      <alignment horizontal="center" vertical="top"/>
    </xf>
    <xf numFmtId="165" fontId="2" fillId="4" borderId="63" xfId="0" applyNumberFormat="1" applyFont="1" applyFill="1" applyBorder="1" applyAlignment="1">
      <alignment horizontal="center" vertical="top"/>
    </xf>
    <xf numFmtId="0" fontId="1" fillId="7" borderId="80" xfId="0" applyNumberFormat="1"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1" fillId="7" borderId="91" xfId="0" applyNumberFormat="1" applyFont="1" applyFill="1" applyBorder="1" applyAlignment="1">
      <alignment horizontal="left" vertical="top" wrapText="1"/>
    </xf>
    <xf numFmtId="165" fontId="2" fillId="2" borderId="47" xfId="0" applyNumberFormat="1" applyFont="1" applyFill="1" applyBorder="1" applyAlignment="1">
      <alignment horizontal="center" vertical="top"/>
    </xf>
    <xf numFmtId="165" fontId="6" fillId="7" borderId="26" xfId="0" applyNumberFormat="1" applyFont="1" applyFill="1" applyBorder="1" applyAlignment="1">
      <alignment horizontal="center" vertical="center" wrapText="1"/>
    </xf>
    <xf numFmtId="165" fontId="6" fillId="7" borderId="17" xfId="0" applyNumberFormat="1" applyFont="1" applyFill="1" applyBorder="1" applyAlignment="1">
      <alignment horizontal="center" wrapText="1"/>
    </xf>
    <xf numFmtId="0" fontId="1" fillId="7" borderId="48" xfId="0" applyFont="1" applyFill="1" applyBorder="1" applyAlignment="1">
      <alignment horizontal="center" vertical="top"/>
    </xf>
    <xf numFmtId="3" fontId="5" fillId="7" borderId="72" xfId="0" applyNumberFormat="1" applyFont="1" applyFill="1" applyBorder="1" applyAlignment="1">
      <alignment horizontal="center" vertical="center" wrapText="1"/>
    </xf>
    <xf numFmtId="3" fontId="5" fillId="7" borderId="26" xfId="0" applyNumberFormat="1" applyFont="1" applyFill="1" applyBorder="1" applyAlignment="1">
      <alignment horizontal="center" vertical="center" wrapText="1"/>
    </xf>
    <xf numFmtId="3" fontId="1" fillId="7" borderId="0" xfId="0" applyNumberFormat="1" applyFont="1" applyFill="1" applyBorder="1" applyAlignment="1">
      <alignment horizontal="center" vertical="top"/>
    </xf>
    <xf numFmtId="3" fontId="1" fillId="7" borderId="72" xfId="0" applyNumberFormat="1" applyFont="1" applyFill="1" applyBorder="1" applyAlignment="1">
      <alignment horizontal="center" vertical="top"/>
    </xf>
    <xf numFmtId="165" fontId="1" fillId="7" borderId="20" xfId="0" applyNumberFormat="1" applyFont="1" applyFill="1" applyBorder="1" applyAlignment="1">
      <alignment vertical="top"/>
    </xf>
    <xf numFmtId="0" fontId="1" fillId="7" borderId="47" xfId="0" applyNumberFormat="1" applyFont="1" applyFill="1" applyBorder="1" applyAlignment="1">
      <alignment horizontal="center" vertical="top" wrapText="1"/>
    </xf>
    <xf numFmtId="0" fontId="1" fillId="7" borderId="91" xfId="0" applyNumberFormat="1" applyFont="1" applyFill="1" applyBorder="1" applyAlignment="1">
      <alignment horizontal="center" vertical="top" wrapText="1"/>
    </xf>
    <xf numFmtId="3" fontId="1" fillId="7" borderId="89" xfId="0" applyNumberFormat="1" applyFont="1" applyFill="1" applyBorder="1" applyAlignment="1">
      <alignment horizontal="center" vertical="top"/>
    </xf>
    <xf numFmtId="3" fontId="1" fillId="7" borderId="99" xfId="0" applyNumberFormat="1" applyFont="1" applyFill="1" applyBorder="1" applyAlignment="1">
      <alignment horizontal="center" vertical="top"/>
    </xf>
    <xf numFmtId="3" fontId="1" fillId="7" borderId="104" xfId="0" applyNumberFormat="1" applyFont="1" applyFill="1" applyBorder="1" applyAlignment="1">
      <alignment horizontal="center" vertical="top"/>
    </xf>
    <xf numFmtId="3" fontId="1" fillId="7" borderId="103" xfId="0" applyNumberFormat="1" applyFont="1" applyFill="1" applyBorder="1" applyAlignment="1">
      <alignment horizontal="center" vertical="top"/>
    </xf>
    <xf numFmtId="165" fontId="1" fillId="7" borderId="82" xfId="0" applyNumberFormat="1" applyFont="1" applyFill="1" applyBorder="1" applyAlignment="1">
      <alignment horizontal="center" vertical="top"/>
    </xf>
    <xf numFmtId="165" fontId="1" fillId="7" borderId="14" xfId="0" applyNumberFormat="1" applyFont="1" applyFill="1" applyBorder="1" applyAlignment="1">
      <alignment horizontal="center" vertical="top"/>
    </xf>
    <xf numFmtId="165" fontId="6" fillId="7" borderId="44" xfId="0" applyNumberFormat="1" applyFont="1" applyFill="1" applyBorder="1" applyAlignment="1">
      <alignment horizontal="center" vertical="center" textRotation="90" wrapText="1"/>
    </xf>
    <xf numFmtId="3" fontId="1" fillId="7" borderId="46" xfId="0" applyNumberFormat="1" applyFont="1" applyFill="1" applyBorder="1" applyAlignment="1">
      <alignment horizontal="center" vertical="top"/>
    </xf>
    <xf numFmtId="49" fontId="2" fillId="9" borderId="33" xfId="0" applyNumberFormat="1" applyFont="1" applyFill="1" applyBorder="1" applyAlignment="1">
      <alignment horizontal="center" vertical="top"/>
    </xf>
    <xf numFmtId="3" fontId="1" fillId="7" borderId="17" xfId="0" applyNumberFormat="1" applyFont="1" applyFill="1" applyBorder="1" applyAlignment="1">
      <alignment horizontal="center" vertical="top" wrapText="1"/>
    </xf>
    <xf numFmtId="0" fontId="1" fillId="7" borderId="33" xfId="0" applyFont="1" applyFill="1" applyBorder="1" applyAlignment="1">
      <alignment vertical="top"/>
    </xf>
    <xf numFmtId="0" fontId="1" fillId="7" borderId="10" xfId="0" applyFont="1" applyFill="1" applyBorder="1" applyAlignment="1">
      <alignment vertical="top"/>
    </xf>
    <xf numFmtId="0" fontId="1" fillId="7" borderId="47" xfId="0" applyFont="1" applyFill="1" applyBorder="1" applyAlignment="1">
      <alignment vertical="top"/>
    </xf>
    <xf numFmtId="0" fontId="1" fillId="7" borderId="17" xfId="0" applyFont="1" applyFill="1" applyBorder="1" applyAlignment="1">
      <alignment vertical="top"/>
    </xf>
    <xf numFmtId="165" fontId="1" fillId="7" borderId="33" xfId="0" applyNumberFormat="1" applyFont="1" applyFill="1" applyBorder="1" applyAlignment="1">
      <alignment horizontal="center" vertical="top" wrapText="1"/>
    </xf>
    <xf numFmtId="165" fontId="1" fillId="7" borderId="4" xfId="0" applyNumberFormat="1" applyFont="1" applyFill="1" applyBorder="1" applyAlignment="1">
      <alignment horizontal="left" vertical="top" wrapText="1"/>
    </xf>
    <xf numFmtId="165" fontId="1" fillId="7" borderId="0" xfId="0" applyNumberFormat="1" applyFont="1" applyFill="1" applyBorder="1" applyAlignment="1">
      <alignment horizontal="center" vertical="top" wrapText="1"/>
    </xf>
    <xf numFmtId="165" fontId="1" fillId="7" borderId="72" xfId="1" applyNumberFormat="1" applyFont="1" applyFill="1" applyBorder="1" applyAlignment="1">
      <alignment horizontal="center" vertical="top"/>
    </xf>
    <xf numFmtId="165" fontId="1" fillId="7" borderId="22" xfId="1" applyNumberFormat="1" applyFont="1" applyFill="1" applyBorder="1" applyAlignment="1">
      <alignment horizontal="center" vertical="top"/>
    </xf>
    <xf numFmtId="49" fontId="1" fillId="7" borderId="17" xfId="0" applyNumberFormat="1" applyFont="1" applyFill="1" applyBorder="1" applyAlignment="1">
      <alignment horizontal="center" vertical="top"/>
    </xf>
    <xf numFmtId="0" fontId="1" fillId="7" borderId="0" xfId="0" applyFont="1" applyFill="1" applyBorder="1" applyAlignment="1">
      <alignment vertical="top"/>
    </xf>
    <xf numFmtId="165" fontId="1" fillId="7" borderId="4" xfId="0" applyNumberFormat="1" applyFont="1" applyFill="1" applyBorder="1" applyAlignment="1">
      <alignment horizontal="center" vertical="top"/>
    </xf>
    <xf numFmtId="165" fontId="2" fillId="8" borderId="32" xfId="0" applyNumberFormat="1" applyFont="1" applyFill="1" applyBorder="1" applyAlignment="1">
      <alignment horizontal="center" vertical="top"/>
    </xf>
    <xf numFmtId="3" fontId="1" fillId="7" borderId="91" xfId="0" applyNumberFormat="1" applyFont="1" applyFill="1" applyBorder="1" applyAlignment="1">
      <alignment horizontal="center" vertical="top"/>
    </xf>
    <xf numFmtId="165" fontId="2" fillId="7" borderId="47" xfId="0" applyNumberFormat="1" applyFont="1" applyFill="1" applyBorder="1" applyAlignment="1">
      <alignment vertical="top" wrapText="1"/>
    </xf>
    <xf numFmtId="165" fontId="2" fillId="8" borderId="54" xfId="0" applyNumberFormat="1" applyFont="1" applyFill="1" applyBorder="1" applyAlignment="1">
      <alignment horizontal="center" vertical="top"/>
    </xf>
    <xf numFmtId="165" fontId="6" fillId="8" borderId="56" xfId="0" applyNumberFormat="1" applyFont="1" applyFill="1" applyBorder="1" applyAlignment="1">
      <alignment vertical="top" wrapText="1"/>
    </xf>
    <xf numFmtId="165" fontId="2" fillId="8" borderId="10" xfId="0" applyNumberFormat="1" applyFont="1" applyFill="1" applyBorder="1" applyAlignment="1">
      <alignment horizontal="center" vertical="top"/>
    </xf>
    <xf numFmtId="165" fontId="2" fillId="8" borderId="24" xfId="0" applyNumberFormat="1" applyFont="1" applyFill="1" applyBorder="1" applyAlignment="1">
      <alignment horizontal="center" vertical="top"/>
    </xf>
    <xf numFmtId="3" fontId="5" fillId="8" borderId="56" xfId="0" applyNumberFormat="1" applyFont="1" applyFill="1" applyBorder="1" applyAlignment="1">
      <alignment horizontal="center" vertical="top" wrapText="1"/>
    </xf>
    <xf numFmtId="3" fontId="5" fillId="8" borderId="58" xfId="0" applyNumberFormat="1" applyFont="1" applyFill="1" applyBorder="1" applyAlignment="1">
      <alignment horizontal="center" vertical="top" wrapText="1"/>
    </xf>
    <xf numFmtId="165" fontId="2" fillId="8" borderId="10" xfId="0" applyNumberFormat="1" applyFont="1" applyFill="1" applyBorder="1" applyAlignment="1">
      <alignment vertical="top"/>
    </xf>
    <xf numFmtId="165" fontId="2" fillId="8" borderId="47" xfId="0" applyNumberFormat="1" applyFont="1" applyFill="1" applyBorder="1" applyAlignment="1">
      <alignment vertical="top"/>
    </xf>
    <xf numFmtId="165" fontId="2" fillId="8" borderId="0" xfId="0" applyNumberFormat="1" applyFont="1" applyFill="1" applyBorder="1" applyAlignment="1">
      <alignment horizontal="center" vertical="top"/>
    </xf>
    <xf numFmtId="165" fontId="6" fillId="8" borderId="31" xfId="0" applyNumberFormat="1" applyFont="1" applyFill="1" applyBorder="1" applyAlignment="1">
      <alignment vertical="top" wrapText="1"/>
    </xf>
    <xf numFmtId="165" fontId="9" fillId="8" borderId="31" xfId="0" applyNumberFormat="1" applyFont="1" applyFill="1" applyBorder="1" applyAlignment="1">
      <alignment horizontal="center" vertical="center" textRotation="90" wrapText="1"/>
    </xf>
    <xf numFmtId="165" fontId="13" fillId="8" borderId="69" xfId="0" applyNumberFormat="1" applyFont="1" applyFill="1" applyBorder="1" applyAlignment="1">
      <alignment horizontal="left" vertical="top" wrapText="1"/>
    </xf>
    <xf numFmtId="49" fontId="1" fillId="7" borderId="97" xfId="0" applyNumberFormat="1" applyFont="1" applyFill="1" applyBorder="1" applyAlignment="1">
      <alignment horizontal="center" vertical="top"/>
    </xf>
    <xf numFmtId="165" fontId="1" fillId="7" borderId="57" xfId="0" applyNumberFormat="1" applyFont="1" applyFill="1" applyBorder="1" applyAlignment="1">
      <alignment horizontal="center" vertical="top" wrapText="1"/>
    </xf>
    <xf numFmtId="3" fontId="1" fillId="7" borderId="47" xfId="0" applyNumberFormat="1" applyFont="1" applyFill="1" applyBorder="1" applyAlignment="1">
      <alignment horizontal="center" vertical="top" wrapText="1"/>
    </xf>
    <xf numFmtId="49" fontId="2" fillId="8" borderId="0" xfId="0" applyNumberFormat="1" applyFont="1" applyFill="1" applyBorder="1" applyAlignment="1">
      <alignment horizontal="center" vertical="top"/>
    </xf>
    <xf numFmtId="49" fontId="2" fillId="8" borderId="31" xfId="0" applyNumberFormat="1" applyFont="1" applyFill="1" applyBorder="1" applyAlignment="1">
      <alignment horizontal="center" vertical="top"/>
    </xf>
    <xf numFmtId="0" fontId="0" fillId="8" borderId="31" xfId="0" applyFill="1" applyBorder="1" applyAlignment="1">
      <alignment vertical="top" wrapText="1"/>
    </xf>
    <xf numFmtId="0" fontId="0" fillId="8" borderId="31" xfId="0" applyFill="1" applyBorder="1" applyAlignment="1">
      <alignment horizontal="center" textRotation="90" wrapText="1"/>
    </xf>
    <xf numFmtId="0" fontId="0" fillId="8" borderId="31" xfId="0" applyFont="1" applyFill="1" applyBorder="1" applyAlignment="1">
      <alignment horizontal="center" vertical="top"/>
    </xf>
    <xf numFmtId="165" fontId="6" fillId="8" borderId="69" xfId="0" applyNumberFormat="1" applyFont="1" applyFill="1" applyBorder="1" applyAlignment="1">
      <alignment vertical="top" wrapText="1"/>
    </xf>
    <xf numFmtId="165" fontId="2" fillId="9" borderId="6"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1" fillId="7" borderId="57" xfId="0" applyNumberFormat="1" applyFont="1" applyFill="1" applyBorder="1" applyAlignment="1">
      <alignment vertical="top"/>
    </xf>
    <xf numFmtId="165" fontId="2" fillId="8" borderId="47" xfId="0" applyNumberFormat="1" applyFont="1" applyFill="1" applyBorder="1" applyAlignment="1">
      <alignment horizontal="center" vertical="top"/>
    </xf>
    <xf numFmtId="3" fontId="1" fillId="0" borderId="89" xfId="0" applyNumberFormat="1" applyFont="1" applyFill="1" applyBorder="1" applyAlignment="1">
      <alignment horizontal="center" vertical="top"/>
    </xf>
    <xf numFmtId="165" fontId="13" fillId="7" borderId="28" xfId="0" applyNumberFormat="1" applyFont="1" applyFill="1" applyBorder="1" applyAlignment="1">
      <alignment horizontal="left" vertical="top" wrapText="1"/>
    </xf>
    <xf numFmtId="165" fontId="1" fillId="7" borderId="14" xfId="0" applyNumberFormat="1" applyFont="1" applyFill="1" applyBorder="1" applyAlignment="1">
      <alignment horizontal="center" vertical="top" wrapText="1"/>
    </xf>
    <xf numFmtId="165" fontId="1" fillId="7" borderId="20"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1" fillId="0" borderId="87" xfId="0" applyNumberFormat="1" applyFont="1" applyFill="1" applyBorder="1" applyAlignment="1">
      <alignment horizontal="center" vertical="top"/>
    </xf>
    <xf numFmtId="49" fontId="1" fillId="7" borderId="20" xfId="0" applyNumberFormat="1" applyFont="1" applyFill="1" applyBorder="1" applyAlignment="1">
      <alignment horizontal="center" vertical="top"/>
    </xf>
    <xf numFmtId="49" fontId="1" fillId="7" borderId="102" xfId="0" applyNumberFormat="1" applyFont="1" applyFill="1" applyBorder="1" applyAlignment="1">
      <alignment horizontal="center" vertical="top"/>
    </xf>
    <xf numFmtId="49" fontId="1" fillId="7" borderId="100" xfId="0" applyNumberFormat="1" applyFont="1" applyFill="1" applyBorder="1" applyAlignment="1">
      <alignment horizontal="center" vertical="top"/>
    </xf>
    <xf numFmtId="49" fontId="1" fillId="7" borderId="26" xfId="0" applyNumberFormat="1" applyFont="1" applyFill="1" applyBorder="1" applyAlignment="1">
      <alignment horizontal="center" vertical="top"/>
    </xf>
    <xf numFmtId="3" fontId="5" fillId="7" borderId="10" xfId="0" applyNumberFormat="1" applyFont="1" applyFill="1" applyBorder="1" applyAlignment="1">
      <alignment horizontal="center" vertical="top" wrapText="1"/>
    </xf>
    <xf numFmtId="3" fontId="5" fillId="7" borderId="27" xfId="0" applyNumberFormat="1" applyFont="1" applyFill="1" applyBorder="1" applyAlignment="1">
      <alignment horizontal="center" vertical="top" wrapText="1"/>
    </xf>
    <xf numFmtId="3" fontId="5" fillId="7" borderId="0" xfId="0" applyNumberFormat="1" applyFont="1" applyFill="1" applyBorder="1" applyAlignment="1">
      <alignment horizontal="center" vertical="top" wrapText="1"/>
    </xf>
    <xf numFmtId="3" fontId="5" fillId="7" borderId="20" xfId="0" applyNumberFormat="1" applyFont="1" applyFill="1" applyBorder="1" applyAlignment="1">
      <alignment horizontal="center" vertical="top" wrapText="1"/>
    </xf>
    <xf numFmtId="165" fontId="1" fillId="7" borderId="80" xfId="0" applyNumberFormat="1" applyFont="1" applyFill="1" applyBorder="1" applyAlignment="1">
      <alignment horizontal="left" vertical="top" wrapText="1"/>
    </xf>
    <xf numFmtId="0" fontId="1" fillId="7" borderId="28" xfId="0" applyFont="1" applyFill="1" applyBorder="1" applyAlignment="1">
      <alignment horizontal="left" vertical="top" wrapText="1"/>
    </xf>
    <xf numFmtId="165" fontId="2" fillId="7" borderId="22" xfId="0" applyNumberFormat="1" applyFont="1" applyFill="1" applyBorder="1" applyAlignment="1">
      <alignment horizontal="center" vertical="top"/>
    </xf>
    <xf numFmtId="165" fontId="2" fillId="7" borderId="61" xfId="0" applyNumberFormat="1" applyFont="1" applyFill="1" applyBorder="1" applyAlignment="1">
      <alignment horizontal="center" vertical="top"/>
    </xf>
    <xf numFmtId="0" fontId="0" fillId="7" borderId="26" xfId="0" applyFont="1" applyFill="1" applyBorder="1" applyAlignment="1">
      <alignment horizontal="center" vertical="top"/>
    </xf>
    <xf numFmtId="165" fontId="1" fillId="7" borderId="107" xfId="0" applyNumberFormat="1" applyFont="1" applyFill="1" applyBorder="1" applyAlignment="1">
      <alignment horizontal="center" vertical="top"/>
    </xf>
    <xf numFmtId="165" fontId="9" fillId="7" borderId="10" xfId="0" applyNumberFormat="1" applyFont="1" applyFill="1" applyBorder="1" applyAlignment="1">
      <alignment horizontal="center" vertical="center" wrapText="1"/>
    </xf>
    <xf numFmtId="165" fontId="1" fillId="7" borderId="47" xfId="0" applyNumberFormat="1" applyFont="1" applyFill="1" applyBorder="1" applyAlignment="1">
      <alignment vertical="top"/>
    </xf>
    <xf numFmtId="165" fontId="11" fillId="7" borderId="5" xfId="0" applyNumberFormat="1" applyFont="1" applyFill="1" applyBorder="1" applyAlignment="1">
      <alignment horizontal="center" vertical="top"/>
    </xf>
    <xf numFmtId="49" fontId="1" fillId="7" borderId="72" xfId="0" applyNumberFormat="1" applyFont="1" applyFill="1" applyBorder="1" applyAlignment="1">
      <alignment horizontal="center" vertical="top"/>
    </xf>
    <xf numFmtId="165" fontId="1" fillId="7" borderId="72" xfId="0" applyNumberFormat="1" applyFont="1" applyFill="1" applyBorder="1" applyAlignment="1">
      <alignment horizontal="center" vertical="top" wrapText="1"/>
    </xf>
    <xf numFmtId="165" fontId="2" fillId="7" borderId="38" xfId="0" applyNumberFormat="1" applyFont="1" applyFill="1" applyBorder="1" applyAlignment="1">
      <alignment horizontal="center" vertical="top"/>
    </xf>
    <xf numFmtId="3" fontId="1" fillId="7" borderId="97" xfId="0" applyNumberFormat="1" applyFont="1" applyFill="1" applyBorder="1" applyAlignment="1">
      <alignment horizontal="center" vertical="top"/>
    </xf>
    <xf numFmtId="3" fontId="1" fillId="7" borderId="102" xfId="0" applyNumberFormat="1" applyFont="1" applyFill="1" applyBorder="1" applyAlignment="1">
      <alignment horizontal="center" vertical="top"/>
    </xf>
    <xf numFmtId="165" fontId="1" fillId="7" borderId="72" xfId="0" applyNumberFormat="1" applyFont="1" applyFill="1" applyBorder="1" applyAlignment="1">
      <alignment vertical="top"/>
    </xf>
    <xf numFmtId="0" fontId="16" fillId="0" borderId="0" xfId="0" applyFont="1" applyFill="1"/>
    <xf numFmtId="49" fontId="1" fillId="7" borderId="78" xfId="0" applyNumberFormat="1" applyFont="1" applyFill="1" applyBorder="1" applyAlignment="1">
      <alignment horizontal="center" vertical="top"/>
    </xf>
    <xf numFmtId="165" fontId="1" fillId="7" borderId="30" xfId="0" applyNumberFormat="1" applyFont="1" applyFill="1" applyBorder="1" applyAlignment="1">
      <alignment horizontal="center" vertical="top"/>
    </xf>
    <xf numFmtId="165" fontId="11" fillId="7" borderId="33" xfId="0" applyNumberFormat="1" applyFont="1" applyFill="1" applyBorder="1" applyAlignment="1">
      <alignment horizontal="center" vertical="top"/>
    </xf>
    <xf numFmtId="165" fontId="1" fillId="7" borderId="17" xfId="0" applyNumberFormat="1" applyFont="1" applyFill="1" applyBorder="1" applyAlignment="1">
      <alignment vertical="top"/>
    </xf>
    <xf numFmtId="165" fontId="12" fillId="7" borderId="27" xfId="0" applyNumberFormat="1" applyFont="1" applyFill="1" applyBorder="1" applyAlignment="1">
      <alignment horizontal="center" vertical="center" wrapText="1"/>
    </xf>
    <xf numFmtId="49" fontId="2" fillId="8"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165" fontId="2" fillId="2" borderId="29" xfId="0" applyNumberFormat="1" applyFont="1" applyFill="1" applyBorder="1" applyAlignment="1">
      <alignment horizontal="center" vertical="top"/>
    </xf>
    <xf numFmtId="49" fontId="2" fillId="9" borderId="4" xfId="0" applyNumberFormat="1" applyFont="1" applyFill="1" applyBorder="1" applyAlignment="1">
      <alignment horizontal="center" vertical="top"/>
    </xf>
    <xf numFmtId="0" fontId="0" fillId="7" borderId="17" xfId="0" applyFont="1" applyFill="1" applyBorder="1" applyAlignment="1">
      <alignment horizontal="center" vertical="top" wrapText="1"/>
    </xf>
    <xf numFmtId="3" fontId="5" fillId="7" borderId="47" xfId="0" applyNumberFormat="1" applyFont="1" applyFill="1" applyBorder="1" applyAlignment="1">
      <alignment horizontal="center" vertical="center" wrapText="1"/>
    </xf>
    <xf numFmtId="3" fontId="5" fillId="7" borderId="17" xfId="0" applyNumberFormat="1" applyFont="1" applyFill="1" applyBorder="1" applyAlignment="1">
      <alignment horizontal="center" vertical="center" wrapText="1"/>
    </xf>
    <xf numFmtId="3" fontId="1" fillId="7" borderId="25" xfId="0" applyNumberFormat="1" applyFont="1" applyFill="1" applyBorder="1" applyAlignment="1">
      <alignment horizontal="center" vertical="top"/>
    </xf>
    <xf numFmtId="3" fontId="5" fillId="7" borderId="17" xfId="0" applyNumberFormat="1" applyFont="1" applyFill="1" applyBorder="1" applyAlignment="1">
      <alignment horizontal="center" vertical="top"/>
    </xf>
    <xf numFmtId="0" fontId="1" fillId="7" borderId="20" xfId="0" applyFont="1" applyFill="1" applyBorder="1" applyAlignment="1">
      <alignment horizontal="right" vertical="center"/>
    </xf>
    <xf numFmtId="0" fontId="18" fillId="7" borderId="26" xfId="0" applyFont="1" applyFill="1" applyBorder="1" applyAlignment="1">
      <alignment horizontal="right" vertical="center"/>
    </xf>
    <xf numFmtId="49" fontId="2" fillId="2" borderId="24" xfId="0" applyNumberFormat="1" applyFont="1" applyFill="1" applyBorder="1" applyAlignment="1">
      <alignment horizontal="center" vertical="top"/>
    </xf>
    <xf numFmtId="49" fontId="2" fillId="8" borderId="24" xfId="0" applyNumberFormat="1" applyFont="1" applyFill="1" applyBorder="1" applyAlignment="1">
      <alignment horizontal="center" vertical="top"/>
    </xf>
    <xf numFmtId="0" fontId="0" fillId="7" borderId="25" xfId="0" applyFont="1" applyFill="1" applyBorder="1" applyAlignment="1">
      <alignment horizontal="center" vertical="top"/>
    </xf>
    <xf numFmtId="165" fontId="2" fillId="7" borderId="43" xfId="0" applyNumberFormat="1" applyFont="1" applyFill="1" applyBorder="1" applyAlignment="1">
      <alignment horizontal="center" vertical="top"/>
    </xf>
    <xf numFmtId="165" fontId="6" fillId="7" borderId="4" xfId="0" applyNumberFormat="1" applyFont="1" applyFill="1" applyBorder="1" applyAlignment="1">
      <alignment vertical="top" wrapText="1"/>
    </xf>
    <xf numFmtId="165" fontId="13" fillId="7" borderId="46" xfId="0" applyNumberFormat="1" applyFont="1" applyFill="1" applyBorder="1" applyAlignment="1">
      <alignment horizontal="center" vertical="center" textRotation="90" wrapText="1"/>
    </xf>
    <xf numFmtId="165" fontId="13" fillId="7" borderId="18" xfId="0" applyNumberFormat="1" applyFont="1" applyFill="1" applyBorder="1" applyAlignment="1">
      <alignment horizontal="center" vertical="center" textRotation="90" wrapText="1"/>
    </xf>
    <xf numFmtId="3" fontId="1" fillId="7" borderId="40" xfId="0" applyNumberFormat="1" applyFont="1" applyFill="1" applyBorder="1" applyAlignment="1">
      <alignment horizontal="center" vertical="top"/>
    </xf>
    <xf numFmtId="165" fontId="1" fillId="7" borderId="15" xfId="0" applyNumberFormat="1" applyFont="1" applyFill="1" applyBorder="1" applyAlignment="1">
      <alignment horizontal="left" vertical="top" wrapText="1"/>
    </xf>
    <xf numFmtId="165" fontId="1" fillId="7" borderId="64"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3" fontId="1" fillId="7" borderId="77" xfId="0" applyNumberFormat="1" applyFont="1" applyFill="1" applyBorder="1" applyAlignment="1">
      <alignment horizontal="center" vertical="top" wrapText="1"/>
    </xf>
    <xf numFmtId="3" fontId="1" fillId="7" borderId="99" xfId="0" applyNumberFormat="1" applyFont="1" applyFill="1" applyBorder="1" applyAlignment="1">
      <alignment horizontal="center" vertical="top" wrapText="1"/>
    </xf>
    <xf numFmtId="3" fontId="1" fillId="7" borderId="57" xfId="0" applyNumberFormat="1" applyFont="1" applyFill="1" applyBorder="1" applyAlignment="1">
      <alignment horizontal="center" vertical="top" wrapText="1"/>
    </xf>
    <xf numFmtId="3" fontId="1" fillId="7" borderId="72"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165" fontId="1" fillId="0" borderId="47" xfId="0" applyNumberFormat="1" applyFont="1" applyFill="1" applyBorder="1" applyAlignment="1">
      <alignment horizontal="center" vertical="top"/>
    </xf>
    <xf numFmtId="165" fontId="1" fillId="7" borderId="31" xfId="0" applyNumberFormat="1" applyFont="1" applyFill="1" applyBorder="1" applyAlignment="1">
      <alignment horizontal="center" vertical="top"/>
    </xf>
    <xf numFmtId="3" fontId="1" fillId="0" borderId="57" xfId="0" applyNumberFormat="1" applyFont="1" applyFill="1" applyBorder="1" applyAlignment="1">
      <alignment horizontal="center" vertical="top"/>
    </xf>
    <xf numFmtId="49" fontId="1" fillId="7" borderId="91" xfId="0" applyNumberFormat="1" applyFont="1" applyFill="1" applyBorder="1" applyAlignment="1">
      <alignment horizontal="center" vertical="top"/>
    </xf>
    <xf numFmtId="3" fontId="5" fillId="7" borderId="45" xfId="0" applyNumberFormat="1" applyFont="1" applyFill="1" applyBorder="1" applyAlignment="1">
      <alignment horizontal="center" vertical="top" wrapText="1"/>
    </xf>
    <xf numFmtId="3" fontId="5" fillId="7" borderId="34" xfId="0" applyNumberFormat="1" applyFont="1" applyFill="1" applyBorder="1" applyAlignment="1">
      <alignment horizontal="center" vertical="center" wrapText="1"/>
    </xf>
    <xf numFmtId="165" fontId="13" fillId="7" borderId="18" xfId="0" applyNumberFormat="1" applyFont="1" applyFill="1" applyBorder="1" applyAlignment="1">
      <alignment vertical="top" wrapText="1"/>
    </xf>
    <xf numFmtId="3" fontId="1" fillId="7" borderId="106" xfId="0" applyNumberFormat="1" applyFont="1" applyFill="1" applyBorder="1" applyAlignment="1">
      <alignment horizontal="center" vertical="top"/>
    </xf>
    <xf numFmtId="0" fontId="1" fillId="7" borderId="45" xfId="0" applyFont="1" applyFill="1" applyBorder="1" applyAlignment="1">
      <alignment horizontal="right" vertical="center"/>
    </xf>
    <xf numFmtId="0" fontId="18" fillId="7" borderId="34" xfId="0" applyFont="1" applyFill="1" applyBorder="1" applyAlignment="1">
      <alignment horizontal="right" vertical="center"/>
    </xf>
    <xf numFmtId="3" fontId="5" fillId="7" borderId="47" xfId="0" applyNumberFormat="1" applyFont="1" applyFill="1" applyBorder="1" applyAlignment="1">
      <alignment horizontal="center" vertical="top"/>
    </xf>
    <xf numFmtId="0" fontId="1" fillId="0" borderId="0" xfId="0" applyFont="1" applyFill="1" applyAlignment="1">
      <alignment horizontal="center" vertical="top"/>
    </xf>
    <xf numFmtId="3" fontId="1" fillId="0" borderId="0" xfId="0" applyNumberFormat="1" applyFont="1" applyFill="1" applyAlignment="1">
      <alignment vertical="top"/>
    </xf>
    <xf numFmtId="3" fontId="1" fillId="7" borderId="77" xfId="0" applyNumberFormat="1" applyFont="1" applyFill="1" applyBorder="1" applyAlignment="1">
      <alignment horizontal="center" vertical="top"/>
    </xf>
    <xf numFmtId="0" fontId="1" fillId="0" borderId="0" xfId="0" applyFont="1" applyFill="1" applyBorder="1" applyAlignment="1">
      <alignment vertical="top"/>
    </xf>
    <xf numFmtId="165" fontId="12" fillId="7" borderId="10" xfId="0" applyNumberFormat="1" applyFont="1" applyFill="1" applyBorder="1" applyAlignment="1">
      <alignment horizontal="center" vertical="center" wrapText="1"/>
    </xf>
    <xf numFmtId="165" fontId="1" fillId="7" borderId="72" xfId="0" applyNumberFormat="1" applyFont="1" applyFill="1" applyBorder="1" applyAlignment="1">
      <alignment horizontal="right" vertical="top" wrapText="1"/>
    </xf>
    <xf numFmtId="0" fontId="0" fillId="0" borderId="0" xfId="0" applyFill="1" applyAlignment="1">
      <alignment horizontal="left" vertical="top" wrapText="1"/>
    </xf>
    <xf numFmtId="3" fontId="2" fillId="0" borderId="65" xfId="0" applyNumberFormat="1" applyFont="1" applyBorder="1" applyAlignment="1">
      <alignment horizontal="center" vertical="center" wrapText="1"/>
    </xf>
    <xf numFmtId="165" fontId="2" fillId="5" borderId="65" xfId="0" applyNumberFormat="1" applyFont="1" applyFill="1" applyBorder="1" applyAlignment="1">
      <alignment horizontal="center" vertical="top" wrapText="1"/>
    </xf>
    <xf numFmtId="165" fontId="2" fillId="8" borderId="64" xfId="0" applyNumberFormat="1" applyFont="1" applyFill="1" applyBorder="1" applyAlignment="1">
      <alignment horizontal="center" vertical="top" wrapText="1"/>
    </xf>
    <xf numFmtId="3" fontId="1" fillId="7" borderId="78" xfId="0" applyNumberFormat="1" applyFont="1" applyFill="1" applyBorder="1" applyAlignment="1">
      <alignment horizontal="center" vertical="top"/>
    </xf>
    <xf numFmtId="3" fontId="1" fillId="3" borderId="57" xfId="0" applyNumberFormat="1" applyFont="1" applyFill="1" applyBorder="1" applyAlignment="1">
      <alignment horizontal="center" vertical="top" wrapText="1"/>
    </xf>
    <xf numFmtId="165" fontId="1" fillId="0" borderId="70" xfId="0" applyNumberFormat="1" applyFont="1" applyBorder="1" applyAlignment="1">
      <alignment vertical="top"/>
    </xf>
    <xf numFmtId="3" fontId="1" fillId="7" borderId="49" xfId="0" applyNumberFormat="1" applyFont="1" applyFill="1" applyBorder="1" applyAlignment="1">
      <alignment horizontal="center" vertical="top"/>
    </xf>
    <xf numFmtId="3" fontId="5" fillId="7" borderId="72" xfId="0" applyNumberFormat="1" applyFont="1" applyFill="1" applyBorder="1" applyAlignment="1">
      <alignment horizontal="center" vertical="top" wrapText="1"/>
    </xf>
    <xf numFmtId="165" fontId="1" fillId="8" borderId="31" xfId="0" applyNumberFormat="1" applyFont="1" applyFill="1" applyBorder="1" applyAlignment="1">
      <alignment horizontal="center" vertical="top"/>
    </xf>
    <xf numFmtId="165" fontId="1" fillId="0" borderId="61" xfId="0" applyNumberFormat="1" applyFont="1" applyFill="1" applyBorder="1" applyAlignment="1">
      <alignment horizontal="center" vertical="top" wrapText="1"/>
    </xf>
    <xf numFmtId="165" fontId="1" fillId="0" borderId="61" xfId="1" applyNumberFormat="1" applyFont="1" applyFill="1" applyBorder="1" applyAlignment="1">
      <alignment horizontal="center" vertical="top" wrapText="1"/>
    </xf>
    <xf numFmtId="3" fontId="1" fillId="3" borderId="20" xfId="0" applyNumberFormat="1" applyFont="1" applyFill="1" applyBorder="1" applyAlignment="1">
      <alignment horizontal="center" vertical="top" wrapText="1"/>
    </xf>
    <xf numFmtId="0" fontId="21" fillId="0" borderId="9" xfId="0" applyFont="1" applyBorder="1" applyAlignment="1">
      <alignment horizontal="center" vertical="center" wrapText="1"/>
    </xf>
    <xf numFmtId="165" fontId="11" fillId="7" borderId="22"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165" fontId="1" fillId="0" borderId="14" xfId="0" applyNumberFormat="1" applyFont="1" applyBorder="1" applyAlignment="1">
      <alignment vertical="top"/>
    </xf>
    <xf numFmtId="165" fontId="1" fillId="0" borderId="81" xfId="0" applyNumberFormat="1" applyFont="1" applyFill="1" applyBorder="1" applyAlignment="1">
      <alignment horizontal="center" vertical="top"/>
    </xf>
    <xf numFmtId="3" fontId="5" fillId="7" borderId="26" xfId="0" applyNumberFormat="1" applyFont="1" applyFill="1" applyBorder="1" applyAlignment="1">
      <alignment horizontal="center" vertical="top" wrapText="1"/>
    </xf>
    <xf numFmtId="165" fontId="13" fillId="7" borderId="44" xfId="0" applyNumberFormat="1" applyFont="1" applyFill="1" applyBorder="1" applyAlignment="1">
      <alignment horizontal="center" vertical="center" textRotation="90" wrapText="1"/>
    </xf>
    <xf numFmtId="165" fontId="1" fillId="7" borderId="108" xfId="0" applyNumberFormat="1" applyFont="1" applyFill="1" applyBorder="1" applyAlignment="1">
      <alignment horizontal="center" vertical="top"/>
    </xf>
    <xf numFmtId="165" fontId="1" fillId="7" borderId="109" xfId="0" applyNumberFormat="1" applyFont="1" applyFill="1" applyBorder="1" applyAlignment="1">
      <alignment horizontal="center" vertical="top"/>
    </xf>
    <xf numFmtId="49" fontId="1" fillId="0" borderId="81" xfId="0" applyNumberFormat="1" applyFont="1" applyFill="1" applyBorder="1" applyAlignment="1">
      <alignment horizontal="center" vertical="top"/>
    </xf>
    <xf numFmtId="165" fontId="1" fillId="7" borderId="22" xfId="0" applyNumberFormat="1" applyFont="1" applyFill="1" applyBorder="1" applyAlignment="1">
      <alignment horizontal="center" vertical="center"/>
    </xf>
    <xf numFmtId="165" fontId="1" fillId="7" borderId="27" xfId="0" applyNumberFormat="1" applyFont="1" applyFill="1" applyBorder="1" applyAlignment="1">
      <alignment horizontal="center" vertical="top" wrapText="1"/>
    </xf>
    <xf numFmtId="165" fontId="13" fillId="7" borderId="10"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3" fontId="1" fillId="7" borderId="78" xfId="0" applyNumberFormat="1" applyFont="1" applyFill="1" applyBorder="1" applyAlignment="1">
      <alignment horizontal="center" vertical="top" wrapText="1"/>
    </xf>
    <xf numFmtId="165" fontId="3" fillId="7" borderId="27" xfId="0" applyNumberFormat="1" applyFont="1" applyFill="1" applyBorder="1" applyAlignment="1">
      <alignment horizontal="center" vertical="top" wrapText="1"/>
    </xf>
    <xf numFmtId="165" fontId="1" fillId="7" borderId="110" xfId="0" applyNumberFormat="1" applyFont="1" applyFill="1" applyBorder="1" applyAlignment="1">
      <alignment horizontal="center" vertical="top"/>
    </xf>
    <xf numFmtId="165" fontId="1" fillId="7" borderId="97" xfId="0" applyNumberFormat="1" applyFont="1" applyFill="1" applyBorder="1" applyAlignment="1">
      <alignment horizontal="center" vertical="top"/>
    </xf>
    <xf numFmtId="165" fontId="1" fillId="7" borderId="111" xfId="0" applyNumberFormat="1" applyFont="1" applyFill="1" applyBorder="1" applyAlignment="1">
      <alignment horizontal="center" vertical="top"/>
    </xf>
    <xf numFmtId="0" fontId="23" fillId="7" borderId="6" xfId="0" applyFont="1" applyFill="1" applyBorder="1" applyAlignment="1">
      <alignment vertical="top" wrapText="1"/>
    </xf>
    <xf numFmtId="0" fontId="6" fillId="7" borderId="17" xfId="0" applyFont="1" applyFill="1" applyBorder="1" applyAlignment="1">
      <alignment horizontal="center" wrapText="1"/>
    </xf>
    <xf numFmtId="49" fontId="1" fillId="7" borderId="57" xfId="0" applyNumberFormat="1" applyFont="1" applyFill="1" applyBorder="1" applyAlignment="1">
      <alignment horizontal="center" vertical="top"/>
    </xf>
    <xf numFmtId="49" fontId="1" fillId="7" borderId="77" xfId="0" applyNumberFormat="1" applyFont="1" applyFill="1" applyBorder="1" applyAlignment="1">
      <alignment horizontal="center" vertical="top"/>
    </xf>
    <xf numFmtId="49" fontId="1" fillId="7" borderId="99"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3" fontId="1" fillId="7" borderId="106" xfId="0" applyNumberFormat="1" applyFont="1" applyFill="1" applyBorder="1" applyAlignment="1">
      <alignment horizontal="center" vertical="center"/>
    </xf>
    <xf numFmtId="3" fontId="1" fillId="7" borderId="75" xfId="0" applyNumberFormat="1" applyFont="1" applyFill="1" applyBorder="1" applyAlignment="1">
      <alignment horizontal="center" vertical="center"/>
    </xf>
    <xf numFmtId="3" fontId="1" fillId="7" borderId="103" xfId="0" applyNumberFormat="1" applyFont="1" applyFill="1" applyBorder="1" applyAlignment="1">
      <alignment vertical="top"/>
    </xf>
    <xf numFmtId="3" fontId="1" fillId="7" borderId="27" xfId="0" applyNumberFormat="1" applyFont="1" applyFill="1" applyBorder="1" applyAlignment="1">
      <alignment horizontal="center" vertical="center"/>
    </xf>
    <xf numFmtId="3" fontId="1" fillId="7" borderId="26" xfId="0" applyNumberFormat="1" applyFont="1" applyFill="1" applyBorder="1" applyAlignment="1">
      <alignment vertical="top"/>
    </xf>
    <xf numFmtId="3" fontId="1" fillId="7" borderId="92" xfId="0" applyNumberFormat="1" applyFont="1" applyFill="1" applyBorder="1" applyAlignment="1">
      <alignment horizontal="center" vertical="top"/>
    </xf>
    <xf numFmtId="165" fontId="1" fillId="7" borderId="0" xfId="0" applyNumberFormat="1" applyFont="1" applyFill="1" applyBorder="1" applyAlignment="1">
      <alignment vertical="top" wrapText="1"/>
    </xf>
    <xf numFmtId="165" fontId="6" fillId="7" borderId="46" xfId="0" applyNumberFormat="1" applyFont="1" applyFill="1" applyBorder="1" applyAlignment="1">
      <alignment horizontal="center" vertical="center" textRotation="90" wrapText="1"/>
    </xf>
    <xf numFmtId="165" fontId="1" fillId="7" borderId="59" xfId="0" applyNumberFormat="1" applyFont="1" applyFill="1" applyBorder="1" applyAlignment="1">
      <alignment horizontal="center" vertical="top"/>
    </xf>
    <xf numFmtId="165" fontId="1" fillId="7" borderId="87" xfId="0" applyNumberFormat="1" applyFont="1" applyFill="1" applyBorder="1" applyAlignment="1">
      <alignment horizontal="center" vertical="top"/>
    </xf>
    <xf numFmtId="165" fontId="1" fillId="7" borderId="81" xfId="0" applyNumberFormat="1" applyFont="1" applyFill="1" applyBorder="1" applyAlignment="1">
      <alignment horizontal="center" vertical="top"/>
    </xf>
    <xf numFmtId="0" fontId="1" fillId="7" borderId="5" xfId="0" applyFont="1" applyFill="1" applyBorder="1" applyAlignment="1">
      <alignment horizontal="center" vertical="top" wrapText="1"/>
    </xf>
    <xf numFmtId="0" fontId="1" fillId="7" borderId="22" xfId="0" applyFont="1" applyFill="1" applyBorder="1" applyAlignment="1">
      <alignment horizontal="center" vertical="top" wrapText="1"/>
    </xf>
    <xf numFmtId="49" fontId="1" fillId="7" borderId="17" xfId="0" applyNumberFormat="1" applyFont="1" applyFill="1" applyBorder="1" applyAlignment="1">
      <alignment horizontal="center" vertical="center" wrapText="1"/>
    </xf>
    <xf numFmtId="165" fontId="1" fillId="7" borderId="98" xfId="0" applyNumberFormat="1" applyFont="1" applyFill="1" applyBorder="1" applyAlignment="1">
      <alignment horizontal="center" vertical="top" wrapText="1"/>
    </xf>
    <xf numFmtId="165" fontId="1" fillId="7" borderId="101" xfId="0" applyNumberFormat="1" applyFont="1" applyFill="1" applyBorder="1" applyAlignment="1">
      <alignment horizontal="center" vertical="top"/>
    </xf>
    <xf numFmtId="0" fontId="1" fillId="7" borderId="80" xfId="0" applyFont="1" applyFill="1" applyBorder="1" applyAlignment="1">
      <alignment horizontal="left" vertical="top" wrapText="1"/>
    </xf>
    <xf numFmtId="49" fontId="2" fillId="2" borderId="47" xfId="0" applyNumberFormat="1" applyFont="1" applyFill="1" applyBorder="1" applyAlignment="1">
      <alignment horizontal="center" vertical="top"/>
    </xf>
    <xf numFmtId="0" fontId="1" fillId="7" borderId="77" xfId="0" applyFont="1" applyFill="1" applyBorder="1" applyAlignment="1">
      <alignment vertical="top" wrapText="1"/>
    </xf>
    <xf numFmtId="49" fontId="1" fillId="7" borderId="101"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165" fontId="2" fillId="7" borderId="57" xfId="0" applyNumberFormat="1" applyFont="1" applyFill="1" applyBorder="1" applyAlignment="1">
      <alignment horizontal="center" vertical="top" wrapText="1"/>
    </xf>
    <xf numFmtId="3" fontId="1" fillId="7" borderId="84" xfId="0" applyNumberFormat="1" applyFont="1" applyFill="1" applyBorder="1" applyAlignment="1">
      <alignment horizontal="center" vertical="top"/>
    </xf>
    <xf numFmtId="3" fontId="1" fillId="7" borderId="101" xfId="0" applyNumberFormat="1" applyFont="1" applyFill="1" applyBorder="1" applyAlignment="1">
      <alignment horizontal="center" vertical="top" wrapText="1"/>
    </xf>
    <xf numFmtId="3" fontId="1" fillId="7" borderId="100" xfId="0" applyNumberFormat="1" applyFont="1" applyFill="1" applyBorder="1" applyAlignment="1">
      <alignment horizontal="center" vertical="top" wrapText="1"/>
    </xf>
    <xf numFmtId="165" fontId="1" fillId="7" borderId="22" xfId="0" applyNumberFormat="1" applyFont="1" applyFill="1" applyBorder="1" applyAlignment="1">
      <alignment horizontal="right" vertical="top" wrapText="1"/>
    </xf>
    <xf numFmtId="0" fontId="6" fillId="7" borderId="17" xfId="0" applyFont="1" applyFill="1" applyBorder="1" applyAlignment="1">
      <alignment horizontal="center" vertical="top" wrapText="1"/>
    </xf>
    <xf numFmtId="3" fontId="1" fillId="7" borderId="101" xfId="0" applyNumberFormat="1" applyFont="1" applyFill="1" applyBorder="1" applyAlignment="1">
      <alignment horizontal="center" vertical="top"/>
    </xf>
    <xf numFmtId="165" fontId="2" fillId="8" borderId="21" xfId="0" applyNumberFormat="1" applyFont="1" applyFill="1" applyBorder="1" applyAlignment="1">
      <alignment horizontal="center" vertical="top" wrapText="1"/>
    </xf>
    <xf numFmtId="165" fontId="2" fillId="5" borderId="9" xfId="0" applyNumberFormat="1" applyFont="1" applyFill="1" applyBorder="1" applyAlignment="1">
      <alignment horizontal="center" vertical="top" wrapText="1"/>
    </xf>
    <xf numFmtId="165" fontId="1" fillId="7" borderId="7" xfId="0" applyNumberFormat="1" applyFont="1" applyFill="1" applyBorder="1" applyAlignment="1">
      <alignment horizontal="center" vertical="top" wrapText="1"/>
    </xf>
    <xf numFmtId="165" fontId="1" fillId="7" borderId="22" xfId="0" applyNumberFormat="1" applyFont="1" applyFill="1" applyBorder="1" applyAlignment="1">
      <alignment horizontal="center" vertical="top" wrapText="1"/>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0" fontId="1" fillId="7" borderId="7" xfId="0" applyFont="1" applyFill="1" applyBorder="1" applyAlignment="1">
      <alignment horizontal="center" vertical="top"/>
    </xf>
    <xf numFmtId="0" fontId="1" fillId="7" borderId="22" xfId="0" applyFont="1" applyFill="1" applyBorder="1" applyAlignment="1">
      <alignment horizontal="center" vertical="top"/>
    </xf>
    <xf numFmtId="3" fontId="13" fillId="7" borderId="34" xfId="0" applyNumberFormat="1" applyFont="1" applyFill="1" applyBorder="1" applyAlignment="1">
      <alignment horizontal="center" vertical="top"/>
    </xf>
    <xf numFmtId="3" fontId="1" fillId="0" borderId="100" xfId="0" applyNumberFormat="1" applyFont="1" applyFill="1" applyBorder="1" applyAlignment="1">
      <alignment horizontal="center" vertical="top"/>
    </xf>
    <xf numFmtId="3" fontId="1" fillId="0" borderId="0" xfId="0" applyNumberFormat="1" applyFont="1" applyAlignment="1">
      <alignment horizontal="left" vertical="top" wrapText="1"/>
    </xf>
    <xf numFmtId="0" fontId="1" fillId="7" borderId="27" xfId="0" applyFont="1" applyFill="1" applyBorder="1" applyAlignment="1">
      <alignment horizontal="center" vertical="top"/>
    </xf>
    <xf numFmtId="165" fontId="1" fillId="7" borderId="7" xfId="0" applyNumberFormat="1" applyFont="1" applyFill="1" applyBorder="1" applyAlignment="1">
      <alignment vertical="top"/>
    </xf>
    <xf numFmtId="165" fontId="1" fillId="7" borderId="24" xfId="0" applyNumberFormat="1" applyFont="1" applyFill="1" applyBorder="1" applyAlignment="1">
      <alignment vertical="top"/>
    </xf>
    <xf numFmtId="165" fontId="1" fillId="7" borderId="25" xfId="0" applyNumberFormat="1" applyFont="1" applyFill="1" applyBorder="1" applyAlignment="1">
      <alignment vertical="top"/>
    </xf>
    <xf numFmtId="165" fontId="1" fillId="7" borderId="93" xfId="0" applyNumberFormat="1" applyFont="1" applyFill="1" applyBorder="1" applyAlignment="1">
      <alignment vertical="top" wrapText="1"/>
    </xf>
    <xf numFmtId="0" fontId="1" fillId="7" borderId="76" xfId="0" applyFont="1" applyFill="1" applyBorder="1" applyAlignment="1">
      <alignment vertical="top" wrapText="1"/>
    </xf>
    <xf numFmtId="0" fontId="1" fillId="7" borderId="80" xfId="0" applyFont="1" applyFill="1" applyBorder="1" applyAlignment="1">
      <alignment vertical="top" wrapText="1"/>
    </xf>
    <xf numFmtId="165" fontId="1" fillId="7" borderId="97" xfId="0" applyNumberFormat="1" applyFont="1" applyFill="1" applyBorder="1" applyAlignment="1">
      <alignment horizontal="center" vertical="center" textRotation="90" wrapText="1"/>
    </xf>
    <xf numFmtId="165" fontId="1" fillId="7" borderId="104" xfId="0" applyNumberFormat="1" applyFont="1" applyFill="1" applyBorder="1" applyAlignment="1">
      <alignment horizontal="center" vertical="top"/>
    </xf>
    <xf numFmtId="3" fontId="1" fillId="7" borderId="20" xfId="0" applyNumberFormat="1" applyFont="1" applyFill="1" applyBorder="1" applyAlignment="1">
      <alignment horizontal="center" vertical="top" wrapText="1"/>
    </xf>
    <xf numFmtId="3" fontId="1" fillId="7" borderId="57" xfId="0" applyNumberFormat="1" applyFont="1" applyFill="1" applyBorder="1" applyAlignment="1">
      <alignment horizontal="center" vertical="top"/>
    </xf>
    <xf numFmtId="165" fontId="2" fillId="7" borderId="24" xfId="0" applyNumberFormat="1" applyFont="1" applyFill="1" applyBorder="1" applyAlignment="1">
      <alignment horizontal="center" vertical="top"/>
    </xf>
    <xf numFmtId="3" fontId="1" fillId="7" borderId="45" xfId="0" applyNumberFormat="1" applyFont="1" applyFill="1" applyBorder="1" applyAlignment="1">
      <alignment horizontal="center" vertical="top" wrapText="1"/>
    </xf>
    <xf numFmtId="3" fontId="1" fillId="7" borderId="91" xfId="0" applyNumberFormat="1" applyFont="1" applyFill="1" applyBorder="1" applyAlignment="1">
      <alignment horizontal="center" vertical="top" wrapText="1"/>
    </xf>
    <xf numFmtId="165" fontId="13" fillId="7" borderId="33" xfId="0" applyNumberFormat="1" applyFont="1" applyFill="1" applyBorder="1" applyAlignment="1">
      <alignment horizontal="center" vertical="top"/>
    </xf>
    <xf numFmtId="165" fontId="1" fillId="7" borderId="112" xfId="0" applyNumberFormat="1" applyFont="1" applyFill="1" applyBorder="1" applyAlignment="1">
      <alignment horizontal="center" vertical="top"/>
    </xf>
    <xf numFmtId="165" fontId="1" fillId="0" borderId="87" xfId="0" applyNumberFormat="1" applyFont="1" applyFill="1" applyBorder="1" applyAlignment="1">
      <alignment horizontal="center" vertical="top"/>
    </xf>
    <xf numFmtId="3" fontId="1" fillId="7" borderId="85" xfId="0" applyNumberFormat="1" applyFont="1" applyFill="1" applyBorder="1" applyAlignment="1">
      <alignment horizontal="center" vertical="top"/>
    </xf>
    <xf numFmtId="49" fontId="1" fillId="7" borderId="81" xfId="0" applyNumberFormat="1" applyFont="1" applyFill="1" applyBorder="1" applyAlignment="1">
      <alignment horizontal="center" vertical="top"/>
    </xf>
    <xf numFmtId="165" fontId="1" fillId="7" borderId="76" xfId="0" applyNumberFormat="1" applyFont="1" applyFill="1" applyBorder="1" applyAlignment="1">
      <alignment horizontal="left" vertical="top" wrapText="1"/>
    </xf>
    <xf numFmtId="165" fontId="1" fillId="7" borderId="9" xfId="0" applyNumberFormat="1" applyFont="1" applyFill="1" applyBorder="1" applyAlignment="1">
      <alignment vertical="top"/>
    </xf>
    <xf numFmtId="165" fontId="1" fillId="7" borderId="61" xfId="0" applyNumberFormat="1" applyFont="1" applyFill="1" applyBorder="1" applyAlignment="1">
      <alignment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1" fillId="7" borderId="7" xfId="0" applyNumberFormat="1" applyFont="1" applyFill="1" applyBorder="1" applyAlignment="1">
      <alignment horizontal="center" vertical="top" wrapText="1"/>
    </xf>
    <xf numFmtId="49" fontId="1" fillId="7" borderId="80" xfId="0" applyNumberFormat="1" applyFont="1" applyFill="1" applyBorder="1" applyAlignment="1">
      <alignment horizontal="center" vertical="top" wrapText="1"/>
    </xf>
    <xf numFmtId="49" fontId="1" fillId="7" borderId="81"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top"/>
    </xf>
    <xf numFmtId="165" fontId="1" fillId="7" borderId="77"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165" fontId="1" fillId="7" borderId="88" xfId="0" applyNumberFormat="1" applyFont="1" applyFill="1" applyBorder="1" applyAlignment="1">
      <alignment horizontal="center" vertical="top"/>
    </xf>
    <xf numFmtId="165" fontId="1" fillId="7" borderId="114" xfId="0" applyNumberFormat="1" applyFont="1" applyFill="1" applyBorder="1" applyAlignment="1">
      <alignment horizontal="center" vertical="top"/>
    </xf>
    <xf numFmtId="165" fontId="1" fillId="7" borderId="115" xfId="0" applyNumberFormat="1" applyFont="1" applyFill="1" applyBorder="1" applyAlignment="1">
      <alignment horizontal="center" vertical="top"/>
    </xf>
    <xf numFmtId="49" fontId="1" fillId="7" borderId="87" xfId="0" applyNumberFormat="1" applyFont="1" applyFill="1" applyBorder="1" applyAlignment="1">
      <alignment horizontal="center" vertical="top" wrapText="1"/>
    </xf>
    <xf numFmtId="165" fontId="1" fillId="8" borderId="1" xfId="0" applyNumberFormat="1" applyFont="1" applyFill="1" applyBorder="1" applyAlignment="1">
      <alignment horizontal="center" vertical="top"/>
    </xf>
    <xf numFmtId="49" fontId="1" fillId="7" borderId="89" xfId="0" applyNumberFormat="1" applyFont="1" applyFill="1" applyBorder="1" applyAlignment="1">
      <alignment horizontal="center" vertical="top"/>
    </xf>
    <xf numFmtId="0" fontId="13" fillId="7" borderId="28" xfId="0" applyFont="1" applyFill="1" applyBorder="1" applyAlignment="1">
      <alignment vertical="top" wrapText="1"/>
    </xf>
    <xf numFmtId="165" fontId="13" fillId="7" borderId="19" xfId="0" applyNumberFormat="1" applyFont="1" applyFill="1" applyBorder="1" applyAlignment="1">
      <alignment horizontal="center" vertical="top"/>
    </xf>
    <xf numFmtId="165" fontId="13" fillId="7" borderId="48" xfId="0" applyNumberFormat="1" applyFont="1" applyFill="1" applyBorder="1" applyAlignment="1">
      <alignment horizontal="center" vertical="top"/>
    </xf>
    <xf numFmtId="165" fontId="13" fillId="7" borderId="61" xfId="0" applyNumberFormat="1" applyFont="1" applyFill="1" applyBorder="1" applyAlignment="1">
      <alignment horizontal="center" vertical="top"/>
    </xf>
    <xf numFmtId="165" fontId="2" fillId="7" borderId="10" xfId="0" applyNumberFormat="1" applyFont="1" applyFill="1" applyBorder="1" applyAlignment="1">
      <alignment horizontal="center" vertical="center" wrapText="1"/>
    </xf>
    <xf numFmtId="165" fontId="3" fillId="7" borderId="19" xfId="0" applyNumberFormat="1" applyFont="1" applyFill="1" applyBorder="1" applyAlignment="1">
      <alignment horizontal="center" vertical="top" wrapText="1"/>
    </xf>
    <xf numFmtId="3" fontId="1" fillId="7" borderId="102" xfId="0" applyNumberFormat="1" applyFont="1" applyFill="1" applyBorder="1" applyAlignment="1">
      <alignment horizontal="center" vertical="top" wrapText="1"/>
    </xf>
    <xf numFmtId="3" fontId="5" fillId="7" borderId="10" xfId="0" applyNumberFormat="1" applyFont="1" applyFill="1" applyBorder="1" applyAlignment="1">
      <alignment horizontal="center" vertical="center" wrapText="1"/>
    </xf>
    <xf numFmtId="0" fontId="1" fillId="7" borderId="44" xfId="0" applyFont="1" applyFill="1" applyBorder="1" applyAlignment="1">
      <alignment vertical="top" wrapText="1"/>
    </xf>
    <xf numFmtId="0" fontId="1" fillId="7" borderId="18" xfId="0" applyFont="1" applyFill="1" applyBorder="1" applyAlignment="1">
      <alignment vertical="top" wrapText="1"/>
    </xf>
    <xf numFmtId="3" fontId="1" fillId="7" borderId="10" xfId="0" applyNumberFormat="1" applyFont="1" applyFill="1" applyBorder="1" applyAlignment="1">
      <alignment horizontal="center" vertical="top" wrapText="1"/>
    </xf>
    <xf numFmtId="165" fontId="13" fillId="7" borderId="22" xfId="0" applyNumberFormat="1" applyFont="1" applyFill="1" applyBorder="1" applyAlignment="1">
      <alignment horizontal="center" vertical="top"/>
    </xf>
    <xf numFmtId="3" fontId="1" fillId="7" borderId="97" xfId="0" applyNumberFormat="1" applyFont="1" applyFill="1" applyBorder="1" applyAlignment="1">
      <alignment horizontal="center" vertical="top" wrapText="1"/>
    </xf>
    <xf numFmtId="3" fontId="1" fillId="0" borderId="17" xfId="0" applyNumberFormat="1" applyFont="1" applyFill="1" applyBorder="1" applyAlignment="1">
      <alignment horizontal="center" vertical="top"/>
    </xf>
    <xf numFmtId="0" fontId="2" fillId="0" borderId="0" xfId="0" applyFont="1" applyBorder="1" applyAlignment="1">
      <alignment vertical="top"/>
    </xf>
    <xf numFmtId="49" fontId="1" fillId="7" borderId="116" xfId="3" applyNumberFormat="1" applyFont="1" applyFill="1" applyBorder="1" applyAlignment="1">
      <alignment horizontal="center" vertical="top"/>
    </xf>
    <xf numFmtId="49" fontId="1" fillId="7" borderId="117" xfId="3" applyNumberFormat="1" applyFont="1" applyFill="1" applyBorder="1" applyAlignment="1">
      <alignment horizontal="center" vertical="top"/>
    </xf>
    <xf numFmtId="165" fontId="1" fillId="7" borderId="118" xfId="3" applyNumberFormat="1" applyFont="1" applyFill="1" applyBorder="1" applyAlignment="1">
      <alignment vertical="top" wrapText="1"/>
    </xf>
    <xf numFmtId="3" fontId="11" fillId="7" borderId="10" xfId="0" applyNumberFormat="1" applyFont="1" applyFill="1" applyBorder="1" applyAlignment="1">
      <alignment horizontal="center" vertical="top"/>
    </xf>
    <xf numFmtId="3" fontId="1" fillId="3" borderId="47" xfId="0" applyNumberFormat="1" applyFont="1" applyFill="1" applyBorder="1" applyAlignment="1">
      <alignment horizontal="center" vertical="top" wrapText="1"/>
    </xf>
    <xf numFmtId="165" fontId="1" fillId="7" borderId="119" xfId="3" applyNumberFormat="1" applyFont="1" applyFill="1" applyBorder="1" applyAlignment="1">
      <alignment vertical="top" wrapText="1"/>
    </xf>
    <xf numFmtId="165" fontId="1" fillId="7" borderId="46" xfId="0" applyNumberFormat="1" applyFont="1" applyFill="1" applyBorder="1" applyAlignment="1">
      <alignment vertical="top" wrapText="1"/>
    </xf>
    <xf numFmtId="0" fontId="1" fillId="7" borderId="5" xfId="0" applyFont="1" applyFill="1" applyBorder="1" applyAlignment="1">
      <alignment horizontal="center" vertical="center"/>
    </xf>
    <xf numFmtId="0" fontId="1" fillId="7" borderId="5" xfId="0" applyFont="1" applyFill="1" applyBorder="1" applyAlignment="1">
      <alignment horizontal="center" vertical="top"/>
    </xf>
    <xf numFmtId="3" fontId="23" fillId="7" borderId="10" xfId="0" applyNumberFormat="1" applyFont="1" applyFill="1" applyBorder="1" applyAlignment="1">
      <alignment horizontal="center" vertical="top"/>
    </xf>
    <xf numFmtId="3" fontId="23" fillId="7" borderId="0" xfId="0" applyNumberFormat="1" applyFont="1" applyFill="1" applyBorder="1" applyAlignment="1">
      <alignment horizontal="center" vertical="top"/>
    </xf>
    <xf numFmtId="0" fontId="1" fillId="7" borderId="83" xfId="0" applyFont="1" applyFill="1" applyBorder="1" applyAlignment="1">
      <alignment horizontal="left" vertical="top" wrapText="1"/>
    </xf>
    <xf numFmtId="49" fontId="1" fillId="7" borderId="84" xfId="0" applyNumberFormat="1" applyFont="1" applyFill="1" applyBorder="1" applyAlignment="1">
      <alignment horizontal="center" vertical="top" wrapText="1"/>
    </xf>
    <xf numFmtId="49" fontId="1" fillId="7" borderId="92" xfId="0" applyNumberFormat="1" applyFont="1" applyFill="1" applyBorder="1" applyAlignment="1">
      <alignment horizontal="center" vertical="top" wrapText="1"/>
    </xf>
    <xf numFmtId="3" fontId="1" fillId="7" borderId="27" xfId="1" applyNumberFormat="1" applyFont="1" applyFill="1" applyBorder="1" applyAlignment="1">
      <alignment horizontal="center" vertical="top" wrapText="1"/>
    </xf>
    <xf numFmtId="3" fontId="1" fillId="7" borderId="72" xfId="1" applyNumberFormat="1" applyFont="1" applyFill="1" applyBorder="1" applyAlignment="1">
      <alignment horizontal="center" vertical="top" wrapText="1"/>
    </xf>
    <xf numFmtId="3" fontId="1" fillId="7" borderId="26" xfId="1" applyNumberFormat="1" applyFont="1" applyFill="1" applyBorder="1" applyAlignment="1">
      <alignment horizontal="center" vertical="top" wrapText="1"/>
    </xf>
    <xf numFmtId="165" fontId="1" fillId="7" borderId="76" xfId="0" applyNumberFormat="1" applyFont="1" applyFill="1" applyBorder="1" applyAlignment="1">
      <alignment vertical="top" wrapText="1"/>
    </xf>
    <xf numFmtId="0" fontId="1" fillId="7" borderId="19" xfId="0" applyFont="1" applyFill="1" applyBorder="1" applyAlignment="1">
      <alignment vertical="top"/>
    </xf>
    <xf numFmtId="0" fontId="1" fillId="7" borderId="45" xfId="0" applyFont="1" applyFill="1" applyBorder="1" applyAlignment="1">
      <alignment vertical="top"/>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9" borderId="4" xfId="0" applyNumberFormat="1" applyFont="1" applyFill="1" applyBorder="1" applyAlignment="1">
      <alignment horizontal="center" vertical="top"/>
    </xf>
    <xf numFmtId="165" fontId="1" fillId="7" borderId="47" xfId="0" applyNumberFormat="1" applyFont="1" applyFill="1" applyBorder="1" applyAlignment="1">
      <alignment vertical="top" wrapText="1"/>
    </xf>
    <xf numFmtId="165" fontId="1" fillId="2" borderId="67" xfId="0" applyNumberFormat="1" applyFont="1" applyFill="1" applyBorder="1" applyAlignment="1">
      <alignment horizontal="center" vertical="top" wrapText="1"/>
    </xf>
    <xf numFmtId="165" fontId="1" fillId="2" borderId="68" xfId="0" applyNumberFormat="1" applyFont="1" applyFill="1" applyBorder="1" applyAlignment="1">
      <alignment horizontal="center" vertical="top" wrapText="1"/>
    </xf>
    <xf numFmtId="165" fontId="1" fillId="2" borderId="31"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49" fontId="1" fillId="7" borderId="19"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49" fontId="1" fillId="7" borderId="45" xfId="0" applyNumberFormat="1" applyFont="1" applyFill="1" applyBorder="1" applyAlignment="1">
      <alignment horizontal="center" vertical="top"/>
    </xf>
    <xf numFmtId="49" fontId="1" fillId="7" borderId="34" xfId="0" applyNumberFormat="1" applyFont="1" applyFill="1" applyBorder="1" applyAlignment="1">
      <alignment horizontal="center" vertical="top"/>
    </xf>
    <xf numFmtId="165" fontId="6" fillId="7" borderId="28" xfId="0" applyNumberFormat="1" applyFont="1" applyFill="1" applyBorder="1" applyAlignment="1">
      <alignment vertical="top" wrapText="1"/>
    </xf>
    <xf numFmtId="3" fontId="1" fillId="7" borderId="47"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1" xfId="0" applyNumberFormat="1" applyFont="1" applyFill="1" applyBorder="1" applyAlignment="1">
      <alignment horizontal="center" vertical="top"/>
    </xf>
    <xf numFmtId="3" fontId="1" fillId="0" borderId="99" xfId="0" applyNumberFormat="1" applyFont="1" applyFill="1" applyBorder="1" applyAlignment="1">
      <alignment horizontal="center" vertical="top"/>
    </xf>
    <xf numFmtId="3" fontId="1" fillId="0" borderId="91" xfId="0" applyNumberFormat="1" applyFont="1" applyFill="1" applyBorder="1" applyAlignment="1">
      <alignment horizontal="center" vertical="top"/>
    </xf>
    <xf numFmtId="3" fontId="1" fillId="0" borderId="78" xfId="0" applyNumberFormat="1" applyFont="1" applyFill="1" applyBorder="1" applyAlignment="1">
      <alignment horizontal="center" vertical="top"/>
    </xf>
    <xf numFmtId="165" fontId="1" fillId="0" borderId="82" xfId="0" applyNumberFormat="1" applyFont="1" applyFill="1" applyBorder="1" applyAlignment="1">
      <alignment horizontal="center" vertical="top"/>
    </xf>
    <xf numFmtId="165" fontId="1" fillId="0" borderId="107" xfId="0" applyNumberFormat="1" applyFont="1" applyBorder="1" applyAlignment="1">
      <alignment vertical="top"/>
    </xf>
    <xf numFmtId="165" fontId="1" fillId="0" borderId="82" xfId="0" applyNumberFormat="1" applyFont="1" applyBorder="1" applyAlignment="1">
      <alignment vertical="top"/>
    </xf>
    <xf numFmtId="165" fontId="1" fillId="7" borderId="75" xfId="0" applyNumberFormat="1" applyFont="1" applyFill="1" applyBorder="1" applyAlignment="1">
      <alignment vertical="top"/>
    </xf>
    <xf numFmtId="165" fontId="1" fillId="7" borderId="104" xfId="0" applyNumberFormat="1" applyFont="1" applyFill="1" applyBorder="1" applyAlignment="1">
      <alignment vertical="top"/>
    </xf>
    <xf numFmtId="165" fontId="1" fillId="7" borderId="103" xfId="0" applyNumberFormat="1" applyFont="1" applyFill="1" applyBorder="1" applyAlignment="1">
      <alignment vertical="top"/>
    </xf>
    <xf numFmtId="165" fontId="1" fillId="7" borderId="19" xfId="0" applyNumberFormat="1" applyFont="1" applyFill="1" applyBorder="1" applyAlignment="1">
      <alignment horizontal="center" vertical="top" wrapText="1"/>
    </xf>
    <xf numFmtId="0" fontId="23" fillId="7" borderId="74" xfId="0" applyFont="1" applyFill="1" applyBorder="1" applyAlignment="1">
      <alignment vertical="top" wrapText="1"/>
    </xf>
    <xf numFmtId="3" fontId="1" fillId="3" borderId="45" xfId="0" applyNumberFormat="1" applyFont="1" applyFill="1" applyBorder="1" applyAlignment="1">
      <alignment horizontal="center" vertical="top" wrapText="1"/>
    </xf>
    <xf numFmtId="165" fontId="1" fillId="0" borderId="13" xfId="0" applyNumberFormat="1" applyFont="1" applyBorder="1" applyAlignment="1">
      <alignment vertical="top"/>
    </xf>
    <xf numFmtId="165" fontId="1" fillId="7" borderId="106" xfId="0" applyNumberFormat="1" applyFont="1" applyFill="1" applyBorder="1" applyAlignment="1">
      <alignment vertical="top"/>
    </xf>
    <xf numFmtId="3" fontId="5" fillId="7" borderId="34" xfId="0" applyNumberFormat="1" applyFont="1" applyFill="1" applyBorder="1" applyAlignment="1">
      <alignment horizontal="center" vertical="top" wrapText="1"/>
    </xf>
    <xf numFmtId="3" fontId="1" fillId="7" borderId="34" xfId="0" applyNumberFormat="1" applyFont="1" applyFill="1" applyBorder="1" applyAlignment="1">
      <alignment vertical="top"/>
    </xf>
    <xf numFmtId="49" fontId="1" fillId="7" borderId="120" xfId="3" applyNumberFormat="1" applyFont="1" applyFill="1" applyBorder="1" applyAlignment="1">
      <alignment horizontal="center" vertical="top"/>
    </xf>
    <xf numFmtId="49" fontId="19" fillId="7" borderId="27" xfId="0" applyNumberFormat="1" applyFont="1" applyFill="1" applyBorder="1" applyAlignment="1">
      <alignment horizontal="center" vertical="top"/>
    </xf>
    <xf numFmtId="49" fontId="2" fillId="8" borderId="56" xfId="0" applyNumberFormat="1" applyFont="1" applyFill="1" applyBorder="1" applyAlignment="1">
      <alignment horizontal="center" vertical="top"/>
    </xf>
    <xf numFmtId="49" fontId="2" fillId="7" borderId="1" xfId="0" applyNumberFormat="1" applyFont="1" applyFill="1" applyBorder="1" applyAlignment="1">
      <alignment horizontal="center" vertical="top"/>
    </xf>
    <xf numFmtId="0" fontId="1" fillId="7" borderId="77" xfId="0" applyNumberFormat="1" applyFont="1" applyFill="1" applyBorder="1" applyAlignment="1">
      <alignment horizontal="center" vertical="top"/>
    </xf>
    <xf numFmtId="165" fontId="1" fillId="7" borderId="84" xfId="0" applyNumberFormat="1" applyFont="1" applyFill="1" applyBorder="1" applyAlignment="1">
      <alignment vertical="top" wrapText="1"/>
    </xf>
    <xf numFmtId="0" fontId="11" fillId="0" borderId="0" xfId="0" applyFont="1" applyBorder="1" applyAlignment="1">
      <alignment vertical="top"/>
    </xf>
    <xf numFmtId="0" fontId="0" fillId="7" borderId="17" xfId="0" applyFill="1" applyBorder="1" applyAlignment="1">
      <alignment vertical="top" wrapText="1"/>
    </xf>
    <xf numFmtId="165" fontId="1" fillId="7" borderId="78" xfId="0" applyNumberFormat="1" applyFont="1" applyFill="1" applyBorder="1" applyAlignment="1">
      <alignment horizontal="center" vertical="top"/>
    </xf>
    <xf numFmtId="165" fontId="1" fillId="7" borderId="91" xfId="0" applyNumberFormat="1" applyFont="1" applyFill="1" applyBorder="1" applyAlignment="1">
      <alignment horizontal="center" vertical="top"/>
    </xf>
    <xf numFmtId="0" fontId="1" fillId="7" borderId="6" xfId="0" applyFont="1" applyFill="1" applyBorder="1" applyAlignment="1">
      <alignment vertical="top" wrapText="1"/>
    </xf>
    <xf numFmtId="3" fontId="1" fillId="7" borderId="47" xfId="0" applyNumberFormat="1" applyFont="1" applyFill="1" applyBorder="1" applyAlignment="1">
      <alignment horizontal="center" vertical="top"/>
    </xf>
    <xf numFmtId="0" fontId="1" fillId="7" borderId="10"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0" fontId="1" fillId="7" borderId="17" xfId="0" applyNumberFormat="1" applyFont="1" applyFill="1" applyBorder="1" applyAlignment="1">
      <alignment horizontal="center" vertical="top" wrapText="1"/>
    </xf>
    <xf numFmtId="165" fontId="1" fillId="0" borderId="101" xfId="0" applyNumberFormat="1" applyFont="1" applyFill="1" applyBorder="1" applyAlignment="1">
      <alignment horizontal="center" vertical="top"/>
    </xf>
    <xf numFmtId="165" fontId="1" fillId="0" borderId="98" xfId="0" applyNumberFormat="1" applyFont="1" applyFill="1" applyBorder="1" applyAlignment="1">
      <alignment horizontal="center" vertical="top"/>
    </xf>
    <xf numFmtId="165" fontId="29" fillId="7" borderId="33" xfId="0" applyNumberFormat="1" applyFont="1" applyFill="1" applyBorder="1" applyAlignment="1">
      <alignment horizontal="center" vertical="top"/>
    </xf>
    <xf numFmtId="0" fontId="1" fillId="7" borderId="47" xfId="0" applyFont="1" applyFill="1" applyBorder="1" applyAlignment="1">
      <alignment horizontal="center" vertical="top"/>
    </xf>
    <xf numFmtId="165" fontId="13" fillId="7" borderId="6" xfId="0" applyNumberFormat="1" applyFont="1" applyFill="1" applyBorder="1" applyAlignment="1">
      <alignment vertical="top" wrapText="1"/>
    </xf>
    <xf numFmtId="3" fontId="13" fillId="0" borderId="10" xfId="0" applyNumberFormat="1" applyFont="1" applyFill="1" applyBorder="1" applyAlignment="1">
      <alignment horizontal="center" vertical="top"/>
    </xf>
    <xf numFmtId="165" fontId="13" fillId="7" borderId="108" xfId="0" applyNumberFormat="1" applyFont="1" applyFill="1" applyBorder="1" applyAlignment="1">
      <alignment horizontal="center" vertical="top"/>
    </xf>
    <xf numFmtId="165" fontId="13" fillId="7" borderId="83" xfId="0" applyNumberFormat="1" applyFont="1" applyFill="1" applyBorder="1" applyAlignment="1">
      <alignment horizontal="center" vertical="top"/>
    </xf>
    <xf numFmtId="165" fontId="13" fillId="7" borderId="109" xfId="0" applyNumberFormat="1" applyFont="1" applyFill="1" applyBorder="1" applyAlignment="1">
      <alignment vertical="top" wrapText="1"/>
    </xf>
    <xf numFmtId="3" fontId="13" fillId="7" borderId="84" xfId="0" applyNumberFormat="1" applyFont="1" applyFill="1" applyBorder="1" applyAlignment="1">
      <alignment horizontal="center" vertical="top"/>
    </xf>
    <xf numFmtId="3" fontId="30" fillId="7" borderId="85" xfId="0" applyNumberFormat="1" applyFont="1" applyFill="1" applyBorder="1" applyAlignment="1">
      <alignment horizontal="center" vertical="top"/>
    </xf>
    <xf numFmtId="3" fontId="30" fillId="7" borderId="92" xfId="0" applyNumberFormat="1" applyFont="1" applyFill="1" applyBorder="1" applyAlignment="1">
      <alignment horizontal="center" vertical="top"/>
    </xf>
    <xf numFmtId="165" fontId="13" fillId="7" borderId="64" xfId="0" applyNumberFormat="1" applyFont="1" applyFill="1" applyBorder="1" applyAlignment="1">
      <alignment horizontal="center" vertical="top"/>
    </xf>
    <xf numFmtId="165" fontId="13" fillId="7" borderId="21" xfId="0" applyNumberFormat="1" applyFont="1" applyFill="1" applyBorder="1" applyAlignment="1">
      <alignment horizontal="center" vertical="top"/>
    </xf>
    <xf numFmtId="165" fontId="13" fillId="0" borderId="15" xfId="0" applyNumberFormat="1" applyFont="1" applyFill="1" applyBorder="1" applyAlignment="1">
      <alignment horizontal="left" vertical="top" wrapText="1"/>
    </xf>
    <xf numFmtId="165" fontId="1" fillId="8" borderId="32" xfId="0" applyNumberFormat="1" applyFont="1" applyFill="1" applyBorder="1" applyAlignment="1">
      <alignment horizontal="center" vertical="top"/>
    </xf>
    <xf numFmtId="165" fontId="13" fillId="7" borderId="36" xfId="0" applyNumberFormat="1" applyFont="1" applyFill="1" applyBorder="1" applyAlignment="1">
      <alignment vertical="top" wrapText="1"/>
    </xf>
    <xf numFmtId="165" fontId="13" fillId="7" borderId="16" xfId="0" applyNumberFormat="1" applyFont="1" applyFill="1" applyBorder="1" applyAlignment="1">
      <alignment horizontal="center" vertical="top" wrapText="1"/>
    </xf>
    <xf numFmtId="3" fontId="13" fillId="0" borderId="36" xfId="0" applyNumberFormat="1" applyFont="1" applyFill="1" applyBorder="1" applyAlignment="1">
      <alignment horizontal="center" vertical="top"/>
    </xf>
    <xf numFmtId="3" fontId="1" fillId="0" borderId="36" xfId="0" applyNumberFormat="1" applyFont="1" applyFill="1" applyBorder="1" applyAlignment="1">
      <alignment horizontal="center" vertical="top"/>
    </xf>
    <xf numFmtId="3" fontId="1" fillId="0" borderId="16" xfId="0" applyNumberFormat="1" applyFont="1" applyFill="1" applyBorder="1" applyAlignment="1">
      <alignment horizontal="center" vertical="top"/>
    </xf>
    <xf numFmtId="165" fontId="13" fillId="7" borderId="7" xfId="0" applyNumberFormat="1" applyFont="1" applyFill="1" applyBorder="1" applyAlignment="1">
      <alignment horizontal="center" vertical="top"/>
    </xf>
    <xf numFmtId="0" fontId="13" fillId="7" borderId="6" xfId="0" applyFont="1" applyFill="1" applyBorder="1" applyAlignment="1">
      <alignment vertical="top" wrapText="1"/>
    </xf>
    <xf numFmtId="3" fontId="13" fillId="7" borderId="47" xfId="0" applyNumberFormat="1" applyFont="1" applyFill="1" applyBorder="1" applyAlignment="1">
      <alignment horizontal="center" vertical="top" wrapText="1"/>
    </xf>
    <xf numFmtId="3" fontId="13" fillId="7" borderId="34" xfId="0" applyNumberFormat="1" applyFont="1" applyFill="1" applyBorder="1" applyAlignment="1">
      <alignment horizontal="center" vertical="top" wrapText="1"/>
    </xf>
    <xf numFmtId="165" fontId="30" fillId="7" borderId="1" xfId="0" applyNumberFormat="1" applyFont="1" applyFill="1" applyBorder="1" applyAlignment="1">
      <alignment horizontal="center" vertical="top" textRotation="90" wrapText="1"/>
    </xf>
    <xf numFmtId="165" fontId="13" fillId="7" borderId="80" xfId="0" applyNumberFormat="1" applyFont="1" applyFill="1" applyBorder="1" applyAlignment="1">
      <alignment vertical="top" wrapText="1"/>
    </xf>
    <xf numFmtId="165" fontId="13" fillId="7" borderId="84" xfId="0" applyNumberFormat="1" applyFont="1" applyFill="1" applyBorder="1" applyAlignment="1">
      <alignment vertical="top" wrapText="1"/>
    </xf>
    <xf numFmtId="165" fontId="1" fillId="7" borderId="77" xfId="0" applyNumberFormat="1" applyFont="1" applyFill="1" applyBorder="1" applyAlignment="1">
      <alignment vertical="top" wrapText="1"/>
    </xf>
    <xf numFmtId="165" fontId="13" fillId="7" borderId="10" xfId="0" applyNumberFormat="1" applyFont="1" applyFill="1" applyBorder="1" applyAlignment="1">
      <alignment horizontal="center" vertical="center" textRotation="90" wrapText="1"/>
    </xf>
    <xf numFmtId="165" fontId="13" fillId="7" borderId="10" xfId="0" applyNumberFormat="1" applyFont="1" applyFill="1" applyBorder="1" applyAlignment="1">
      <alignment vertical="top" wrapText="1"/>
    </xf>
    <xf numFmtId="49" fontId="13" fillId="0" borderId="34" xfId="0" applyNumberFormat="1" applyFont="1" applyFill="1" applyBorder="1" applyAlignment="1">
      <alignment horizontal="center" vertical="top"/>
    </xf>
    <xf numFmtId="49" fontId="13" fillId="7" borderId="27" xfId="0" applyNumberFormat="1" applyFont="1" applyFill="1" applyBorder="1" applyAlignment="1">
      <alignment horizontal="center" vertical="top"/>
    </xf>
    <xf numFmtId="0" fontId="1" fillId="7" borderId="75" xfId="0" applyFont="1" applyFill="1" applyBorder="1" applyAlignment="1">
      <alignment vertical="top" wrapText="1"/>
    </xf>
    <xf numFmtId="0" fontId="1" fillId="7" borderId="74" xfId="0" applyFont="1" applyFill="1" applyBorder="1" applyAlignment="1">
      <alignment vertical="top" wrapText="1"/>
    </xf>
    <xf numFmtId="3" fontId="25" fillId="7" borderId="106" xfId="0" applyNumberFormat="1" applyFont="1" applyFill="1" applyBorder="1" applyAlignment="1">
      <alignment horizontal="center" vertical="center"/>
    </xf>
    <xf numFmtId="49" fontId="13" fillId="7" borderId="97" xfId="0" applyNumberFormat="1" applyFont="1" applyFill="1" applyBorder="1" applyAlignment="1">
      <alignment horizontal="center" vertical="top"/>
    </xf>
    <xf numFmtId="49" fontId="13" fillId="7" borderId="77" xfId="0" applyNumberFormat="1" applyFont="1" applyFill="1" applyBorder="1" applyAlignment="1">
      <alignment horizontal="center" vertical="top"/>
    </xf>
    <xf numFmtId="165" fontId="13" fillId="7" borderId="76" xfId="0" applyNumberFormat="1" applyFont="1" applyFill="1" applyBorder="1" applyAlignment="1">
      <alignment horizontal="left" vertical="top" wrapText="1"/>
    </xf>
    <xf numFmtId="3" fontId="25" fillId="7" borderId="45" xfId="0" applyNumberFormat="1" applyFont="1" applyFill="1" applyBorder="1" applyAlignment="1">
      <alignment horizontal="center" vertical="center"/>
    </xf>
    <xf numFmtId="3" fontId="1" fillId="7" borderId="19" xfId="0" applyNumberFormat="1" applyFont="1" applyFill="1" applyBorder="1" applyAlignment="1">
      <alignment horizontal="center" vertical="center"/>
    </xf>
    <xf numFmtId="3" fontId="1" fillId="7" borderId="45" xfId="0" applyNumberFormat="1" applyFont="1" applyFill="1" applyBorder="1" applyAlignment="1">
      <alignment horizontal="center" vertical="center"/>
    </xf>
    <xf numFmtId="3" fontId="1" fillId="7" borderId="20" xfId="0" applyNumberFormat="1" applyFont="1" applyFill="1" applyBorder="1" applyAlignment="1">
      <alignment horizontal="center" vertical="center"/>
    </xf>
    <xf numFmtId="165" fontId="2" fillId="2" borderId="29" xfId="0" applyNumberFormat="1" applyFont="1" applyFill="1" applyBorder="1" applyAlignment="1">
      <alignment horizontal="center" vertical="top"/>
    </xf>
    <xf numFmtId="165" fontId="1" fillId="7" borderId="6" xfId="0" applyNumberFormat="1" applyFont="1" applyFill="1" applyBorder="1" applyAlignment="1">
      <alignment horizontal="left" vertical="top" wrapText="1"/>
    </xf>
    <xf numFmtId="165" fontId="1" fillId="7" borderId="19" xfId="0" applyNumberFormat="1" applyFont="1" applyFill="1" applyBorder="1" applyAlignment="1">
      <alignment horizontal="left" vertical="top" wrapText="1"/>
    </xf>
    <xf numFmtId="0" fontId="6" fillId="7" borderId="6" xfId="0"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165" fontId="2" fillId="9" borderId="8" xfId="0" applyNumberFormat="1" applyFont="1" applyFill="1" applyBorder="1" applyAlignment="1">
      <alignment horizontal="center" vertical="top"/>
    </xf>
    <xf numFmtId="165" fontId="2" fillId="2" borderId="29"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0" fontId="6" fillId="7" borderId="34" xfId="0" applyFont="1" applyFill="1" applyBorder="1" applyAlignment="1">
      <alignment vertical="top" wrapText="1"/>
    </xf>
    <xf numFmtId="0" fontId="1" fillId="7" borderId="27" xfId="0"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center" wrapText="1"/>
    </xf>
    <xf numFmtId="165" fontId="2" fillId="8" borderId="10" xfId="0" applyNumberFormat="1" applyFont="1" applyFill="1" applyBorder="1" applyAlignment="1">
      <alignment horizontal="center" vertical="top"/>
    </xf>
    <xf numFmtId="165" fontId="1" fillId="0" borderId="17" xfId="0" applyNumberFormat="1" applyFont="1" applyBorder="1" applyAlignment="1">
      <alignment horizontal="center" vertical="top" wrapText="1"/>
    </xf>
    <xf numFmtId="165" fontId="6" fillId="7" borderId="17" xfId="0" applyNumberFormat="1" applyFont="1" applyFill="1" applyBorder="1" applyAlignment="1">
      <alignment horizontal="center" vertical="center" wrapText="1"/>
    </xf>
    <xf numFmtId="0" fontId="6" fillId="7" borderId="47" xfId="0" applyFont="1" applyFill="1" applyBorder="1" applyAlignment="1">
      <alignment vertical="top" wrapText="1"/>
    </xf>
    <xf numFmtId="49" fontId="2" fillId="8" borderId="10"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165" fontId="6" fillId="7" borderId="26" xfId="0" applyNumberFormat="1" applyFont="1" applyFill="1" applyBorder="1" applyAlignment="1">
      <alignment vertical="top" wrapText="1"/>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6" fillId="7" borderId="17" xfId="0" applyNumberFormat="1" applyFont="1" applyFill="1" applyBorder="1" applyAlignment="1">
      <alignment vertical="top" wrapText="1"/>
    </xf>
    <xf numFmtId="165" fontId="13" fillId="7" borderId="19" xfId="0" applyNumberFormat="1" applyFont="1" applyFill="1" applyBorder="1" applyAlignment="1">
      <alignment vertical="top" wrapText="1"/>
    </xf>
    <xf numFmtId="165" fontId="13" fillId="7" borderId="17"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1" fillId="3" borderId="5" xfId="0" applyNumberFormat="1" applyFont="1" applyFill="1" applyBorder="1" applyAlignment="1">
      <alignment horizontal="center" vertical="top"/>
    </xf>
    <xf numFmtId="49" fontId="19" fillId="7" borderId="10" xfId="0" applyNumberFormat="1" applyFont="1" applyFill="1" applyBorder="1" applyAlignment="1">
      <alignment horizontal="center" vertical="top"/>
    </xf>
    <xf numFmtId="49" fontId="2" fillId="8" borderId="47" xfId="0" applyNumberFormat="1" applyFont="1" applyFill="1" applyBorder="1" applyAlignment="1">
      <alignment horizontal="center" vertical="top"/>
    </xf>
    <xf numFmtId="165" fontId="1" fillId="7" borderId="92" xfId="0" applyNumberFormat="1" applyFont="1" applyFill="1" applyBorder="1" applyAlignment="1">
      <alignment horizontal="center" vertical="top" wrapText="1"/>
    </xf>
    <xf numFmtId="165" fontId="1" fillId="7" borderId="83" xfId="0" applyNumberFormat="1" applyFont="1" applyFill="1" applyBorder="1" applyAlignment="1">
      <alignment vertical="top" wrapText="1"/>
    </xf>
    <xf numFmtId="0" fontId="1" fillId="7" borderId="84" xfId="0" applyNumberFormat="1" applyFont="1" applyFill="1" applyBorder="1" applyAlignment="1">
      <alignment horizontal="center" vertical="top"/>
    </xf>
    <xf numFmtId="0" fontId="1" fillId="7" borderId="105" xfId="0" applyNumberFormat="1" applyFont="1" applyFill="1" applyBorder="1" applyAlignment="1">
      <alignment horizontal="center" vertical="top"/>
    </xf>
    <xf numFmtId="165" fontId="13" fillId="7" borderId="38" xfId="0" applyNumberFormat="1" applyFont="1" applyFill="1" applyBorder="1" applyAlignment="1">
      <alignment horizontal="center" vertical="top"/>
    </xf>
    <xf numFmtId="165" fontId="13" fillId="7" borderId="0" xfId="0" applyNumberFormat="1" applyFont="1" applyFill="1" applyBorder="1" applyAlignment="1">
      <alignment horizontal="center" vertical="top"/>
    </xf>
    <xf numFmtId="3" fontId="13" fillId="7" borderId="10" xfId="0" applyNumberFormat="1" applyFont="1" applyFill="1" applyBorder="1" applyAlignment="1">
      <alignment horizontal="center" vertical="top"/>
    </xf>
    <xf numFmtId="165" fontId="13" fillId="7" borderId="29" xfId="0" applyNumberFormat="1" applyFont="1" applyFill="1" applyBorder="1" applyAlignment="1">
      <alignment vertical="top" wrapText="1"/>
    </xf>
    <xf numFmtId="165" fontId="33" fillId="7" borderId="29" xfId="0" applyNumberFormat="1" applyFont="1" applyFill="1" applyBorder="1" applyAlignment="1">
      <alignment horizontal="center" vertical="top" wrapText="1"/>
    </xf>
    <xf numFmtId="165" fontId="17" fillId="8" borderId="62" xfId="0" applyNumberFormat="1" applyFont="1" applyFill="1" applyBorder="1" applyAlignment="1">
      <alignment horizontal="center" vertical="top"/>
    </xf>
    <xf numFmtId="165" fontId="17" fillId="8" borderId="55" xfId="0" applyNumberFormat="1" applyFont="1" applyFill="1" applyBorder="1" applyAlignment="1">
      <alignment horizontal="center" vertical="top"/>
    </xf>
    <xf numFmtId="165" fontId="17" fillId="8" borderId="56" xfId="0" applyNumberFormat="1" applyFont="1" applyFill="1" applyBorder="1" applyAlignment="1">
      <alignment horizontal="center" vertical="top"/>
    </xf>
    <xf numFmtId="165" fontId="13" fillId="7" borderId="50" xfId="0" applyNumberFormat="1" applyFont="1" applyFill="1" applyBorder="1" applyAlignment="1">
      <alignment vertical="top" wrapText="1"/>
    </xf>
    <xf numFmtId="165" fontId="13" fillId="7" borderId="29" xfId="0" applyNumberFormat="1" applyFont="1" applyFill="1" applyBorder="1" applyAlignment="1">
      <alignment horizontal="center" vertical="top"/>
    </xf>
    <xf numFmtId="3" fontId="13" fillId="7" borderId="24" xfId="0" applyNumberFormat="1" applyFont="1" applyFill="1" applyBorder="1" applyAlignment="1">
      <alignment horizontal="center" vertical="top"/>
    </xf>
    <xf numFmtId="165" fontId="1" fillId="3" borderId="7" xfId="0" applyNumberFormat="1" applyFont="1" applyFill="1" applyBorder="1" applyAlignment="1">
      <alignment horizontal="center" vertical="top"/>
    </xf>
    <xf numFmtId="165" fontId="1" fillId="3" borderId="90" xfId="0" applyNumberFormat="1" applyFont="1" applyFill="1" applyBorder="1" applyAlignment="1">
      <alignment horizontal="center" vertical="top"/>
    </xf>
    <xf numFmtId="165" fontId="5" fillId="7" borderId="17" xfId="0" applyNumberFormat="1" applyFont="1" applyFill="1" applyBorder="1" applyAlignment="1">
      <alignment horizontal="center" vertical="top" wrapText="1"/>
    </xf>
    <xf numFmtId="3" fontId="1" fillId="7" borderId="75" xfId="0" applyNumberFormat="1" applyFont="1" applyFill="1" applyBorder="1" applyAlignment="1">
      <alignment horizontal="center" vertical="top"/>
    </xf>
    <xf numFmtId="49" fontId="1" fillId="7" borderId="87" xfId="0" applyNumberFormat="1" applyFont="1" applyFill="1" applyBorder="1" applyAlignment="1">
      <alignment horizontal="center" vertical="top"/>
    </xf>
    <xf numFmtId="0" fontId="1" fillId="7" borderId="20" xfId="0" applyFont="1" applyFill="1" applyBorder="1" applyAlignment="1">
      <alignment horizontal="center" vertical="top"/>
    </xf>
    <xf numFmtId="0" fontId="1" fillId="7" borderId="17" xfId="0" applyFont="1" applyFill="1" applyBorder="1" applyAlignment="1">
      <alignment horizontal="center" vertical="top"/>
    </xf>
    <xf numFmtId="0" fontId="2" fillId="7" borderId="47" xfId="0" applyFont="1" applyFill="1" applyBorder="1" applyAlignment="1">
      <alignment vertical="top" wrapText="1"/>
    </xf>
    <xf numFmtId="0" fontId="3" fillId="7" borderId="19" xfId="0" applyFont="1" applyFill="1" applyBorder="1" applyAlignment="1">
      <alignment horizontal="center" vertical="top" wrapText="1"/>
    </xf>
    <xf numFmtId="0" fontId="1" fillId="7" borderId="20" xfId="0" applyFont="1" applyFill="1" applyBorder="1" applyAlignment="1">
      <alignment vertical="top"/>
    </xf>
    <xf numFmtId="0" fontId="3" fillId="7" borderId="10" xfId="0" applyFont="1" applyFill="1" applyBorder="1" applyAlignment="1">
      <alignment horizontal="center" vertical="top" wrapText="1"/>
    </xf>
    <xf numFmtId="0" fontId="1" fillId="7" borderId="81" xfId="0" applyFont="1" applyFill="1" applyBorder="1" applyAlignment="1">
      <alignment horizontal="center" vertical="top"/>
    </xf>
    <xf numFmtId="0" fontId="1" fillId="7" borderId="78" xfId="0" applyFont="1" applyFill="1" applyBorder="1" applyAlignment="1">
      <alignment horizontal="center" vertical="top"/>
    </xf>
    <xf numFmtId="0" fontId="1" fillId="7" borderId="86" xfId="0" applyFont="1" applyFill="1" applyBorder="1" applyAlignment="1">
      <alignment horizontal="center" vertical="top"/>
    </xf>
    <xf numFmtId="0" fontId="1" fillId="7" borderId="26" xfId="0" applyFont="1" applyFill="1" applyBorder="1" applyAlignment="1">
      <alignment horizontal="center" vertical="top"/>
    </xf>
    <xf numFmtId="0" fontId="1" fillId="7" borderId="6" xfId="0" applyFont="1" applyFill="1" applyBorder="1" applyAlignment="1">
      <alignment vertical="top" wrapText="1"/>
    </xf>
    <xf numFmtId="165" fontId="1" fillId="7" borderId="6" xfId="0" applyNumberFormat="1" applyFont="1" applyFill="1" applyBorder="1" applyAlignment="1">
      <alignment horizontal="left" vertical="top" wrapText="1"/>
    </xf>
    <xf numFmtId="0" fontId="1" fillId="7" borderId="6" xfId="0" applyFont="1" applyFill="1" applyBorder="1" applyAlignment="1">
      <alignment vertical="top" wrapText="1"/>
    </xf>
    <xf numFmtId="165" fontId="1" fillId="7" borderId="47" xfId="0" applyNumberFormat="1" applyFont="1" applyFill="1" applyBorder="1" applyAlignment="1">
      <alignment horizontal="left" vertical="top" wrapText="1"/>
    </xf>
    <xf numFmtId="3" fontId="1" fillId="7" borderId="27"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0" fontId="1" fillId="7" borderId="96" xfId="0" applyFont="1" applyFill="1" applyBorder="1" applyAlignment="1">
      <alignment vertical="top" wrapText="1"/>
    </xf>
    <xf numFmtId="49" fontId="2" fillId="2" borderId="10"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6" fillId="7" borderId="17" xfId="0" applyNumberFormat="1" applyFont="1" applyFill="1" applyBorder="1" applyAlignment="1">
      <alignment horizontal="center" vertical="top" wrapText="1"/>
    </xf>
    <xf numFmtId="165" fontId="2" fillId="8"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165" fontId="13" fillId="7" borderId="57" xfId="0" applyNumberFormat="1" applyFont="1" applyFill="1" applyBorder="1" applyAlignment="1">
      <alignment horizontal="center" vertical="top"/>
    </xf>
    <xf numFmtId="49" fontId="13" fillId="7" borderId="91" xfId="0" applyNumberFormat="1" applyFont="1" applyFill="1" applyBorder="1" applyAlignment="1">
      <alignment horizontal="center" vertical="top"/>
    </xf>
    <xf numFmtId="3" fontId="13" fillId="7" borderId="47" xfId="0" applyNumberFormat="1" applyFont="1" applyFill="1" applyBorder="1" applyAlignment="1">
      <alignment horizontal="center" vertical="top"/>
    </xf>
    <xf numFmtId="0" fontId="13" fillId="7" borderId="28" xfId="0" applyFont="1" applyFill="1" applyBorder="1" applyAlignment="1">
      <alignment horizontal="left" vertical="top" wrapText="1"/>
    </xf>
    <xf numFmtId="0" fontId="31" fillId="7" borderId="17" xfId="0" applyFont="1" applyFill="1" applyBorder="1" applyAlignment="1">
      <alignment horizontal="center" wrapText="1"/>
    </xf>
    <xf numFmtId="3" fontId="30" fillId="7" borderId="47" xfId="0" applyNumberFormat="1" applyFont="1" applyFill="1" applyBorder="1" applyAlignment="1">
      <alignment horizontal="center" vertical="center" wrapText="1"/>
    </xf>
    <xf numFmtId="165" fontId="13" fillId="7" borderId="22" xfId="0" applyNumberFormat="1" applyFont="1" applyFill="1" applyBorder="1" applyAlignment="1">
      <alignment horizontal="center"/>
    </xf>
    <xf numFmtId="165" fontId="13" fillId="7" borderId="72" xfId="0" applyNumberFormat="1" applyFont="1" applyFill="1" applyBorder="1" applyAlignment="1">
      <alignment horizontal="center"/>
    </xf>
    <xf numFmtId="49" fontId="1" fillId="7" borderId="47" xfId="0" applyNumberFormat="1" applyFont="1" applyFill="1" applyBorder="1" applyAlignment="1">
      <alignment horizontal="center" vertical="top" wrapText="1"/>
    </xf>
    <xf numFmtId="49" fontId="1" fillId="7" borderId="17" xfId="0" applyNumberFormat="1" applyFont="1" applyFill="1" applyBorder="1" applyAlignment="1">
      <alignment horizontal="center" vertical="top" wrapText="1"/>
    </xf>
    <xf numFmtId="49" fontId="13" fillId="7" borderId="72" xfId="0" applyNumberFormat="1" applyFont="1" applyFill="1" applyBorder="1" applyAlignment="1">
      <alignment horizontal="center" vertical="top" wrapText="1"/>
    </xf>
    <xf numFmtId="49" fontId="1" fillId="7" borderId="27" xfId="0" applyNumberFormat="1" applyFont="1" applyFill="1" applyBorder="1" applyAlignment="1">
      <alignment horizontal="center" vertical="top" wrapText="1"/>
    </xf>
    <xf numFmtId="3" fontId="13" fillId="7" borderId="72" xfId="0" applyNumberFormat="1" applyFont="1" applyFill="1" applyBorder="1" applyAlignment="1">
      <alignment horizontal="center" vertical="top"/>
    </xf>
    <xf numFmtId="0" fontId="1" fillId="7" borderId="61" xfId="0" applyFont="1" applyFill="1" applyBorder="1" applyAlignment="1">
      <alignment vertical="top"/>
    </xf>
    <xf numFmtId="0" fontId="1" fillId="7" borderId="34" xfId="0" applyFont="1" applyFill="1" applyBorder="1" applyAlignment="1">
      <alignment vertical="top"/>
    </xf>
    <xf numFmtId="0" fontId="1" fillId="7" borderId="27" xfId="0" applyFont="1" applyFill="1" applyBorder="1" applyAlignment="1">
      <alignment vertical="top"/>
    </xf>
    <xf numFmtId="3" fontId="1" fillId="7" borderId="44" xfId="0" applyNumberFormat="1" applyFont="1" applyFill="1" applyBorder="1" applyAlignment="1">
      <alignment horizontal="center" vertical="top"/>
    </xf>
    <xf numFmtId="0" fontId="1" fillId="7" borderId="82" xfId="0" applyFont="1" applyFill="1" applyBorder="1" applyAlignment="1">
      <alignment horizontal="center" vertical="top"/>
    </xf>
    <xf numFmtId="3" fontId="13" fillId="7" borderId="19" xfId="0" applyNumberFormat="1" applyFont="1" applyFill="1" applyBorder="1" applyAlignment="1">
      <alignment horizontal="center" vertical="top"/>
    </xf>
    <xf numFmtId="3" fontId="13" fillId="7" borderId="10" xfId="0" applyNumberFormat="1" applyFont="1" applyFill="1" applyBorder="1" applyAlignment="1">
      <alignment horizontal="center" vertical="top" wrapText="1"/>
    </xf>
    <xf numFmtId="165" fontId="13" fillId="7" borderId="5" xfId="0" applyNumberFormat="1" applyFont="1" applyFill="1" applyBorder="1" applyAlignment="1">
      <alignment horizontal="center" vertical="center"/>
    </xf>
    <xf numFmtId="0" fontId="13" fillId="7" borderId="33" xfId="0" applyFont="1" applyFill="1" applyBorder="1" applyAlignment="1">
      <alignment horizontal="center" vertical="center"/>
    </xf>
    <xf numFmtId="3" fontId="13" fillId="7" borderId="19" xfId="0" applyNumberFormat="1" applyFont="1" applyFill="1" applyBorder="1" applyAlignment="1">
      <alignment horizontal="center" vertical="top" wrapText="1"/>
    </xf>
    <xf numFmtId="49" fontId="13" fillId="7" borderId="99" xfId="0" applyNumberFormat="1" applyFont="1" applyFill="1" applyBorder="1" applyAlignment="1">
      <alignment horizontal="center" vertical="top"/>
    </xf>
    <xf numFmtId="165" fontId="1" fillId="7" borderId="74" xfId="0" applyNumberFormat="1" applyFont="1" applyFill="1" applyBorder="1" applyAlignment="1">
      <alignment vertical="top" wrapText="1"/>
    </xf>
    <xf numFmtId="49" fontId="1" fillId="7" borderId="104" xfId="0" applyNumberFormat="1" applyFont="1" applyFill="1" applyBorder="1" applyAlignment="1">
      <alignment horizontal="center" vertical="top"/>
    </xf>
    <xf numFmtId="49" fontId="1" fillId="7" borderId="106" xfId="0" applyNumberFormat="1" applyFont="1" applyFill="1" applyBorder="1" applyAlignment="1">
      <alignment horizontal="center" vertical="top"/>
    </xf>
    <xf numFmtId="0" fontId="1" fillId="0" borderId="79" xfId="0" applyFont="1" applyBorder="1" applyAlignment="1">
      <alignment vertical="top" wrapText="1"/>
    </xf>
    <xf numFmtId="165" fontId="1" fillId="7" borderId="79" xfId="0" applyNumberFormat="1" applyFont="1" applyFill="1" applyBorder="1" applyAlignment="1">
      <alignment vertical="top" wrapText="1"/>
    </xf>
    <xf numFmtId="49" fontId="2" fillId="8" borderId="1" xfId="0" applyNumberFormat="1" applyFont="1" applyFill="1" applyBorder="1" applyAlignment="1">
      <alignment horizontal="center" vertical="top"/>
    </xf>
    <xf numFmtId="165" fontId="1" fillId="8" borderId="1" xfId="0" applyNumberFormat="1" applyFont="1" applyFill="1" applyBorder="1" applyAlignment="1">
      <alignment horizontal="center" vertical="center" textRotation="90" wrapText="1"/>
    </xf>
    <xf numFmtId="165" fontId="1" fillId="8" borderId="16" xfId="0" applyNumberFormat="1" applyFont="1" applyFill="1" applyBorder="1" applyAlignment="1">
      <alignment horizontal="center" vertical="top" wrapText="1"/>
    </xf>
    <xf numFmtId="165" fontId="1" fillId="8" borderId="21" xfId="0" applyNumberFormat="1" applyFont="1" applyFill="1" applyBorder="1" applyAlignment="1">
      <alignment horizontal="center" vertical="top"/>
    </xf>
    <xf numFmtId="165" fontId="1" fillId="8" borderId="15" xfId="0" applyNumberFormat="1" applyFont="1" applyFill="1" applyBorder="1" applyAlignment="1">
      <alignment horizontal="left" vertical="top" wrapText="1"/>
    </xf>
    <xf numFmtId="165" fontId="1" fillId="8" borderId="59" xfId="0" applyNumberFormat="1" applyFont="1" applyFill="1" applyBorder="1" applyAlignment="1">
      <alignment horizontal="center" vertical="top"/>
    </xf>
    <xf numFmtId="165" fontId="1" fillId="8" borderId="16" xfId="0" applyNumberFormat="1" applyFont="1" applyFill="1" applyBorder="1" applyAlignment="1">
      <alignment horizontal="center" vertical="top"/>
    </xf>
    <xf numFmtId="0" fontId="1" fillId="7" borderId="10" xfId="0" applyFont="1" applyFill="1" applyBorder="1" applyAlignment="1">
      <alignment vertical="top" wrapText="1"/>
    </xf>
    <xf numFmtId="3" fontId="1" fillId="7" borderId="34" xfId="1" applyNumberFormat="1" applyFont="1" applyFill="1" applyBorder="1" applyAlignment="1">
      <alignment horizontal="center" vertical="top" wrapText="1"/>
    </xf>
    <xf numFmtId="49" fontId="11" fillId="7" borderId="106" xfId="0" applyNumberFormat="1" applyFont="1" applyFill="1" applyBorder="1" applyAlignment="1">
      <alignment horizontal="center" vertical="top"/>
    </xf>
    <xf numFmtId="49" fontId="11" fillId="7" borderId="103" xfId="0" applyNumberFormat="1" applyFont="1" applyFill="1" applyBorder="1" applyAlignment="1">
      <alignment horizontal="center" vertical="top"/>
    </xf>
    <xf numFmtId="3" fontId="13" fillId="7" borderId="77" xfId="0" applyNumberFormat="1" applyFont="1" applyFill="1" applyBorder="1" applyAlignment="1">
      <alignment horizontal="center" vertical="top"/>
    </xf>
    <xf numFmtId="49" fontId="1" fillId="7" borderId="10" xfId="0" applyNumberFormat="1" applyFont="1" applyFill="1" applyBorder="1" applyAlignment="1">
      <alignment horizontal="left" vertical="top" wrapText="1"/>
    </xf>
    <xf numFmtId="165" fontId="1" fillId="7" borderId="97" xfId="0" applyNumberFormat="1" applyFont="1" applyFill="1" applyBorder="1" applyAlignment="1">
      <alignment horizontal="left" vertical="top" wrapText="1"/>
    </xf>
    <xf numFmtId="165" fontId="1" fillId="7" borderId="77" xfId="0" applyNumberFormat="1" applyFont="1" applyFill="1" applyBorder="1" applyAlignment="1">
      <alignment horizontal="left" vertical="top" wrapText="1"/>
    </xf>
    <xf numFmtId="165" fontId="2" fillId="2"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1" fillId="7" borderId="28" xfId="0" applyNumberFormat="1" applyFont="1" applyFill="1" applyBorder="1" applyAlignment="1">
      <alignment horizontal="left" vertical="top" wrapText="1"/>
    </xf>
    <xf numFmtId="3" fontId="1" fillId="7" borderId="49"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49" fontId="1" fillId="7" borderId="10"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45"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0" fontId="1" fillId="7" borderId="98" xfId="0" applyFont="1" applyFill="1" applyBorder="1" applyAlignment="1">
      <alignment horizontal="center" vertical="top" wrapText="1"/>
    </xf>
    <xf numFmtId="0" fontId="1" fillId="7" borderId="90" xfId="0" applyFont="1" applyFill="1" applyBorder="1" applyAlignment="1">
      <alignment horizontal="center" vertical="top" wrapText="1"/>
    </xf>
    <xf numFmtId="165" fontId="1" fillId="7" borderId="90" xfId="0" applyNumberFormat="1" applyFont="1" applyFill="1" applyBorder="1" applyAlignment="1">
      <alignment horizontal="center" vertical="top" wrapText="1"/>
    </xf>
    <xf numFmtId="0" fontId="1" fillId="7" borderId="6" xfId="0" applyFont="1" applyFill="1" applyBorder="1" applyAlignment="1">
      <alignment vertical="top" wrapText="1"/>
    </xf>
    <xf numFmtId="3" fontId="1" fillId="7" borderId="47"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8" borderId="10" xfId="0" applyNumberFormat="1" applyFont="1" applyFill="1" applyBorder="1" applyAlignment="1">
      <alignment horizontal="center" vertical="top"/>
    </xf>
    <xf numFmtId="0" fontId="3" fillId="11" borderId="19" xfId="0" applyFont="1" applyFill="1" applyBorder="1" applyAlignment="1">
      <alignment horizontal="center" vertical="top" wrapText="1"/>
    </xf>
    <xf numFmtId="0" fontId="3" fillId="11" borderId="10" xfId="0" applyFont="1" applyFill="1" applyBorder="1" applyAlignment="1">
      <alignment horizontal="center" vertical="top" wrapText="1"/>
    </xf>
    <xf numFmtId="165" fontId="17" fillId="11" borderId="10" xfId="0" applyNumberFormat="1" applyFont="1" applyFill="1" applyBorder="1" applyAlignment="1">
      <alignment horizontal="center" vertical="top" wrapText="1"/>
    </xf>
    <xf numFmtId="165" fontId="2" fillId="11" borderId="47" xfId="0" applyNumberFormat="1" applyFont="1" applyFill="1" applyBorder="1" applyAlignment="1">
      <alignment horizontal="center" vertical="top" wrapText="1"/>
    </xf>
    <xf numFmtId="165" fontId="2" fillId="11" borderId="27" xfId="0" applyNumberFormat="1" applyFont="1" applyFill="1" applyBorder="1" applyAlignment="1">
      <alignment horizontal="center" vertical="top" wrapText="1"/>
    </xf>
    <xf numFmtId="165" fontId="2" fillId="11" borderId="10" xfId="0" applyNumberFormat="1" applyFont="1" applyFill="1" applyBorder="1" applyAlignment="1">
      <alignment horizontal="center" vertical="top"/>
    </xf>
    <xf numFmtId="165" fontId="2" fillId="11" borderId="10" xfId="0" applyNumberFormat="1" applyFont="1" applyFill="1" applyBorder="1" applyAlignment="1">
      <alignment horizontal="center" vertical="top" wrapText="1"/>
    </xf>
    <xf numFmtId="165" fontId="2" fillId="11" borderId="97" xfId="0" applyNumberFormat="1" applyFont="1" applyFill="1" applyBorder="1" applyAlignment="1">
      <alignment horizontal="center" vertical="top" wrapText="1"/>
    </xf>
    <xf numFmtId="165" fontId="1" fillId="11" borderId="87" xfId="0" applyNumberFormat="1" applyFont="1" applyFill="1" applyBorder="1" applyAlignment="1">
      <alignment vertical="top" wrapText="1"/>
    </xf>
    <xf numFmtId="165" fontId="1" fillId="11" borderId="91" xfId="0" applyNumberFormat="1" applyFont="1" applyFill="1" applyBorder="1" applyAlignment="1">
      <alignment horizontal="left" vertical="top" wrapText="1"/>
    </xf>
    <xf numFmtId="165" fontId="1" fillId="11" borderId="33" xfId="0" applyNumberFormat="1" applyFont="1" applyFill="1" applyBorder="1" applyAlignment="1">
      <alignment horizontal="center" vertical="top"/>
    </xf>
    <xf numFmtId="165" fontId="1" fillId="11" borderId="33" xfId="0" applyNumberFormat="1" applyFont="1" applyFill="1" applyBorder="1" applyAlignment="1">
      <alignment horizontal="center" vertical="top" wrapText="1"/>
    </xf>
    <xf numFmtId="165" fontId="2" fillId="11" borderId="27" xfId="0" applyNumberFormat="1" applyFont="1" applyFill="1" applyBorder="1" applyAlignment="1">
      <alignment horizontal="center" vertical="top" textRotation="90" wrapText="1"/>
    </xf>
    <xf numFmtId="165" fontId="33" fillId="11" borderId="24" xfId="0" applyNumberFormat="1" applyFont="1" applyFill="1" applyBorder="1" applyAlignment="1">
      <alignment horizontal="center" vertical="top" wrapText="1"/>
    </xf>
    <xf numFmtId="165" fontId="33" fillId="11" borderId="10" xfId="0" applyNumberFormat="1" applyFont="1" applyFill="1" applyBorder="1" applyAlignment="1">
      <alignment horizontal="center" vertical="top" wrapText="1"/>
    </xf>
    <xf numFmtId="0" fontId="2" fillId="11" borderId="10" xfId="0" applyFont="1" applyFill="1" applyBorder="1" applyAlignment="1">
      <alignment horizontal="center" vertical="top" wrapText="1"/>
    </xf>
    <xf numFmtId="0" fontId="1" fillId="11" borderId="27" xfId="0" applyFont="1" applyFill="1" applyBorder="1" applyAlignment="1">
      <alignment horizontal="center" vertical="center" wrapText="1"/>
    </xf>
    <xf numFmtId="3" fontId="1" fillId="0"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165" fontId="2" fillId="7" borderId="19" xfId="0" applyNumberFormat="1" applyFont="1" applyFill="1" applyBorder="1" applyAlignment="1">
      <alignment horizontal="center" vertical="top" wrapText="1"/>
    </xf>
    <xf numFmtId="0" fontId="6" fillId="7" borderId="10" xfId="0"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3" fontId="1" fillId="7" borderId="19" xfId="0" applyNumberFormat="1" applyFont="1" applyFill="1" applyBorder="1" applyAlignment="1">
      <alignment horizontal="center" vertical="top" wrapText="1"/>
    </xf>
    <xf numFmtId="3" fontId="1" fillId="7" borderId="27"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2" fillId="7"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1" fillId="7" borderId="19" xfId="0" applyNumberFormat="1" applyFont="1" applyFill="1" applyBorder="1" applyAlignment="1">
      <alignment horizontal="center" vertical="center" textRotation="90" wrapText="1"/>
    </xf>
    <xf numFmtId="165" fontId="1" fillId="7" borderId="10" xfId="0" applyNumberFormat="1" applyFont="1" applyFill="1" applyBorder="1" applyAlignment="1">
      <alignment horizontal="center" vertical="center" textRotation="90" wrapText="1"/>
    </xf>
    <xf numFmtId="165" fontId="1" fillId="7" borderId="96" xfId="0" applyNumberFormat="1" applyFont="1" applyFill="1" applyBorder="1" applyAlignment="1">
      <alignment horizontal="left" vertical="top" wrapText="1"/>
    </xf>
    <xf numFmtId="165" fontId="1" fillId="7" borderId="35" xfId="0" applyNumberFormat="1" applyFont="1" applyFill="1" applyBorder="1" applyAlignment="1">
      <alignment vertical="top" wrapText="1"/>
    </xf>
    <xf numFmtId="49" fontId="2" fillId="7" borderId="10" xfId="0" applyNumberFormat="1" applyFont="1" applyFill="1" applyBorder="1" applyAlignment="1">
      <alignment horizontal="center" vertical="top"/>
    </xf>
    <xf numFmtId="165" fontId="2" fillId="7" borderId="47" xfId="0" applyNumberFormat="1" applyFont="1" applyFill="1" applyBorder="1" applyAlignment="1">
      <alignment horizontal="center" vertical="top" wrapText="1"/>
    </xf>
    <xf numFmtId="49" fontId="2" fillId="7" borderId="24" xfId="0" applyNumberFormat="1" applyFont="1" applyFill="1" applyBorder="1" applyAlignment="1">
      <alignment horizontal="center" vertical="top"/>
    </xf>
    <xf numFmtId="0" fontId="1" fillId="0" borderId="0" xfId="0" applyFont="1" applyAlignment="1">
      <alignment horizontal="center" vertical="center"/>
    </xf>
    <xf numFmtId="165" fontId="6" fillId="7" borderId="10" xfId="0" applyNumberFormat="1" applyFont="1" applyFill="1" applyBorder="1" applyAlignment="1">
      <alignment horizontal="center" vertical="center" textRotation="90" wrapText="1"/>
    </xf>
    <xf numFmtId="0" fontId="0" fillId="0" borderId="17" xfId="0" applyBorder="1" applyAlignment="1">
      <alignment vertical="top" wrapText="1"/>
    </xf>
    <xf numFmtId="3" fontId="1" fillId="7" borderId="10"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49" fontId="2" fillId="7" borderId="19" xfId="0" applyNumberFormat="1" applyFont="1" applyFill="1" applyBorder="1" applyAlignment="1">
      <alignment horizontal="center" vertical="top"/>
    </xf>
    <xf numFmtId="49" fontId="2" fillId="7" borderId="27" xfId="0" applyNumberFormat="1" applyFont="1" applyFill="1" applyBorder="1" applyAlignment="1">
      <alignment horizontal="center" vertical="top"/>
    </xf>
    <xf numFmtId="49" fontId="2" fillId="7" borderId="19"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wrapText="1"/>
    </xf>
    <xf numFmtId="0" fontId="6" fillId="11" borderId="10" xfId="0" applyFont="1" applyFill="1" applyBorder="1" applyAlignment="1">
      <alignment horizontal="left" vertical="top" wrapText="1"/>
    </xf>
    <xf numFmtId="165" fontId="2" fillId="8" borderId="10" xfId="0" applyNumberFormat="1" applyFont="1" applyFill="1" applyBorder="1" applyAlignment="1">
      <alignment horizontal="center" vertical="top"/>
    </xf>
    <xf numFmtId="165" fontId="1" fillId="11" borderId="34" xfId="0" applyNumberFormat="1" applyFont="1" applyFill="1" applyBorder="1" applyAlignment="1">
      <alignment horizontal="left" vertical="top" wrapText="1"/>
    </xf>
    <xf numFmtId="165" fontId="1" fillId="7" borderId="27" xfId="0" applyNumberFormat="1" applyFont="1" applyFill="1" applyBorder="1" applyAlignment="1">
      <alignment horizontal="center" vertical="center" textRotation="90" wrapText="1"/>
    </xf>
    <xf numFmtId="165" fontId="1" fillId="11" borderId="80" xfId="0" applyNumberFormat="1" applyFont="1" applyFill="1" applyBorder="1" applyAlignment="1">
      <alignment horizontal="left" vertical="top" wrapText="1"/>
    </xf>
    <xf numFmtId="165" fontId="2" fillId="11" borderId="80" xfId="0" applyNumberFormat="1" applyFont="1" applyFill="1" applyBorder="1" applyAlignment="1">
      <alignment horizontal="center" vertical="top" wrapText="1"/>
    </xf>
    <xf numFmtId="49" fontId="1" fillId="7" borderId="17" xfId="3" applyNumberFormat="1" applyFont="1" applyFill="1" applyBorder="1" applyAlignment="1">
      <alignment horizontal="center" vertical="top"/>
    </xf>
    <xf numFmtId="165" fontId="1" fillId="7" borderId="7" xfId="0" applyNumberFormat="1" applyFont="1" applyFill="1" applyBorder="1" applyAlignment="1">
      <alignment horizontal="center" vertical="center"/>
    </xf>
    <xf numFmtId="165" fontId="1" fillId="7" borderId="5" xfId="0" applyNumberFormat="1" applyFont="1" applyFill="1" applyBorder="1" applyAlignment="1">
      <alignment horizontal="center" vertical="center"/>
    </xf>
    <xf numFmtId="3" fontId="1" fillId="3" borderId="0" xfId="0" applyNumberFormat="1" applyFont="1" applyFill="1" applyBorder="1" applyAlignment="1">
      <alignment horizontal="center" vertical="top" wrapText="1"/>
    </xf>
    <xf numFmtId="3" fontId="1" fillId="3" borderId="17" xfId="0" applyNumberFormat="1" applyFont="1" applyFill="1" applyBorder="1" applyAlignment="1">
      <alignment horizontal="center" vertical="top" wrapText="1"/>
    </xf>
    <xf numFmtId="0" fontId="16" fillId="0" borderId="0" xfId="0" applyFont="1" applyAlignment="1">
      <alignment horizontal="center"/>
    </xf>
    <xf numFmtId="0" fontId="1" fillId="0" borderId="31" xfId="0" applyFont="1" applyBorder="1" applyAlignment="1">
      <alignment horizontal="center" vertical="center"/>
    </xf>
    <xf numFmtId="165" fontId="2" fillId="11" borderId="19" xfId="0" applyNumberFormat="1" applyFont="1" applyFill="1" applyBorder="1" applyAlignment="1">
      <alignment horizontal="center" vertical="center" wrapText="1"/>
    </xf>
    <xf numFmtId="0" fontId="0" fillId="0" borderId="0" xfId="0" applyFill="1" applyAlignment="1">
      <alignment horizontal="center" vertical="top" wrapText="1"/>
    </xf>
    <xf numFmtId="49" fontId="1" fillId="7" borderId="121" xfId="3" applyNumberFormat="1" applyFont="1" applyFill="1" applyBorder="1" applyAlignment="1">
      <alignment horizontal="center" vertical="top"/>
    </xf>
    <xf numFmtId="49" fontId="1" fillId="7" borderId="122" xfId="3" applyNumberFormat="1" applyFont="1" applyFill="1" applyBorder="1" applyAlignment="1">
      <alignment horizontal="center" vertical="top"/>
    </xf>
    <xf numFmtId="49" fontId="26" fillId="0" borderId="0" xfId="0" applyNumberFormat="1" applyFont="1" applyAlignment="1">
      <alignment horizontal="center" vertical="top"/>
    </xf>
    <xf numFmtId="49" fontId="2" fillId="0" borderId="31" xfId="0" applyNumberFormat="1" applyFont="1" applyBorder="1" applyAlignment="1">
      <alignment horizontal="center" vertical="top"/>
    </xf>
    <xf numFmtId="49" fontId="2" fillId="7" borderId="12" xfId="0" applyNumberFormat="1" applyFont="1" applyFill="1" applyBorder="1" applyAlignment="1">
      <alignment horizontal="center" vertical="top"/>
    </xf>
    <xf numFmtId="49" fontId="27" fillId="0" borderId="0" xfId="0" applyNumberFormat="1" applyFont="1" applyFill="1" applyAlignment="1">
      <alignment horizontal="center" vertical="top" wrapText="1"/>
    </xf>
    <xf numFmtId="49" fontId="2" fillId="0" borderId="0" xfId="0" applyNumberFormat="1" applyFont="1" applyAlignment="1">
      <alignment horizontal="center" vertical="top"/>
    </xf>
    <xf numFmtId="165" fontId="2" fillId="11" borderId="77" xfId="0" applyNumberFormat="1" applyFont="1" applyFill="1" applyBorder="1" applyAlignment="1">
      <alignment horizontal="center" vertical="center" wrapText="1"/>
    </xf>
    <xf numFmtId="165" fontId="2" fillId="11" borderId="75" xfId="0" applyNumberFormat="1" applyFont="1" applyFill="1" applyBorder="1" applyAlignment="1">
      <alignment horizontal="center" vertical="center" wrapText="1"/>
    </xf>
    <xf numFmtId="165" fontId="1" fillId="7" borderId="35"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165" fontId="13" fillId="7" borderId="6" xfId="0" applyNumberFormat="1" applyFont="1" applyFill="1" applyBorder="1" applyAlignment="1">
      <alignment horizontal="left" vertical="top" wrapText="1"/>
    </xf>
    <xf numFmtId="165" fontId="13" fillId="7" borderId="35" xfId="0" applyNumberFormat="1" applyFont="1" applyFill="1" applyBorder="1" applyAlignment="1">
      <alignment horizontal="left" vertical="top" wrapText="1"/>
    </xf>
    <xf numFmtId="165" fontId="2" fillId="2"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49" fontId="2" fillId="7" borderId="19" xfId="0" applyNumberFormat="1" applyFont="1" applyFill="1" applyBorder="1" applyAlignment="1">
      <alignment horizontal="center" vertical="top"/>
    </xf>
    <xf numFmtId="49" fontId="2" fillId="7" borderId="27" xfId="0" applyNumberFormat="1" applyFont="1" applyFill="1" applyBorder="1" applyAlignment="1">
      <alignment horizontal="center" vertical="top"/>
    </xf>
    <xf numFmtId="0" fontId="1" fillId="7" borderId="96" xfId="0" applyFont="1" applyFill="1" applyBorder="1" applyAlignment="1">
      <alignment vertical="top" wrapText="1"/>
    </xf>
    <xf numFmtId="165" fontId="1" fillId="7" borderId="35"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0" fontId="1" fillId="7" borderId="35" xfId="0" applyFont="1" applyFill="1" applyBorder="1" applyAlignment="1">
      <alignment vertical="top" wrapText="1"/>
    </xf>
    <xf numFmtId="3" fontId="1" fillId="7" borderId="47"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165" fontId="2" fillId="7" borderId="99"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7" borderId="19" xfId="0" applyNumberFormat="1" applyFont="1" applyFill="1" applyBorder="1" applyAlignment="1">
      <alignment horizontal="center" vertical="top" wrapText="1"/>
    </xf>
    <xf numFmtId="165" fontId="2" fillId="2" borderId="47" xfId="0" applyNumberFormat="1" applyFont="1" applyFill="1" applyBorder="1" applyAlignment="1">
      <alignment horizontal="center" vertical="top"/>
    </xf>
    <xf numFmtId="165" fontId="1" fillId="7" borderId="10" xfId="0" applyNumberFormat="1" applyFont="1" applyFill="1" applyBorder="1" applyAlignment="1">
      <alignment horizontal="center" vertical="center" textRotation="90" wrapText="1"/>
    </xf>
    <xf numFmtId="49" fontId="2" fillId="7" borderId="47" xfId="0" applyNumberFormat="1" applyFont="1" applyFill="1" applyBorder="1" applyAlignment="1">
      <alignment horizontal="center" vertical="top"/>
    </xf>
    <xf numFmtId="49" fontId="2" fillId="7" borderId="34"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8" borderId="10" xfId="0" applyNumberFormat="1" applyFont="1" applyFill="1" applyBorder="1" applyAlignment="1">
      <alignment horizontal="center" vertical="top"/>
    </xf>
    <xf numFmtId="165" fontId="1" fillId="7" borderId="27" xfId="0" applyNumberFormat="1" applyFont="1" applyFill="1" applyBorder="1" applyAlignment="1">
      <alignment horizontal="center" vertical="center" textRotation="90" wrapText="1"/>
    </xf>
    <xf numFmtId="165" fontId="2" fillId="7" borderId="10"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165" fontId="1" fillId="7" borderId="27" xfId="0" applyNumberFormat="1"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2" fillId="7"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7" borderId="34" xfId="0" applyNumberFormat="1" applyFont="1" applyFill="1" applyBorder="1" applyAlignment="1">
      <alignment horizontal="center" vertical="top"/>
    </xf>
    <xf numFmtId="165" fontId="6" fillId="7" borderId="10" xfId="0" applyNumberFormat="1" applyFont="1" applyFill="1" applyBorder="1" applyAlignment="1">
      <alignment horizontal="center" vertical="center" textRotation="90" wrapText="1"/>
    </xf>
    <xf numFmtId="165" fontId="1" fillId="7" borderId="46"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49" fontId="2" fillId="7" borderId="2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18" xfId="0" applyNumberFormat="1" applyFont="1" applyFill="1" applyBorder="1" applyAlignment="1">
      <alignment horizontal="left" vertical="top" wrapText="1"/>
    </xf>
    <xf numFmtId="3" fontId="1" fillId="7" borderId="10" xfId="0" applyNumberFormat="1" applyFont="1" applyFill="1" applyBorder="1" applyAlignment="1">
      <alignment horizontal="center" vertical="top"/>
    </xf>
    <xf numFmtId="165" fontId="9" fillId="11" borderId="44" xfId="0" applyNumberFormat="1" applyFont="1" applyFill="1" applyBorder="1" applyAlignment="1">
      <alignment horizontal="center" vertical="top" wrapText="1"/>
    </xf>
    <xf numFmtId="165" fontId="9" fillId="11" borderId="46" xfId="0" applyNumberFormat="1" applyFont="1" applyFill="1" applyBorder="1" applyAlignment="1">
      <alignment horizontal="center" vertical="top" wrapText="1"/>
    </xf>
    <xf numFmtId="165" fontId="5" fillId="11" borderId="18" xfId="0" applyNumberFormat="1" applyFont="1" applyFill="1" applyBorder="1" applyAlignment="1">
      <alignment horizontal="center" vertical="center" textRotation="90" wrapText="1"/>
    </xf>
    <xf numFmtId="165" fontId="1" fillId="7" borderId="115" xfId="0" applyNumberFormat="1" applyFont="1" applyFill="1" applyBorder="1" applyAlignment="1">
      <alignment horizontal="left" vertical="top" wrapText="1"/>
    </xf>
    <xf numFmtId="0" fontId="1" fillId="7" borderId="88" xfId="0" applyFont="1" applyFill="1" applyBorder="1" applyAlignment="1">
      <alignment horizontal="left" vertical="top" wrapText="1"/>
    </xf>
    <xf numFmtId="165" fontId="1" fillId="7" borderId="123" xfId="0" applyNumberFormat="1" applyFont="1" applyFill="1" applyBorder="1" applyAlignment="1">
      <alignment horizontal="left" vertical="top" wrapText="1"/>
    </xf>
    <xf numFmtId="165" fontId="1" fillId="7" borderId="113" xfId="0" applyNumberFormat="1" applyFont="1" applyFill="1" applyBorder="1" applyAlignment="1">
      <alignment horizontal="left" vertical="top" wrapText="1"/>
    </xf>
    <xf numFmtId="165" fontId="1" fillId="7" borderId="22" xfId="0" applyNumberFormat="1" applyFont="1" applyFill="1" applyBorder="1" applyAlignment="1">
      <alignment horizontal="center" vertical="top"/>
    </xf>
    <xf numFmtId="3" fontId="11" fillId="7" borderId="27" xfId="0" applyNumberFormat="1" applyFont="1" applyFill="1" applyBorder="1" applyAlignment="1">
      <alignment horizontal="center" vertical="top"/>
    </xf>
    <xf numFmtId="0" fontId="1" fillId="7" borderId="6" xfId="0" applyFont="1" applyFill="1" applyBorder="1" applyAlignment="1">
      <alignment horizontal="left" vertical="top" wrapText="1"/>
    </xf>
    <xf numFmtId="3" fontId="1" fillId="7" borderId="4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1" fillId="8" borderId="10" xfId="0" applyNumberFormat="1" applyFont="1" applyFill="1" applyBorder="1" applyAlignment="1">
      <alignment vertical="center" textRotation="90" wrapText="1"/>
    </xf>
    <xf numFmtId="0" fontId="6" fillId="8" borderId="10" xfId="0" applyFont="1" applyFill="1" applyBorder="1" applyAlignment="1">
      <alignment vertical="center" textRotation="90" wrapText="1"/>
    </xf>
    <xf numFmtId="165" fontId="1" fillId="7" borderId="7"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165" fontId="2" fillId="12" borderId="10" xfId="0" applyNumberFormat="1" applyFont="1" applyFill="1" applyBorder="1" applyAlignment="1">
      <alignment horizontal="center" vertical="center" wrapText="1"/>
    </xf>
    <xf numFmtId="0" fontId="1" fillId="0" borderId="103" xfId="0" applyFont="1" applyBorder="1" applyAlignment="1">
      <alignment horizontal="center" vertical="top" wrapText="1"/>
    </xf>
    <xf numFmtId="165" fontId="1" fillId="7" borderId="22"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0" fontId="6" fillId="7" borderId="10" xfId="0" applyFont="1" applyFill="1" applyBorder="1" applyAlignment="1">
      <alignment vertical="top" wrapText="1"/>
    </xf>
    <xf numFmtId="165" fontId="2" fillId="9" borderId="33"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11" fillId="7" borderId="90" xfId="0" applyNumberFormat="1" applyFont="1" applyFill="1" applyBorder="1" applyAlignment="1">
      <alignment horizontal="center" vertical="top"/>
    </xf>
    <xf numFmtId="0" fontId="2" fillId="0" borderId="33" xfId="0" applyFont="1" applyBorder="1" applyAlignment="1">
      <alignment vertical="top" wrapText="1"/>
    </xf>
    <xf numFmtId="0" fontId="0" fillId="0" borderId="0" xfId="0" applyFont="1" applyAlignment="1">
      <alignment vertical="top" wrapText="1"/>
    </xf>
    <xf numFmtId="0" fontId="2" fillId="0" borderId="33" xfId="0" applyFont="1" applyBorder="1" applyAlignment="1">
      <alignment horizontal="left" vertical="top" wrapText="1"/>
    </xf>
    <xf numFmtId="0" fontId="2" fillId="0" borderId="0" xfId="0" applyFont="1" applyBorder="1" applyAlignment="1">
      <alignment vertical="top" wrapText="1"/>
    </xf>
    <xf numFmtId="165" fontId="2" fillId="0" borderId="0" xfId="0" applyNumberFormat="1" applyFont="1" applyBorder="1" applyAlignment="1">
      <alignment vertical="top" wrapText="1"/>
    </xf>
    <xf numFmtId="0" fontId="2" fillId="0" borderId="33" xfId="0" applyFont="1" applyBorder="1" applyAlignment="1">
      <alignment vertical="top"/>
    </xf>
    <xf numFmtId="0" fontId="1" fillId="0" borderId="0" xfId="0" applyFont="1" applyBorder="1" applyAlignment="1">
      <alignment horizontal="left" vertical="top" wrapText="1"/>
    </xf>
    <xf numFmtId="49" fontId="2" fillId="7" borderId="10"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1" fillId="0" borderId="0" xfId="0" applyNumberFormat="1" applyFont="1" applyFill="1" applyBorder="1" applyAlignment="1">
      <alignment vertical="top"/>
    </xf>
    <xf numFmtId="165" fontId="2" fillId="8" borderId="34"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12" borderId="27"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2" fillId="11" borderId="1" xfId="0" applyNumberFormat="1" applyFont="1" applyFill="1" applyBorder="1" applyAlignment="1">
      <alignment horizontal="center" vertical="center" wrapText="1"/>
    </xf>
    <xf numFmtId="165" fontId="2" fillId="11" borderId="84" xfId="0" applyNumberFormat="1" applyFont="1" applyFill="1" applyBorder="1" applyAlignment="1">
      <alignment horizontal="center" vertical="top" wrapText="1"/>
    </xf>
    <xf numFmtId="165" fontId="1" fillId="7" borderId="34" xfId="0" applyNumberFormat="1"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0" borderId="27" xfId="0" applyNumberFormat="1" applyFont="1" applyFill="1" applyBorder="1" applyAlignment="1">
      <alignment horizontal="center" vertical="top" wrapText="1"/>
    </xf>
    <xf numFmtId="49" fontId="2" fillId="7" borderId="2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8" borderId="10" xfId="0" applyNumberFormat="1" applyFont="1" applyFill="1" applyBorder="1" applyAlignment="1">
      <alignment horizontal="center" vertical="top"/>
    </xf>
    <xf numFmtId="165" fontId="1" fillId="7" borderId="28" xfId="0" applyNumberFormat="1" applyFont="1" applyFill="1" applyBorder="1" applyAlignment="1">
      <alignment horizontal="left" vertical="top" wrapText="1"/>
    </xf>
    <xf numFmtId="0" fontId="1" fillId="7" borderId="46" xfId="0" applyFont="1" applyFill="1" applyBorder="1" applyAlignment="1">
      <alignment vertical="top" wrapText="1"/>
    </xf>
    <xf numFmtId="0" fontId="2" fillId="0" borderId="0" xfId="0" applyFont="1" applyBorder="1" applyAlignment="1">
      <alignment horizontal="left" vertical="top" wrapText="1"/>
    </xf>
    <xf numFmtId="165" fontId="2" fillId="8" borderId="10" xfId="0" applyNumberFormat="1" applyFont="1" applyFill="1" applyBorder="1" applyAlignment="1">
      <alignment horizontal="center" vertical="top"/>
    </xf>
    <xf numFmtId="165" fontId="1" fillId="7" borderId="6" xfId="0" applyNumberFormat="1" applyFont="1" applyFill="1" applyBorder="1" applyAlignment="1">
      <alignment vertical="top" wrapText="1"/>
    </xf>
    <xf numFmtId="3" fontId="11" fillId="7" borderId="17" xfId="0" applyNumberFormat="1" applyFont="1" applyFill="1" applyBorder="1" applyAlignment="1">
      <alignment horizontal="center" vertical="top"/>
    </xf>
    <xf numFmtId="165" fontId="1" fillId="7" borderId="44" xfId="0" applyNumberFormat="1" applyFont="1" applyFill="1" applyBorder="1" applyAlignment="1">
      <alignment horizontal="left" vertical="top" wrapText="1"/>
    </xf>
    <xf numFmtId="3" fontId="1" fillId="7" borderId="106" xfId="0" applyNumberFormat="1" applyFont="1" applyFill="1" applyBorder="1" applyAlignment="1">
      <alignment horizontal="center" vertical="top" wrapText="1"/>
    </xf>
    <xf numFmtId="165" fontId="1" fillId="7" borderId="35"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1" fillId="7" borderId="28"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1" fillId="7" borderId="28" xfId="0" applyNumberFormat="1" applyFont="1" applyFill="1" applyBorder="1" applyAlignment="1">
      <alignment horizontal="left" vertical="top" wrapText="1"/>
    </xf>
    <xf numFmtId="165" fontId="2" fillId="7" borderId="90" xfId="0" applyNumberFormat="1" applyFont="1" applyFill="1" applyBorder="1" applyAlignment="1">
      <alignment horizontal="center" vertical="top"/>
    </xf>
    <xf numFmtId="165" fontId="11" fillId="7" borderId="72" xfId="0" applyNumberFormat="1" applyFont="1" applyFill="1" applyBorder="1" applyAlignment="1">
      <alignment horizontal="center" vertical="top"/>
    </xf>
    <xf numFmtId="0" fontId="1" fillId="7" borderId="6" xfId="0" applyFont="1" applyFill="1" applyBorder="1" applyAlignment="1">
      <alignment vertical="top" wrapText="1"/>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49" fontId="2" fillId="7" borderId="47" xfId="0" applyNumberFormat="1" applyFont="1" applyFill="1" applyBorder="1" applyAlignment="1">
      <alignment horizontal="center" vertical="top"/>
    </xf>
    <xf numFmtId="0" fontId="6" fillId="7" borderId="6" xfId="0"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10" xfId="0" applyNumberFormat="1" applyFont="1" applyFill="1" applyBorder="1" applyAlignment="1">
      <alignment horizontal="center" vertical="top" wrapText="1"/>
    </xf>
    <xf numFmtId="0" fontId="6" fillId="11" borderId="10" xfId="0" applyFont="1" applyFill="1" applyBorder="1" applyAlignment="1">
      <alignment horizontal="left" vertical="top" wrapText="1"/>
    </xf>
    <xf numFmtId="165" fontId="2" fillId="8" borderId="1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49" fontId="2" fillId="7" borderId="10" xfId="0" applyNumberFormat="1" applyFont="1" applyFill="1" applyBorder="1" applyAlignment="1">
      <alignment vertical="top"/>
    </xf>
    <xf numFmtId="49" fontId="2" fillId="7" borderId="27" xfId="0" applyNumberFormat="1" applyFont="1" applyFill="1" applyBorder="1" applyAlignment="1">
      <alignment vertical="top"/>
    </xf>
    <xf numFmtId="165" fontId="2" fillId="12" borderId="1"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7" borderId="1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1" fillId="7" borderId="22" xfId="0" applyNumberFormat="1" applyFont="1" applyFill="1" applyBorder="1" applyAlignment="1">
      <alignment horizontal="center" vertical="top"/>
    </xf>
    <xf numFmtId="0" fontId="6" fillId="0" borderId="26" xfId="0" applyFont="1" applyBorder="1" applyAlignment="1">
      <alignment horizontal="center" vertical="top" wrapText="1"/>
    </xf>
    <xf numFmtId="3" fontId="1" fillId="7" borderId="10" xfId="0" applyNumberFormat="1" applyFont="1" applyFill="1" applyBorder="1" applyAlignment="1">
      <alignment horizontal="center" vertical="top" wrapText="1"/>
    </xf>
    <xf numFmtId="165" fontId="13" fillId="7" borderId="72" xfId="0" applyNumberFormat="1" applyFont="1" applyFill="1" applyBorder="1" applyAlignment="1">
      <alignment horizontal="center" vertical="top"/>
    </xf>
    <xf numFmtId="0" fontId="13" fillId="7" borderId="61" xfId="0" applyFont="1" applyFill="1" applyBorder="1" applyAlignment="1">
      <alignment horizontal="center" vertical="center"/>
    </xf>
    <xf numFmtId="165" fontId="13" fillId="10" borderId="22" xfId="0" applyNumberFormat="1" applyFont="1" applyFill="1" applyBorder="1" applyAlignment="1">
      <alignment horizontal="center" vertical="center"/>
    </xf>
    <xf numFmtId="0" fontId="31" fillId="7" borderId="28" xfId="0" applyFont="1" applyFill="1" applyBorder="1" applyAlignment="1">
      <alignment horizontal="left" vertical="top" wrapText="1"/>
    </xf>
    <xf numFmtId="3" fontId="13" fillId="7" borderId="27" xfId="0" applyNumberFormat="1" applyFont="1" applyFill="1" applyBorder="1" applyAlignment="1">
      <alignment horizontal="center" vertical="top" wrapText="1"/>
    </xf>
    <xf numFmtId="165" fontId="1" fillId="3" borderId="27" xfId="0" applyNumberFormat="1" applyFont="1" applyFill="1" applyBorder="1" applyAlignment="1">
      <alignment horizontal="center" vertical="center" textRotation="90" wrapText="1"/>
    </xf>
    <xf numFmtId="0" fontId="0" fillId="7" borderId="17" xfId="0" applyFill="1" applyBorder="1" applyAlignment="1">
      <alignment horizontal="center" vertical="top" wrapText="1"/>
    </xf>
    <xf numFmtId="165" fontId="2" fillId="2"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0" fontId="1" fillId="7" borderId="0" xfId="0" applyFont="1" applyFill="1" applyBorder="1" applyAlignment="1">
      <alignment horizontal="center" vertical="top"/>
    </xf>
    <xf numFmtId="3" fontId="13" fillId="7" borderId="20" xfId="0" applyNumberFormat="1" applyFont="1" applyFill="1" applyBorder="1" applyAlignment="1">
      <alignment horizontal="center" vertical="top"/>
    </xf>
    <xf numFmtId="3" fontId="13" fillId="7" borderId="26" xfId="0" applyNumberFormat="1" applyFont="1" applyFill="1" applyBorder="1" applyAlignment="1">
      <alignment horizontal="center" vertical="top"/>
    </xf>
    <xf numFmtId="165" fontId="17" fillId="8" borderId="1" xfId="0" applyNumberFormat="1" applyFont="1" applyFill="1" applyBorder="1" applyAlignment="1">
      <alignment vertical="top" wrapText="1"/>
    </xf>
    <xf numFmtId="0" fontId="1" fillId="0" borderId="0" xfId="0" applyFont="1" applyAlignment="1">
      <alignment horizontal="center" vertical="center"/>
    </xf>
    <xf numFmtId="3" fontId="1" fillId="0" borderId="45"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0" fontId="1" fillId="7" borderId="46" xfId="0" applyFont="1" applyFill="1" applyBorder="1" applyAlignment="1">
      <alignment vertical="top" wrapText="1"/>
    </xf>
    <xf numFmtId="165" fontId="1" fillId="7" borderId="110" xfId="0" applyNumberFormat="1" applyFont="1" applyFill="1" applyBorder="1" applyAlignment="1">
      <alignment vertical="top" wrapText="1"/>
    </xf>
    <xf numFmtId="165" fontId="1" fillId="2" borderId="31" xfId="0" applyNumberFormat="1" applyFont="1" applyFill="1" applyBorder="1" applyAlignment="1">
      <alignment horizontal="center" vertical="top" wrapText="1"/>
    </xf>
    <xf numFmtId="165" fontId="2" fillId="7" borderId="47"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3" fontId="20" fillId="7" borderId="0" xfId="0" applyNumberFormat="1" applyFont="1" applyFill="1" applyAlignment="1">
      <alignment horizontal="left" vertical="top" wrapText="1"/>
    </xf>
    <xf numFmtId="49" fontId="2" fillId="7"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49" fontId="2" fillId="7" borderId="19"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49" fontId="2" fillId="7" borderId="27" xfId="0" applyNumberFormat="1" applyFont="1" applyFill="1" applyBorder="1" applyAlignment="1">
      <alignment horizontal="center" vertical="top"/>
    </xf>
    <xf numFmtId="165" fontId="9" fillId="11" borderId="19" xfId="0" applyNumberFormat="1" applyFont="1" applyFill="1" applyBorder="1" applyAlignment="1">
      <alignment horizontal="center" vertical="top" wrapText="1"/>
    </xf>
    <xf numFmtId="165" fontId="5" fillId="11" borderId="46" xfId="0" applyNumberFormat="1" applyFont="1" applyFill="1" applyBorder="1" applyAlignment="1">
      <alignment horizontal="center" vertical="center" textRotation="90" wrapText="1"/>
    </xf>
    <xf numFmtId="0" fontId="1" fillId="0" borderId="0" xfId="0" applyFont="1" applyAlignment="1">
      <alignment horizontal="left" vertical="top" wrapText="1"/>
    </xf>
    <xf numFmtId="165" fontId="1" fillId="7" borderId="10" xfId="0" applyNumberFormat="1" applyFont="1" applyFill="1" applyBorder="1" applyAlignment="1">
      <alignment vertical="center" textRotation="90" wrapText="1"/>
    </xf>
    <xf numFmtId="0" fontId="3" fillId="7" borderId="47" xfId="0" applyFont="1" applyFill="1" applyBorder="1" applyAlignment="1">
      <alignment horizontal="center" vertical="top" wrapText="1"/>
    </xf>
    <xf numFmtId="165" fontId="2" fillId="7" borderId="47" xfId="0" applyNumberFormat="1" applyFont="1" applyFill="1" applyBorder="1" applyAlignment="1">
      <alignment horizontal="center" vertical="center" wrapText="1"/>
    </xf>
    <xf numFmtId="165" fontId="12" fillId="7" borderId="47" xfId="0" applyNumberFormat="1" applyFont="1" applyFill="1" applyBorder="1" applyAlignment="1">
      <alignment horizontal="center" vertical="center" wrapText="1"/>
    </xf>
    <xf numFmtId="0" fontId="3" fillId="7" borderId="45" xfId="0" applyFont="1" applyFill="1" applyBorder="1" applyAlignment="1">
      <alignment horizontal="center" vertical="top" wrapText="1"/>
    </xf>
    <xf numFmtId="165" fontId="2" fillId="7" borderId="45" xfId="0" applyNumberFormat="1" applyFont="1" applyFill="1" applyBorder="1" applyAlignment="1">
      <alignment horizontal="center" vertical="center" wrapText="1"/>
    </xf>
    <xf numFmtId="165" fontId="12" fillId="7" borderId="34" xfId="0" applyNumberFormat="1" applyFont="1" applyFill="1" applyBorder="1" applyAlignment="1">
      <alignment horizontal="center" vertical="center" wrapText="1"/>
    </xf>
    <xf numFmtId="165" fontId="1" fillId="7" borderId="47" xfId="0" applyNumberFormat="1" applyFont="1" applyFill="1" applyBorder="1" applyAlignment="1">
      <alignment horizontal="center" vertical="center" textRotation="90" wrapText="1"/>
    </xf>
    <xf numFmtId="165" fontId="1" fillId="7" borderId="44" xfId="0" applyNumberFormat="1" applyFont="1" applyFill="1" applyBorder="1" applyAlignment="1">
      <alignment horizontal="center" vertical="top" wrapText="1"/>
    </xf>
    <xf numFmtId="0" fontId="1" fillId="7" borderId="90" xfId="0" applyFont="1" applyFill="1" applyBorder="1" applyAlignment="1">
      <alignment horizontal="center" vertical="top"/>
    </xf>
    <xf numFmtId="165" fontId="2" fillId="7" borderId="87" xfId="0" applyNumberFormat="1" applyFont="1" applyFill="1" applyBorder="1" applyAlignment="1">
      <alignment horizontal="center" vertical="top" wrapText="1"/>
    </xf>
    <xf numFmtId="165" fontId="2" fillId="7" borderId="34" xfId="0" applyNumberFormat="1" applyFont="1" applyFill="1" applyBorder="1" applyAlignment="1">
      <alignment horizontal="center" vertical="top" textRotation="90" wrapText="1"/>
    </xf>
    <xf numFmtId="165" fontId="9" fillId="7" borderId="45" xfId="0" applyNumberFormat="1" applyFont="1" applyFill="1" applyBorder="1" applyAlignment="1">
      <alignment horizontal="center" vertical="top" wrapText="1"/>
    </xf>
    <xf numFmtId="0" fontId="1" fillId="7" borderId="79" xfId="0" applyFont="1" applyFill="1" applyBorder="1" applyAlignment="1">
      <alignment vertical="top" wrapText="1"/>
    </xf>
    <xf numFmtId="165" fontId="9" fillId="7" borderId="57" xfId="0" applyNumberFormat="1" applyFont="1" applyFill="1" applyBorder="1" applyAlignment="1">
      <alignment horizontal="center" vertical="top" wrapText="1"/>
    </xf>
    <xf numFmtId="165" fontId="1" fillId="7" borderId="22" xfId="1" applyNumberFormat="1" applyFont="1" applyFill="1" applyBorder="1" applyAlignment="1">
      <alignment horizontal="center" vertical="top" wrapText="1"/>
    </xf>
    <xf numFmtId="0" fontId="13" fillId="7" borderId="79" xfId="0" applyFont="1" applyFill="1" applyBorder="1" applyAlignment="1">
      <alignment horizontal="left" vertical="top" wrapText="1"/>
    </xf>
    <xf numFmtId="49" fontId="13" fillId="7" borderId="89" xfId="0" applyNumberFormat="1" applyFont="1" applyFill="1" applyBorder="1" applyAlignment="1">
      <alignment horizontal="center" vertical="top" wrapText="1"/>
    </xf>
    <xf numFmtId="165" fontId="1" fillId="7" borderId="47" xfId="0" applyNumberFormat="1" applyFont="1" applyFill="1" applyBorder="1" applyAlignment="1">
      <alignment horizontal="center" vertical="center" wrapText="1"/>
    </xf>
    <xf numFmtId="165" fontId="1" fillId="7" borderId="34" xfId="0" applyNumberFormat="1" applyFont="1" applyFill="1" applyBorder="1" applyAlignment="1">
      <alignment horizontal="center" vertical="center" wrapText="1"/>
    </xf>
    <xf numFmtId="165" fontId="2" fillId="7" borderId="19" xfId="0" applyNumberFormat="1" applyFont="1" applyFill="1" applyBorder="1" applyAlignment="1">
      <alignment vertical="top"/>
    </xf>
    <xf numFmtId="49" fontId="2" fillId="7" borderId="29" xfId="0" applyNumberFormat="1" applyFont="1" applyFill="1" applyBorder="1" applyAlignment="1">
      <alignment vertical="top"/>
    </xf>
    <xf numFmtId="49" fontId="2" fillId="9" borderId="8" xfId="0" applyNumberFormat="1" applyFont="1" applyFill="1" applyBorder="1" applyAlignment="1">
      <alignment vertical="top"/>
    </xf>
    <xf numFmtId="49" fontId="2" fillId="2" borderId="54" xfId="0" applyNumberFormat="1" applyFont="1" applyFill="1" applyBorder="1" applyAlignment="1">
      <alignment vertical="top"/>
    </xf>
    <xf numFmtId="0" fontId="6" fillId="7" borderId="102" xfId="0" applyFont="1" applyFill="1" applyBorder="1" applyAlignment="1">
      <alignment horizontal="center" vertical="top" wrapText="1"/>
    </xf>
    <xf numFmtId="0" fontId="6" fillId="7" borderId="91" xfId="0" applyFont="1" applyFill="1" applyBorder="1" applyAlignment="1">
      <alignment horizontal="center" vertical="top" wrapText="1"/>
    </xf>
    <xf numFmtId="165" fontId="2" fillId="2" borderId="67"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165" fontId="2" fillId="7" borderId="5" xfId="0" applyNumberFormat="1" applyFont="1" applyFill="1" applyBorder="1" applyAlignment="1">
      <alignment horizontal="center" vertical="top"/>
    </xf>
    <xf numFmtId="165" fontId="1" fillId="7" borderId="40" xfId="0" applyNumberFormat="1" applyFont="1" applyFill="1" applyBorder="1" applyAlignment="1">
      <alignment vertical="top"/>
    </xf>
    <xf numFmtId="165" fontId="2" fillId="7" borderId="97" xfId="0" applyNumberFormat="1" applyFont="1" applyFill="1" applyBorder="1" applyAlignment="1">
      <alignment horizontal="center" vertical="top" wrapText="1"/>
    </xf>
    <xf numFmtId="165" fontId="1" fillId="7" borderId="124" xfId="0" applyNumberFormat="1" applyFont="1" applyFill="1" applyBorder="1" applyAlignment="1">
      <alignment horizontal="left" vertical="top" wrapText="1"/>
    </xf>
    <xf numFmtId="165" fontId="1" fillId="7" borderId="123" xfId="0" applyNumberFormat="1" applyFont="1" applyFill="1" applyBorder="1" applyAlignment="1">
      <alignment vertical="top" wrapText="1"/>
    </xf>
    <xf numFmtId="165" fontId="1" fillId="7" borderId="124" xfId="0" applyNumberFormat="1" applyFont="1" applyFill="1" applyBorder="1" applyAlignment="1">
      <alignment vertical="top" wrapText="1"/>
    </xf>
    <xf numFmtId="165" fontId="1" fillId="0" borderId="78" xfId="0" applyNumberFormat="1" applyFont="1" applyFill="1" applyBorder="1" applyAlignment="1">
      <alignment horizontal="center" vertical="top"/>
    </xf>
    <xf numFmtId="165" fontId="2" fillId="7" borderId="91" xfId="0" applyNumberFormat="1" applyFont="1" applyFill="1" applyBorder="1" applyAlignment="1">
      <alignment horizontal="center" vertical="top" wrapText="1"/>
    </xf>
    <xf numFmtId="165" fontId="1" fillId="7" borderId="33" xfId="0" applyNumberFormat="1" applyFont="1" applyFill="1" applyBorder="1" applyAlignment="1">
      <alignment horizontal="left" vertical="top" wrapText="1"/>
    </xf>
    <xf numFmtId="3" fontId="5" fillId="7" borderId="34" xfId="0" applyNumberFormat="1" applyFont="1" applyFill="1" applyBorder="1" applyAlignment="1">
      <alignment horizontal="center" vertical="top"/>
    </xf>
    <xf numFmtId="3" fontId="5" fillId="7" borderId="26" xfId="0" applyNumberFormat="1" applyFont="1" applyFill="1" applyBorder="1" applyAlignment="1">
      <alignment horizontal="center" vertical="top"/>
    </xf>
    <xf numFmtId="3" fontId="5" fillId="7" borderId="27" xfId="0" applyNumberFormat="1" applyFont="1" applyFill="1" applyBorder="1" applyAlignment="1">
      <alignment horizontal="center" vertical="top"/>
    </xf>
    <xf numFmtId="0" fontId="2" fillId="7" borderId="10" xfId="0" applyFont="1" applyFill="1" applyBorder="1" applyAlignment="1">
      <alignment horizontal="center" vertical="top" wrapText="1"/>
    </xf>
    <xf numFmtId="0" fontId="1" fillId="7" borderId="27" xfId="0" applyFont="1" applyFill="1" applyBorder="1" applyAlignment="1">
      <alignment horizontal="center" vertical="center" wrapText="1"/>
    </xf>
    <xf numFmtId="165" fontId="2" fillId="7" borderId="17" xfId="0" applyNumberFormat="1" applyFont="1" applyFill="1" applyBorder="1" applyAlignment="1">
      <alignment horizontal="center" vertical="center" wrapText="1"/>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49" fontId="2" fillId="7" borderId="1" xfId="0" applyNumberFormat="1" applyFont="1" applyFill="1" applyBorder="1" applyAlignment="1">
      <alignment vertical="top"/>
    </xf>
    <xf numFmtId="165" fontId="2" fillId="0" borderId="1" xfId="0" applyNumberFormat="1" applyFont="1" applyFill="1" applyBorder="1" applyAlignment="1">
      <alignment horizontal="center" vertical="top" wrapText="1"/>
    </xf>
    <xf numFmtId="165" fontId="1" fillId="0" borderId="16" xfId="0" applyNumberFormat="1" applyFont="1" applyBorder="1" applyAlignment="1">
      <alignment horizontal="center" vertical="top" wrapText="1"/>
    </xf>
    <xf numFmtId="165" fontId="1" fillId="7" borderId="21" xfId="0" applyNumberFormat="1" applyFont="1" applyFill="1" applyBorder="1" applyAlignment="1">
      <alignment horizontal="center" vertical="top"/>
    </xf>
    <xf numFmtId="3" fontId="1" fillId="7" borderId="36" xfId="0" applyNumberFormat="1" applyFont="1" applyFill="1" applyBorder="1" applyAlignment="1">
      <alignment horizontal="center" vertical="top"/>
    </xf>
    <xf numFmtId="3" fontId="13" fillId="7" borderId="16" xfId="0" applyNumberFormat="1" applyFont="1" applyFill="1" applyBorder="1" applyAlignment="1">
      <alignment horizontal="center" vertical="top"/>
    </xf>
    <xf numFmtId="165" fontId="1" fillId="0" borderId="36" xfId="0" applyNumberFormat="1" applyFont="1" applyFill="1" applyBorder="1" applyAlignment="1">
      <alignment horizontal="left" vertical="top" wrapText="1"/>
    </xf>
    <xf numFmtId="165" fontId="1" fillId="7" borderId="35" xfId="0" applyNumberFormat="1" applyFont="1" applyFill="1" applyBorder="1" applyAlignment="1">
      <alignment horizontal="left" vertical="top" wrapText="1"/>
    </xf>
    <xf numFmtId="165" fontId="1" fillId="7" borderId="10" xfId="0" applyNumberFormat="1" applyFont="1" applyFill="1" applyBorder="1" applyAlignment="1">
      <alignment horizontal="center" vertical="center" textRotation="90" wrapText="1"/>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1" fillId="7" borderId="28"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2" fillId="7" borderId="27" xfId="0" applyNumberFormat="1" applyFont="1" applyFill="1" applyBorder="1" applyAlignment="1">
      <alignment horizontal="center" vertical="top"/>
    </xf>
    <xf numFmtId="165" fontId="6" fillId="7" borderId="17" xfId="0" applyNumberFormat="1" applyFont="1" applyFill="1" applyBorder="1" applyAlignment="1">
      <alignment horizontal="center" vertical="top" wrapText="1"/>
    </xf>
    <xf numFmtId="165" fontId="1" fillId="0" borderId="17" xfId="0" applyNumberFormat="1" applyFont="1" applyBorder="1" applyAlignment="1">
      <alignment horizontal="center" vertical="top" wrapText="1"/>
    </xf>
    <xf numFmtId="49" fontId="2" fillId="7" borderId="19" xfId="0" applyNumberFormat="1" applyFont="1" applyFill="1" applyBorder="1" applyAlignment="1">
      <alignment vertical="top"/>
    </xf>
    <xf numFmtId="0" fontId="6" fillId="7" borderId="20" xfId="0" applyFont="1" applyFill="1" applyBorder="1" applyAlignment="1">
      <alignment horizontal="center" wrapText="1"/>
    </xf>
    <xf numFmtId="0" fontId="6" fillId="7" borderId="26" xfId="0" applyFont="1" applyFill="1" applyBorder="1" applyAlignment="1">
      <alignment horizontal="center" wrapText="1"/>
    </xf>
    <xf numFmtId="3" fontId="13" fillId="7" borderId="27"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top"/>
    </xf>
    <xf numFmtId="165" fontId="1" fillId="7" borderId="44" xfId="0" applyNumberFormat="1" applyFont="1" applyFill="1" applyBorder="1" applyAlignment="1">
      <alignment horizontal="left" vertical="top" wrapText="1"/>
    </xf>
    <xf numFmtId="165" fontId="1" fillId="7" borderId="46" xfId="0" applyNumberFormat="1" applyFont="1" applyFill="1" applyBorder="1" applyAlignment="1">
      <alignment horizontal="left" vertical="top" wrapText="1"/>
    </xf>
    <xf numFmtId="165" fontId="1" fillId="7" borderId="19" xfId="0" applyNumberFormat="1" applyFont="1" applyFill="1" applyBorder="1" applyAlignment="1">
      <alignment horizontal="left" vertical="top" wrapText="1"/>
    </xf>
    <xf numFmtId="165" fontId="1" fillId="7" borderId="27" xfId="0" applyNumberFormat="1" applyFont="1" applyFill="1" applyBorder="1" applyAlignment="1">
      <alignment horizontal="left" vertical="top" wrapText="1"/>
    </xf>
    <xf numFmtId="165" fontId="1" fillId="7" borderId="10" xfId="0" applyNumberFormat="1" applyFont="1" applyFill="1" applyBorder="1" applyAlignment="1">
      <alignment vertical="top" wrapText="1"/>
    </xf>
    <xf numFmtId="0" fontId="6" fillId="7" borderId="10" xfId="0" applyFont="1" applyFill="1" applyBorder="1" applyAlignment="1">
      <alignment vertical="top" wrapText="1"/>
    </xf>
    <xf numFmtId="165" fontId="2" fillId="7" borderId="10" xfId="0" applyNumberFormat="1" applyFont="1" applyFill="1" applyBorder="1" applyAlignment="1">
      <alignment horizontal="center" vertical="top" wrapText="1"/>
    </xf>
    <xf numFmtId="165" fontId="1" fillId="7" borderId="35" xfId="0" applyNumberFormat="1" applyFont="1" applyFill="1" applyBorder="1" applyAlignment="1">
      <alignment horizontal="left" vertical="top" wrapText="1"/>
    </xf>
    <xf numFmtId="0" fontId="6" fillId="7" borderId="6" xfId="0" applyFont="1" applyFill="1" applyBorder="1" applyAlignment="1">
      <alignment horizontal="left" vertical="top" wrapText="1"/>
    </xf>
    <xf numFmtId="165" fontId="1" fillId="7" borderId="6" xfId="0" applyNumberFormat="1" applyFont="1" applyFill="1" applyBorder="1" applyAlignment="1">
      <alignment vertical="top" wrapText="1"/>
    </xf>
    <xf numFmtId="165" fontId="1" fillId="7" borderId="6" xfId="0" applyNumberFormat="1" applyFont="1" applyFill="1" applyBorder="1" applyAlignment="1">
      <alignment horizontal="left" vertical="top" wrapText="1"/>
    </xf>
    <xf numFmtId="0" fontId="1" fillId="7" borderId="27" xfId="0" applyFont="1" applyFill="1" applyBorder="1" applyAlignment="1">
      <alignment horizontal="left" vertical="top" wrapText="1"/>
    </xf>
    <xf numFmtId="49" fontId="2" fillId="7" borderId="24"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165" fontId="2" fillId="7" borderId="19" xfId="0" applyNumberFormat="1" applyFont="1" applyFill="1" applyBorder="1" applyAlignment="1">
      <alignment horizontal="center" vertical="top" wrapText="1"/>
    </xf>
    <xf numFmtId="49" fontId="2" fillId="9" borderId="4"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24"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165" fontId="2" fillId="7" borderId="27" xfId="0" applyNumberFormat="1" applyFont="1" applyFill="1" applyBorder="1" applyAlignment="1">
      <alignment horizontal="center" vertical="top" wrapText="1"/>
    </xf>
    <xf numFmtId="165" fontId="2" fillId="9" borderId="4" xfId="0" applyNumberFormat="1" applyFont="1" applyFill="1" applyBorder="1" applyAlignment="1">
      <alignment horizontal="center" vertical="top"/>
    </xf>
    <xf numFmtId="165" fontId="1" fillId="7" borderId="19" xfId="0" applyNumberFormat="1" applyFont="1" applyFill="1" applyBorder="1" applyAlignment="1">
      <alignment horizontal="center" vertical="center" textRotation="90" wrapText="1"/>
    </xf>
    <xf numFmtId="165" fontId="6" fillId="7" borderId="10" xfId="0" applyNumberFormat="1" applyFont="1" applyFill="1" applyBorder="1" applyAlignment="1">
      <alignment horizontal="center" vertical="center" textRotation="90" wrapText="1"/>
    </xf>
    <xf numFmtId="0" fontId="1" fillId="7" borderId="6" xfId="0" applyFont="1" applyFill="1" applyBorder="1" applyAlignment="1">
      <alignment vertical="top" wrapText="1"/>
    </xf>
    <xf numFmtId="165" fontId="1" fillId="2" borderId="67" xfId="0" applyNumberFormat="1" applyFont="1" applyFill="1" applyBorder="1" applyAlignment="1">
      <alignment horizontal="center" vertical="top" wrapText="1"/>
    </xf>
    <xf numFmtId="165" fontId="1" fillId="2" borderId="68"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1" fillId="7" borderId="96"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1" fillId="7" borderId="10" xfId="0" applyNumberFormat="1" applyFont="1" applyFill="1" applyBorder="1" applyAlignment="1">
      <alignment horizontal="center" vertical="center" textRotation="90" wrapText="1"/>
    </xf>
    <xf numFmtId="165" fontId="2" fillId="3" borderId="10" xfId="0" applyNumberFormat="1" applyFont="1" applyFill="1" applyBorder="1" applyAlignment="1">
      <alignment horizontal="center" vertical="top" wrapText="1"/>
    </xf>
    <xf numFmtId="165" fontId="1" fillId="7" borderId="97" xfId="0" applyNumberFormat="1" applyFont="1" applyFill="1" applyBorder="1" applyAlignment="1">
      <alignment horizontal="left" vertical="top" wrapText="1"/>
    </xf>
    <xf numFmtId="165" fontId="1" fillId="7" borderId="77" xfId="0" applyNumberFormat="1" applyFont="1" applyFill="1" applyBorder="1" applyAlignment="1">
      <alignment horizontal="left" vertical="top" wrapText="1"/>
    </xf>
    <xf numFmtId="165" fontId="1" fillId="7" borderId="35" xfId="0" applyNumberFormat="1" applyFont="1" applyFill="1" applyBorder="1" applyAlignment="1">
      <alignment vertical="top" wrapText="1"/>
    </xf>
    <xf numFmtId="165" fontId="6" fillId="7" borderId="6" xfId="0" applyNumberFormat="1" applyFont="1" applyFill="1" applyBorder="1" applyAlignment="1">
      <alignment vertical="top" wrapText="1"/>
    </xf>
    <xf numFmtId="0" fontId="1" fillId="7" borderId="96" xfId="0" applyFont="1" applyFill="1" applyBorder="1" applyAlignment="1">
      <alignment vertical="top" wrapText="1"/>
    </xf>
    <xf numFmtId="0" fontId="13" fillId="7" borderId="28" xfId="0" applyFont="1" applyFill="1" applyBorder="1" applyAlignment="1">
      <alignment vertical="top" wrapText="1"/>
    </xf>
    <xf numFmtId="165" fontId="1" fillId="7" borderId="18" xfId="0" applyNumberFormat="1" applyFont="1" applyFill="1" applyBorder="1" applyAlignment="1">
      <alignment horizontal="left" vertical="top" wrapText="1"/>
    </xf>
    <xf numFmtId="165" fontId="1" fillId="7" borderId="47" xfId="0" applyNumberFormat="1" applyFont="1" applyFill="1" applyBorder="1" applyAlignment="1">
      <alignment vertical="top" wrapText="1"/>
    </xf>
    <xf numFmtId="165" fontId="1" fillId="7" borderId="27" xfId="0" applyNumberFormat="1" applyFont="1" applyFill="1" applyBorder="1" applyAlignment="1">
      <alignment horizontal="center" vertical="center" textRotation="90" wrapText="1"/>
    </xf>
    <xf numFmtId="165" fontId="1" fillId="7" borderId="34" xfId="0" applyNumberFormat="1" applyFont="1" applyFill="1" applyBorder="1" applyAlignment="1">
      <alignment horizontal="left" vertical="top" wrapText="1"/>
    </xf>
    <xf numFmtId="49" fontId="2" fillId="7"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165" fontId="1" fillId="7" borderId="61" xfId="0" applyNumberFormat="1" applyFont="1" applyFill="1" applyBorder="1" applyAlignment="1">
      <alignment horizontal="left" vertical="top" wrapText="1"/>
    </xf>
    <xf numFmtId="49" fontId="1" fillId="0" borderId="20" xfId="0" applyNumberFormat="1" applyFont="1" applyFill="1" applyBorder="1" applyAlignment="1">
      <alignment horizontal="center" vertical="top"/>
    </xf>
    <xf numFmtId="49" fontId="1" fillId="0" borderId="26" xfId="0" applyNumberFormat="1" applyFont="1" applyFill="1" applyBorder="1" applyAlignment="1">
      <alignment horizontal="center" vertical="top"/>
    </xf>
    <xf numFmtId="165" fontId="1" fillId="7" borderId="33" xfId="0" applyNumberFormat="1" applyFont="1" applyFill="1" applyBorder="1" applyAlignment="1">
      <alignment vertical="top" wrapText="1"/>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1" fillId="7" borderId="79" xfId="0" applyNumberFormat="1" applyFont="1" applyFill="1" applyBorder="1" applyAlignment="1">
      <alignment vertical="top" wrapText="1"/>
    </xf>
    <xf numFmtId="165" fontId="2" fillId="7" borderId="34" xfId="0" applyNumberFormat="1" applyFont="1" applyFill="1" applyBorder="1" applyAlignment="1">
      <alignment horizontal="center" vertical="top" wrapText="1"/>
    </xf>
    <xf numFmtId="0" fontId="1" fillId="7" borderId="28" xfId="0" applyFont="1" applyFill="1" applyBorder="1" applyAlignment="1">
      <alignment horizontal="left" vertical="top" wrapText="1"/>
    </xf>
    <xf numFmtId="165" fontId="2" fillId="7" borderId="47" xfId="0" applyNumberFormat="1" applyFont="1" applyFill="1" applyBorder="1" applyAlignment="1">
      <alignment horizontal="center" vertical="top" wrapText="1"/>
    </xf>
    <xf numFmtId="165" fontId="2" fillId="7" borderId="26" xfId="0" applyNumberFormat="1" applyFont="1" applyFill="1" applyBorder="1" applyAlignment="1">
      <alignment horizontal="center" vertical="top" wrapText="1"/>
    </xf>
    <xf numFmtId="49" fontId="1" fillId="7" borderId="45" xfId="0" applyNumberFormat="1" applyFont="1" applyFill="1" applyBorder="1" applyAlignment="1">
      <alignment horizontal="center" vertical="top"/>
    </xf>
    <xf numFmtId="49" fontId="1" fillId="7" borderId="34" xfId="0" applyNumberFormat="1" applyFont="1" applyFill="1" applyBorder="1" applyAlignment="1">
      <alignment horizontal="center" vertical="top"/>
    </xf>
    <xf numFmtId="0" fontId="1" fillId="7" borderId="10" xfId="0" applyFont="1" applyFill="1" applyBorder="1" applyAlignment="1">
      <alignment vertical="top" wrapText="1"/>
    </xf>
    <xf numFmtId="0" fontId="0" fillId="0" borderId="0" xfId="0" applyFont="1" applyBorder="1" applyAlignment="1">
      <alignment vertical="top" wrapText="1"/>
    </xf>
    <xf numFmtId="165" fontId="1" fillId="13" borderId="100" xfId="0" applyNumberFormat="1" applyFont="1" applyFill="1" applyBorder="1" applyAlignment="1">
      <alignment horizontal="center" vertical="top"/>
    </xf>
    <xf numFmtId="165" fontId="2" fillId="7" borderId="10"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1" fillId="13" borderId="47" xfId="0" applyNumberFormat="1" applyFont="1" applyFill="1" applyBorder="1" applyAlignment="1">
      <alignment horizontal="left" vertical="top" wrapText="1"/>
    </xf>
    <xf numFmtId="49" fontId="11" fillId="13" borderId="0" xfId="0" applyNumberFormat="1" applyFont="1" applyFill="1" applyBorder="1" applyAlignment="1">
      <alignment horizontal="center" vertical="top"/>
    </xf>
    <xf numFmtId="165" fontId="11" fillId="13" borderId="0" xfId="0" applyNumberFormat="1" applyFont="1" applyFill="1" applyBorder="1" applyAlignment="1">
      <alignment horizontal="right" vertical="top" wrapText="1"/>
    </xf>
    <xf numFmtId="165" fontId="11" fillId="13" borderId="10" xfId="0" applyNumberFormat="1" applyFont="1" applyFill="1" applyBorder="1" applyAlignment="1">
      <alignment horizontal="center" vertical="top"/>
    </xf>
    <xf numFmtId="49" fontId="11" fillId="13" borderId="47" xfId="0" applyNumberFormat="1" applyFont="1" applyFill="1" applyBorder="1" applyAlignment="1">
      <alignment horizontal="center" vertical="top"/>
    </xf>
    <xf numFmtId="49" fontId="11" fillId="13" borderId="17" xfId="0" applyNumberFormat="1" applyFont="1" applyFill="1" applyBorder="1" applyAlignment="1">
      <alignment horizontal="center" vertical="top"/>
    </xf>
    <xf numFmtId="165" fontId="11" fillId="13" borderId="102" xfId="0" applyNumberFormat="1" applyFont="1" applyFill="1" applyBorder="1" applyAlignment="1">
      <alignment horizontal="left" vertical="top" wrapText="1"/>
    </xf>
    <xf numFmtId="165" fontId="11" fillId="13" borderId="101" xfId="0" applyNumberFormat="1" applyFont="1" applyFill="1" applyBorder="1" applyAlignment="1">
      <alignment horizontal="left" vertical="top" wrapText="1"/>
    </xf>
    <xf numFmtId="165" fontId="1" fillId="13" borderId="97" xfId="0" applyNumberFormat="1" applyFont="1" applyFill="1" applyBorder="1" applyAlignment="1">
      <alignment horizontal="center" vertical="top"/>
    </xf>
    <xf numFmtId="0" fontId="11" fillId="13" borderId="101" xfId="0" applyNumberFormat="1" applyFont="1" applyFill="1" applyBorder="1" applyAlignment="1">
      <alignment horizontal="center" vertical="top"/>
    </xf>
    <xf numFmtId="165" fontId="11" fillId="13" borderId="72" xfId="0" applyNumberFormat="1" applyFont="1" applyFill="1" applyBorder="1" applyAlignment="1">
      <alignment horizontal="right" vertical="top" wrapText="1"/>
    </xf>
    <xf numFmtId="165" fontId="11" fillId="13" borderId="27" xfId="0" applyNumberFormat="1" applyFont="1" applyFill="1" applyBorder="1" applyAlignment="1">
      <alignment horizontal="center" vertical="top"/>
    </xf>
    <xf numFmtId="49" fontId="11" fillId="13" borderId="72" xfId="0" applyNumberFormat="1" applyFont="1" applyFill="1" applyBorder="1" applyAlignment="1">
      <alignment horizontal="center" vertical="top"/>
    </xf>
    <xf numFmtId="49" fontId="11" fillId="13" borderId="34" xfId="0" applyNumberFormat="1" applyFont="1" applyFill="1" applyBorder="1" applyAlignment="1">
      <alignment horizontal="center" vertical="top"/>
    </xf>
    <xf numFmtId="165" fontId="11" fillId="13" borderId="33" xfId="0" applyNumberFormat="1" applyFont="1" applyFill="1" applyBorder="1" applyAlignment="1">
      <alignment horizontal="center" vertical="top"/>
    </xf>
    <xf numFmtId="165" fontId="11" fillId="13" borderId="61" xfId="0" applyNumberFormat="1" applyFont="1" applyFill="1" applyBorder="1" applyAlignment="1">
      <alignment horizontal="center" vertical="top"/>
    </xf>
    <xf numFmtId="49" fontId="11" fillId="13" borderId="26" xfId="0" applyNumberFormat="1" applyFont="1" applyFill="1" applyBorder="1" applyAlignment="1">
      <alignment horizontal="center" vertical="top"/>
    </xf>
    <xf numFmtId="165" fontId="11" fillId="13" borderId="6" xfId="0" applyNumberFormat="1" applyFont="1" applyFill="1" applyBorder="1" applyAlignment="1">
      <alignment horizontal="center" vertical="top"/>
    </xf>
    <xf numFmtId="165" fontId="11" fillId="13" borderId="5" xfId="0" applyNumberFormat="1" applyFont="1" applyFill="1" applyBorder="1" applyAlignment="1">
      <alignment horizontal="center" vertical="top"/>
    </xf>
    <xf numFmtId="165" fontId="11" fillId="13" borderId="28" xfId="0" applyNumberFormat="1" applyFont="1" applyFill="1" applyBorder="1" applyAlignment="1">
      <alignment horizontal="center" vertical="top"/>
    </xf>
    <xf numFmtId="165" fontId="11" fillId="13" borderId="22" xfId="0" applyNumberFormat="1" applyFont="1" applyFill="1" applyBorder="1" applyAlignment="1">
      <alignment horizontal="center" vertical="top"/>
    </xf>
    <xf numFmtId="165" fontId="1" fillId="13" borderId="110" xfId="0" applyNumberFormat="1" applyFont="1" applyFill="1" applyBorder="1" applyAlignment="1">
      <alignment horizontal="center" vertical="top"/>
    </xf>
    <xf numFmtId="165" fontId="1" fillId="13" borderId="98" xfId="0" applyNumberFormat="1" applyFont="1" applyFill="1" applyBorder="1" applyAlignment="1">
      <alignment horizontal="center" vertical="top"/>
    </xf>
    <xf numFmtId="165" fontId="1" fillId="13" borderId="96" xfId="0" applyNumberFormat="1" applyFont="1" applyFill="1" applyBorder="1" applyAlignment="1">
      <alignment horizontal="center" vertical="top"/>
    </xf>
    <xf numFmtId="165" fontId="1" fillId="7" borderId="35" xfId="0" applyNumberFormat="1" applyFont="1" applyFill="1" applyBorder="1" applyAlignment="1">
      <alignment horizontal="left" vertical="top" wrapText="1"/>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1" fillId="7" borderId="28" xfId="0" applyNumberFormat="1" applyFont="1" applyFill="1" applyBorder="1" applyAlignment="1">
      <alignment horizontal="left" vertical="top" wrapText="1"/>
    </xf>
    <xf numFmtId="49" fontId="1" fillId="7" borderId="34"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165" fontId="6" fillId="7" borderId="6" xfId="0" applyNumberFormat="1" applyFont="1" applyFill="1" applyBorder="1" applyAlignment="1">
      <alignment vertical="top" wrapText="1"/>
    </xf>
    <xf numFmtId="165" fontId="1" fillId="7" borderId="22"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1" fillId="0" borderId="0" xfId="0" applyNumberFormat="1" applyFont="1" applyBorder="1" applyAlignment="1">
      <alignment horizontal="left" vertical="top" wrapText="1"/>
    </xf>
    <xf numFmtId="3" fontId="1" fillId="7" borderId="19"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49" fontId="13" fillId="7" borderId="34" xfId="0" applyNumberFormat="1" applyFont="1" applyFill="1" applyBorder="1" applyAlignment="1">
      <alignment horizontal="center" vertical="top"/>
    </xf>
    <xf numFmtId="165" fontId="2" fillId="9" borderId="6"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1" fillId="7" borderId="27" xfId="0" applyNumberFormat="1" applyFont="1" applyFill="1" applyBorder="1" applyAlignment="1">
      <alignment vertical="top" wrapText="1"/>
    </xf>
    <xf numFmtId="165" fontId="1" fillId="7" borderId="6" xfId="0" applyNumberFormat="1"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165" fontId="1" fillId="7" borderId="10" xfId="0" applyNumberFormat="1" applyFont="1" applyFill="1" applyBorder="1" applyAlignment="1">
      <alignment horizontal="center" vertical="center" textRotation="90" wrapText="1"/>
    </xf>
    <xf numFmtId="165" fontId="1" fillId="7" borderId="22" xfId="0" applyNumberFormat="1" applyFont="1" applyFill="1" applyBorder="1" applyAlignment="1">
      <alignment horizontal="center" vertical="top"/>
    </xf>
    <xf numFmtId="0" fontId="0" fillId="0" borderId="33" xfId="0" applyFont="1" applyBorder="1" applyAlignment="1">
      <alignment vertical="top" wrapText="1"/>
    </xf>
    <xf numFmtId="165" fontId="1" fillId="7" borderId="17" xfId="0" applyNumberFormat="1" applyFont="1" applyFill="1" applyBorder="1" applyAlignment="1">
      <alignment horizontal="center" vertical="top" wrapText="1"/>
    </xf>
    <xf numFmtId="0" fontId="13" fillId="7" borderId="35" xfId="0" applyFont="1" applyFill="1" applyBorder="1" applyAlignment="1">
      <alignment vertical="top" wrapText="1"/>
    </xf>
    <xf numFmtId="0" fontId="13" fillId="7" borderId="28" xfId="0" applyFont="1" applyFill="1" applyBorder="1" applyAlignment="1">
      <alignment vertical="top" wrapText="1"/>
    </xf>
    <xf numFmtId="165" fontId="13" fillId="7" borderId="6" xfId="0" applyNumberFormat="1" applyFont="1" applyFill="1" applyBorder="1" applyAlignment="1">
      <alignment horizontal="left" vertical="top" wrapText="1"/>
    </xf>
    <xf numFmtId="3" fontId="13" fillId="7" borderId="57" xfId="0" applyNumberFormat="1" applyFont="1" applyFill="1" applyBorder="1" applyAlignment="1">
      <alignment horizontal="center" vertical="top"/>
    </xf>
    <xf numFmtId="3" fontId="13" fillId="7" borderId="45" xfId="0" applyNumberFormat="1" applyFont="1" applyFill="1" applyBorder="1" applyAlignment="1">
      <alignment horizontal="center" vertical="top"/>
    </xf>
    <xf numFmtId="165" fontId="13" fillId="7" borderId="44" xfId="0" applyNumberFormat="1" applyFont="1" applyFill="1" applyBorder="1" applyAlignment="1">
      <alignment vertical="top" wrapText="1"/>
    </xf>
    <xf numFmtId="3" fontId="13" fillId="7" borderId="57" xfId="0" applyNumberFormat="1" applyFont="1" applyFill="1" applyBorder="1" applyAlignment="1">
      <alignment horizontal="center" vertical="top" wrapText="1"/>
    </xf>
    <xf numFmtId="3" fontId="13" fillId="7" borderId="45" xfId="0" applyNumberFormat="1" applyFont="1" applyFill="1" applyBorder="1" applyAlignment="1">
      <alignment horizontal="center" vertical="top" wrapText="1"/>
    </xf>
    <xf numFmtId="3" fontId="13" fillId="7" borderId="0" xfId="0" applyNumberFormat="1" applyFont="1" applyFill="1" applyBorder="1" applyAlignment="1">
      <alignment horizontal="center" vertical="top" wrapText="1"/>
    </xf>
    <xf numFmtId="3" fontId="13" fillId="7" borderId="0" xfId="0" applyNumberFormat="1" applyFont="1" applyFill="1" applyBorder="1" applyAlignment="1">
      <alignment horizontal="center" vertical="top"/>
    </xf>
    <xf numFmtId="0" fontId="1" fillId="7" borderId="127" xfId="0" applyFont="1" applyFill="1" applyBorder="1" applyAlignment="1">
      <alignment vertical="top" wrapText="1"/>
    </xf>
    <xf numFmtId="165" fontId="1" fillId="7" borderId="128" xfId="0" applyNumberFormat="1" applyFont="1" applyFill="1" applyBorder="1" applyAlignment="1">
      <alignment horizontal="center" vertical="top"/>
    </xf>
    <xf numFmtId="165" fontId="1" fillId="7" borderId="129" xfId="0" applyNumberFormat="1" applyFont="1" applyFill="1" applyBorder="1" applyAlignment="1">
      <alignment horizontal="left" vertical="top" wrapText="1"/>
    </xf>
    <xf numFmtId="165" fontId="1" fillId="7" borderId="125" xfId="0" applyNumberFormat="1" applyFont="1" applyFill="1" applyBorder="1" applyAlignment="1">
      <alignment horizontal="center" vertical="top"/>
    </xf>
    <xf numFmtId="165" fontId="1" fillId="7" borderId="126" xfId="0" applyNumberFormat="1" applyFont="1" applyFill="1" applyBorder="1" applyAlignment="1">
      <alignment horizontal="center" vertical="top"/>
    </xf>
    <xf numFmtId="165" fontId="1" fillId="7" borderId="130" xfId="0" applyNumberFormat="1" applyFont="1" applyFill="1" applyBorder="1" applyAlignment="1">
      <alignment horizontal="center" vertical="top"/>
    </xf>
    <xf numFmtId="165" fontId="5" fillId="7" borderId="26" xfId="0" applyNumberFormat="1" applyFont="1" applyFill="1" applyBorder="1" applyAlignment="1">
      <alignment horizontal="center" vertical="center" textRotation="90" wrapText="1"/>
    </xf>
    <xf numFmtId="3" fontId="1" fillId="7" borderId="19" xfId="0" applyNumberFormat="1" applyFont="1" applyFill="1" applyBorder="1" applyAlignment="1">
      <alignment horizontal="center" vertical="top" wrapText="1"/>
    </xf>
    <xf numFmtId="3" fontId="1" fillId="7" borderId="27"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xf>
    <xf numFmtId="165" fontId="2" fillId="7" borderId="19"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165" fontId="2" fillId="2" borderId="47" xfId="0" applyNumberFormat="1" applyFont="1" applyFill="1" applyBorder="1" applyAlignment="1">
      <alignment horizontal="center" vertical="top"/>
    </xf>
    <xf numFmtId="165" fontId="2" fillId="9" borderId="33"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1" fillId="7" borderId="48" xfId="0" applyNumberFormat="1" applyFont="1" applyFill="1" applyBorder="1" applyAlignment="1">
      <alignment vertical="top" wrapText="1"/>
    </xf>
    <xf numFmtId="49" fontId="2" fillId="7" borderId="27" xfId="0"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10" xfId="0" applyNumberFormat="1" applyFont="1" applyFill="1" applyBorder="1" applyAlignment="1">
      <alignment horizontal="left" vertical="top" wrapText="1"/>
    </xf>
    <xf numFmtId="165" fontId="1" fillId="7" borderId="27" xfId="0" applyNumberFormat="1" applyFont="1" applyFill="1" applyBorder="1" applyAlignment="1">
      <alignment horizontal="left" vertical="top" wrapText="1"/>
    </xf>
    <xf numFmtId="165" fontId="1" fillId="7" borderId="35" xfId="0" applyNumberFormat="1" applyFont="1" applyFill="1" applyBorder="1" applyAlignment="1">
      <alignment vertical="top" wrapText="1"/>
    </xf>
    <xf numFmtId="3" fontId="1" fillId="7" borderId="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1" fillId="7" borderId="6" xfId="0" applyNumberFormat="1" applyFont="1" applyFill="1" applyBorder="1" applyAlignment="1">
      <alignment vertical="top" wrapText="1"/>
    </xf>
    <xf numFmtId="165" fontId="2" fillId="7" borderId="27" xfId="0" applyNumberFormat="1" applyFont="1" applyFill="1" applyBorder="1" applyAlignment="1">
      <alignment horizontal="center" vertical="top" wrapText="1"/>
    </xf>
    <xf numFmtId="165" fontId="6" fillId="7" borderId="10" xfId="0" applyNumberFormat="1" applyFont="1" applyFill="1" applyBorder="1" applyAlignment="1">
      <alignment horizontal="center" vertical="center" textRotation="90" wrapText="1"/>
    </xf>
    <xf numFmtId="3" fontId="1" fillId="7" borderId="19" xfId="0" applyNumberFormat="1" applyFont="1" applyFill="1" applyBorder="1" applyAlignment="1">
      <alignment horizontal="center" vertical="top" wrapText="1"/>
    </xf>
    <xf numFmtId="3" fontId="1" fillId="7" borderId="27" xfId="0" applyNumberFormat="1" applyFont="1" applyFill="1" applyBorder="1" applyAlignment="1">
      <alignment horizontal="center" vertical="top" wrapText="1"/>
    </xf>
    <xf numFmtId="3" fontId="1" fillId="7" borderId="17" xfId="0" applyNumberFormat="1" applyFont="1" applyFill="1" applyBorder="1" applyAlignment="1">
      <alignment horizontal="center" vertical="top"/>
    </xf>
    <xf numFmtId="165" fontId="1" fillId="7" borderId="33" xfId="0" applyNumberFormat="1" applyFont="1" applyFill="1" applyBorder="1" applyAlignment="1">
      <alignment vertical="top" wrapText="1"/>
    </xf>
    <xf numFmtId="3" fontId="1" fillId="7" borderId="10" xfId="0" applyNumberFormat="1" applyFont="1" applyFill="1" applyBorder="1" applyAlignment="1">
      <alignment horizontal="center" vertical="top"/>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13" fillId="7" borderId="17" xfId="0" applyNumberFormat="1" applyFont="1" applyFill="1" applyBorder="1" applyAlignment="1">
      <alignment horizontal="center" vertical="center" wrapText="1"/>
    </xf>
    <xf numFmtId="165" fontId="6" fillId="7" borderId="17" xfId="0" applyNumberFormat="1" applyFont="1" applyFill="1" applyBorder="1" applyAlignment="1">
      <alignment horizontal="center" vertical="top" wrapText="1"/>
    </xf>
    <xf numFmtId="0" fontId="2" fillId="7" borderId="0" xfId="0" applyFont="1" applyFill="1" applyBorder="1" applyAlignment="1">
      <alignment vertical="top"/>
    </xf>
    <xf numFmtId="0" fontId="1" fillId="0" borderId="72" xfId="0" applyFont="1" applyBorder="1" applyAlignment="1">
      <alignment horizontal="center" vertical="center"/>
    </xf>
    <xf numFmtId="0" fontId="1" fillId="0" borderId="72" xfId="0" applyFont="1" applyBorder="1" applyAlignment="1">
      <alignment horizontal="center" vertical="top"/>
    </xf>
    <xf numFmtId="165" fontId="1" fillId="0" borderId="72" xfId="0" applyNumberFormat="1" applyFont="1" applyBorder="1" applyAlignment="1">
      <alignment vertical="top"/>
    </xf>
    <xf numFmtId="165" fontId="2" fillId="9" borderId="6" xfId="0" applyNumberFormat="1" applyFont="1" applyFill="1" applyBorder="1" applyAlignment="1">
      <alignment horizontal="center" vertical="top"/>
    </xf>
    <xf numFmtId="165" fontId="2" fillId="7"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top" wrapText="1"/>
    </xf>
    <xf numFmtId="165" fontId="1" fillId="7" borderId="6" xfId="0" applyNumberFormat="1" applyFont="1" applyFill="1" applyBorder="1" applyAlignment="1">
      <alignment horizontal="left" vertical="top" wrapText="1"/>
    </xf>
    <xf numFmtId="49" fontId="2" fillId="7" borderId="1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165" fontId="1" fillId="7" borderId="96" xfId="0" applyNumberFormat="1" applyFont="1" applyFill="1" applyBorder="1" applyAlignment="1">
      <alignment horizontal="left" vertical="top" wrapText="1"/>
    </xf>
    <xf numFmtId="0" fontId="6" fillId="7" borderId="76" xfId="0" applyFont="1" applyFill="1" applyBorder="1" applyAlignment="1">
      <alignment vertical="top" wrapText="1"/>
    </xf>
    <xf numFmtId="165" fontId="1" fillId="7" borderId="47" xfId="0" applyNumberFormat="1" applyFont="1" applyFill="1" applyBorder="1" applyAlignment="1">
      <alignment horizontal="left" vertical="top" wrapText="1"/>
    </xf>
    <xf numFmtId="165" fontId="2" fillId="2" borderId="47" xfId="0" applyNumberFormat="1" applyFont="1" applyFill="1" applyBorder="1" applyAlignment="1">
      <alignment horizontal="center" vertical="top"/>
    </xf>
    <xf numFmtId="3" fontId="1" fillId="7" borderId="10" xfId="0" applyNumberFormat="1" applyFont="1" applyFill="1" applyBorder="1" applyAlignment="1">
      <alignment horizontal="center" vertical="top" wrapText="1"/>
    </xf>
    <xf numFmtId="0" fontId="1" fillId="7" borderId="28" xfId="0" applyFont="1" applyFill="1" applyBorder="1" applyAlignment="1">
      <alignment horizontal="left" vertical="top" wrapText="1"/>
    </xf>
    <xf numFmtId="3" fontId="1" fillId="7" borderId="17"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3" fontId="1" fillId="7" borderId="27" xfId="0" applyNumberFormat="1" applyFont="1" applyFill="1" applyBorder="1" applyAlignment="1">
      <alignment vertical="top" wrapText="1"/>
    </xf>
    <xf numFmtId="3" fontId="1" fillId="7" borderId="85" xfId="0" applyNumberFormat="1" applyFont="1" applyFill="1" applyBorder="1" applyAlignment="1">
      <alignment horizontal="center" vertical="top" wrapText="1"/>
    </xf>
    <xf numFmtId="3" fontId="1" fillId="7" borderId="84" xfId="0" applyNumberFormat="1" applyFont="1" applyFill="1" applyBorder="1" applyAlignment="1">
      <alignment vertical="top" wrapText="1"/>
    </xf>
    <xf numFmtId="3" fontId="1" fillId="7" borderId="92" xfId="0" applyNumberFormat="1" applyFont="1" applyFill="1" applyBorder="1" applyAlignment="1">
      <alignment horizontal="center" vertical="top" wrapText="1"/>
    </xf>
    <xf numFmtId="3" fontId="1" fillId="3" borderId="75" xfId="0" applyNumberFormat="1" applyFont="1" applyFill="1" applyBorder="1" applyAlignment="1">
      <alignment horizontal="center" vertical="top" wrapText="1"/>
    </xf>
    <xf numFmtId="3" fontId="1" fillId="7" borderId="103" xfId="0" applyNumberFormat="1" applyFont="1" applyFill="1" applyBorder="1" applyAlignment="1">
      <alignment horizontal="center" vertical="top" wrapText="1"/>
    </xf>
    <xf numFmtId="165" fontId="11" fillId="7" borderId="88" xfId="0" applyNumberFormat="1" applyFont="1" applyFill="1" applyBorder="1" applyAlignment="1">
      <alignment horizontal="left" vertical="top" wrapText="1"/>
    </xf>
    <xf numFmtId="49" fontId="11" fillId="7" borderId="99" xfId="0" applyNumberFormat="1" applyFont="1" applyFill="1" applyBorder="1" applyAlignment="1">
      <alignment horizontal="center" vertical="top"/>
    </xf>
    <xf numFmtId="49" fontId="38" fillId="7" borderId="91" xfId="0" applyNumberFormat="1" applyFont="1" applyFill="1" applyBorder="1" applyAlignment="1">
      <alignment horizontal="center" vertical="top"/>
    </xf>
    <xf numFmtId="49" fontId="11" fillId="0" borderId="91" xfId="0" applyNumberFormat="1" applyFont="1" applyFill="1" applyBorder="1" applyAlignment="1">
      <alignment horizontal="center" vertical="top"/>
    </xf>
    <xf numFmtId="165" fontId="1" fillId="7" borderId="43" xfId="0" applyNumberFormat="1" applyFont="1" applyFill="1" applyBorder="1" applyAlignment="1">
      <alignment vertical="top"/>
    </xf>
    <xf numFmtId="165" fontId="1" fillId="7" borderId="82" xfId="0" applyNumberFormat="1" applyFont="1" applyFill="1" applyBorder="1" applyAlignment="1">
      <alignment vertical="top"/>
    </xf>
    <xf numFmtId="49" fontId="1" fillId="0" borderId="78" xfId="0" applyNumberFormat="1" applyFont="1" applyFill="1" applyBorder="1" applyAlignment="1">
      <alignment horizontal="center" vertical="top"/>
    </xf>
    <xf numFmtId="165" fontId="1" fillId="0" borderId="65" xfId="0" applyNumberFormat="1" applyFont="1" applyBorder="1" applyAlignment="1">
      <alignment vertical="top"/>
    </xf>
    <xf numFmtId="165" fontId="1" fillId="7" borderId="74" xfId="0" applyNumberFormat="1" applyFont="1" applyFill="1" applyBorder="1" applyAlignment="1">
      <alignment vertical="top"/>
    </xf>
    <xf numFmtId="49" fontId="11" fillId="0" borderId="78" xfId="0" applyNumberFormat="1" applyFont="1" applyFill="1" applyBorder="1" applyAlignment="1">
      <alignment horizontal="center" vertical="top"/>
    </xf>
    <xf numFmtId="165" fontId="1" fillId="0" borderId="97" xfId="0" applyNumberFormat="1" applyFont="1" applyFill="1" applyBorder="1" applyAlignment="1">
      <alignment horizontal="center" vertical="top"/>
    </xf>
    <xf numFmtId="165" fontId="11" fillId="11" borderId="91" xfId="0" applyNumberFormat="1" applyFont="1" applyFill="1" applyBorder="1" applyAlignment="1">
      <alignment horizontal="left" vertical="top" wrapText="1"/>
    </xf>
    <xf numFmtId="49" fontId="5" fillId="7" borderId="91" xfId="0" applyNumberFormat="1" applyFont="1" applyFill="1" applyBorder="1" applyAlignment="1">
      <alignment horizontal="center" vertical="top"/>
    </xf>
    <xf numFmtId="3" fontId="11" fillId="7" borderId="26" xfId="0" applyNumberFormat="1" applyFont="1" applyFill="1" applyBorder="1" applyAlignment="1">
      <alignment horizontal="center" vertical="top" wrapText="1"/>
    </xf>
    <xf numFmtId="165" fontId="1" fillId="7" borderId="35"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3" fontId="1" fillId="7" borderId="75" xfId="0" applyNumberFormat="1" applyFont="1" applyFill="1" applyBorder="1" applyAlignment="1">
      <alignment horizontal="center" vertical="top" wrapText="1"/>
    </xf>
    <xf numFmtId="165" fontId="1" fillId="11" borderId="6" xfId="0" applyNumberFormat="1" applyFont="1" applyFill="1" applyBorder="1" applyAlignment="1">
      <alignment horizontal="left" vertical="top" wrapText="1"/>
    </xf>
    <xf numFmtId="3" fontId="11" fillId="11" borderId="10" xfId="0" applyNumberFormat="1" applyFont="1" applyFill="1" applyBorder="1" applyAlignment="1">
      <alignment horizontal="center" vertical="top"/>
    </xf>
    <xf numFmtId="3" fontId="1" fillId="11" borderId="10" xfId="0" applyNumberFormat="1" applyFont="1" applyFill="1" applyBorder="1" applyAlignment="1">
      <alignment horizontal="center" vertical="top"/>
    </xf>
    <xf numFmtId="0" fontId="1" fillId="7" borderId="19" xfId="0" applyFont="1" applyFill="1" applyBorder="1" applyAlignment="1">
      <alignment horizontal="center" vertical="top"/>
    </xf>
    <xf numFmtId="0" fontId="1" fillId="7" borderId="45" xfId="0" applyFont="1" applyFill="1" applyBorder="1" applyAlignment="1">
      <alignment horizontal="center" vertical="top"/>
    </xf>
    <xf numFmtId="165" fontId="1" fillId="7" borderId="19" xfId="0" applyNumberFormat="1" applyFont="1" applyFill="1" applyBorder="1" applyAlignment="1">
      <alignment vertical="top" wrapText="1"/>
    </xf>
    <xf numFmtId="3" fontId="1" fillId="7" borderId="20" xfId="0" applyNumberFormat="1" applyFont="1" applyFill="1" applyBorder="1" applyAlignment="1">
      <alignment horizontal="center" vertical="top"/>
    </xf>
    <xf numFmtId="165" fontId="1" fillId="7" borderId="48" xfId="0" applyNumberFormat="1" applyFont="1" applyFill="1" applyBorder="1" applyAlignment="1">
      <alignment vertical="top" wrapText="1"/>
    </xf>
    <xf numFmtId="3" fontId="1" fillId="7" borderId="19"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165" fontId="6" fillId="7" borderId="27" xfId="0" applyNumberFormat="1" applyFont="1" applyFill="1" applyBorder="1" applyAlignment="1">
      <alignment vertical="top" wrapText="1"/>
    </xf>
    <xf numFmtId="165" fontId="9" fillId="7" borderId="1" xfId="0" applyNumberFormat="1" applyFont="1" applyFill="1" applyBorder="1" applyAlignment="1">
      <alignment horizontal="center" vertical="center" wrapText="1"/>
    </xf>
    <xf numFmtId="165" fontId="1" fillId="7" borderId="64" xfId="0" applyNumberFormat="1" applyFont="1" applyFill="1" applyBorder="1" applyAlignment="1">
      <alignment horizontal="left" vertical="top" wrapText="1"/>
    </xf>
    <xf numFmtId="0" fontId="0" fillId="0" borderId="59" xfId="0" applyBorder="1" applyAlignment="1">
      <alignment horizontal="left" vertical="top" wrapText="1"/>
    </xf>
    <xf numFmtId="0" fontId="0" fillId="0" borderId="41" xfId="0" applyBorder="1" applyAlignment="1">
      <alignment horizontal="left" vertical="top" wrapText="1"/>
    </xf>
    <xf numFmtId="3" fontId="14" fillId="0" borderId="0" xfId="0" applyNumberFormat="1" applyFont="1" applyAlignment="1">
      <alignment horizontal="center" vertical="top" wrapText="1"/>
    </xf>
    <xf numFmtId="0" fontId="15" fillId="0" borderId="0" xfId="0" applyFont="1" applyBorder="1" applyAlignment="1">
      <alignment horizontal="center" vertical="top" wrapText="1"/>
    </xf>
    <xf numFmtId="0" fontId="14" fillId="0" borderId="0" xfId="0" applyFont="1" applyBorder="1" applyAlignment="1">
      <alignment horizontal="center" vertical="top"/>
    </xf>
    <xf numFmtId="0" fontId="1" fillId="0" borderId="31" xfId="0" applyFont="1" applyBorder="1" applyAlignment="1">
      <alignment horizontal="right" vertical="top"/>
    </xf>
    <xf numFmtId="0" fontId="0" fillId="0" borderId="31" xfId="0" applyFont="1" applyBorder="1" applyAlignment="1">
      <alignment vertical="top"/>
    </xf>
    <xf numFmtId="3" fontId="1" fillId="0" borderId="4" xfId="0" applyNumberFormat="1" applyFont="1" applyBorder="1" applyAlignment="1">
      <alignment horizontal="center" vertical="center" textRotation="90" shrinkToFit="1"/>
    </xf>
    <xf numFmtId="3" fontId="1" fillId="0" borderId="6" xfId="0" applyNumberFormat="1" applyFont="1" applyBorder="1" applyAlignment="1">
      <alignment horizontal="center" vertical="center" textRotation="90" shrinkToFit="1"/>
    </xf>
    <xf numFmtId="3" fontId="1" fillId="0" borderId="8"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10" xfId="0" applyNumberFormat="1" applyFont="1" applyBorder="1" applyAlignment="1">
      <alignment horizontal="center" vertical="center" textRotation="90" shrinkToFit="1"/>
    </xf>
    <xf numFmtId="3" fontId="1" fillId="0" borderId="29" xfId="0" applyNumberFormat="1" applyFont="1" applyBorder="1" applyAlignment="1">
      <alignment horizontal="center" vertical="center" textRotation="90" shrinkToFit="1"/>
    </xf>
    <xf numFmtId="3" fontId="1" fillId="0" borderId="40" xfId="0" applyNumberFormat="1" applyFont="1" applyBorder="1" applyAlignment="1">
      <alignment horizontal="center" vertical="center" shrinkToFit="1"/>
    </xf>
    <xf numFmtId="3" fontId="1" fillId="0" borderId="47" xfId="0" applyNumberFormat="1" applyFont="1" applyBorder="1" applyAlignment="1">
      <alignment horizontal="center" vertical="center" shrinkToFit="1"/>
    </xf>
    <xf numFmtId="3" fontId="1" fillId="0" borderId="54" xfId="0" applyNumberFormat="1" applyFont="1" applyBorder="1" applyAlignment="1">
      <alignment horizontal="center" vertical="center" shrinkToFit="1"/>
    </xf>
    <xf numFmtId="0" fontId="2" fillId="9" borderId="36" xfId="0" applyFont="1" applyFill="1" applyBorder="1" applyAlignment="1">
      <alignment horizontal="left" vertical="top"/>
    </xf>
    <xf numFmtId="0" fontId="2" fillId="9" borderId="59" xfId="0" applyFont="1" applyFill="1" applyBorder="1" applyAlignment="1">
      <alignment horizontal="left" vertical="top"/>
    </xf>
    <xf numFmtId="0" fontId="2" fillId="9" borderId="41" xfId="0" applyFont="1" applyFill="1" applyBorder="1" applyAlignment="1">
      <alignment horizontal="left" vertical="top"/>
    </xf>
    <xf numFmtId="0" fontId="2" fillId="2" borderId="36" xfId="0" applyFont="1" applyFill="1" applyBorder="1" applyAlignment="1">
      <alignment horizontal="left" vertical="top" wrapText="1"/>
    </xf>
    <xf numFmtId="0" fontId="2" fillId="2" borderId="59"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7" borderId="19" xfId="0" applyFont="1" applyFill="1" applyBorder="1" applyAlignment="1">
      <alignment vertical="top" wrapText="1"/>
    </xf>
    <xf numFmtId="0" fontId="0" fillId="7" borderId="10" xfId="0" applyFill="1" applyBorder="1" applyAlignment="1">
      <alignment vertical="top" wrapText="1"/>
    </xf>
    <xf numFmtId="165" fontId="1" fillId="7" borderId="45" xfId="0" applyNumberFormat="1" applyFont="1" applyFill="1" applyBorder="1" applyAlignment="1">
      <alignment horizontal="left" vertical="top" wrapText="1"/>
    </xf>
    <xf numFmtId="165" fontId="1" fillId="7" borderId="47" xfId="0" applyNumberFormat="1" applyFont="1" applyFill="1" applyBorder="1" applyAlignment="1">
      <alignment horizontal="left" vertical="top" wrapText="1"/>
    </xf>
    <xf numFmtId="165" fontId="2" fillId="7" borderId="45" xfId="0" applyNumberFormat="1" applyFont="1" applyFill="1" applyBorder="1" applyAlignment="1">
      <alignment horizontal="center" vertical="top" wrapText="1"/>
    </xf>
    <xf numFmtId="0" fontId="6" fillId="7" borderId="47" xfId="0" applyFont="1" applyFill="1" applyBorder="1" applyAlignment="1">
      <alignment horizontal="center" vertical="top" wrapText="1"/>
    </xf>
    <xf numFmtId="165" fontId="1" fillId="7" borderId="79" xfId="0" applyNumberFormat="1" applyFont="1" applyFill="1" applyBorder="1" applyAlignment="1">
      <alignment vertical="top" wrapText="1"/>
    </xf>
    <xf numFmtId="0" fontId="1" fillId="7" borderId="96" xfId="0" applyFont="1" applyFill="1" applyBorder="1" applyAlignment="1">
      <alignment vertical="top" wrapText="1"/>
    </xf>
    <xf numFmtId="0" fontId="1" fillId="0" borderId="3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3" xfId="0" applyFont="1" applyBorder="1" applyAlignment="1">
      <alignment horizontal="center" vertical="center" textRotation="90" wrapText="1"/>
    </xf>
    <xf numFmtId="0" fontId="2" fillId="0" borderId="65" xfId="0" applyFont="1" applyBorder="1" applyAlignment="1">
      <alignment horizontal="center" vertical="center"/>
    </xf>
    <xf numFmtId="0" fontId="2" fillId="0" borderId="70" xfId="0" applyFont="1" applyBorder="1" applyAlignment="1">
      <alignment horizontal="center" vertical="center"/>
    </xf>
    <xf numFmtId="0" fontId="2" fillId="0" borderId="66" xfId="0" applyFont="1" applyBorder="1" applyAlignment="1">
      <alignment horizontal="center" vertical="center"/>
    </xf>
    <xf numFmtId="0" fontId="1" fillId="0" borderId="3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9" xfId="0" applyFont="1" applyBorder="1" applyAlignment="1">
      <alignment horizontal="center" vertical="center"/>
    </xf>
    <xf numFmtId="0" fontId="1" fillId="0" borderId="41" xfId="0" applyFont="1" applyBorder="1" applyAlignment="1">
      <alignment horizontal="center" vertical="center"/>
    </xf>
    <xf numFmtId="49" fontId="4" fillId="6" borderId="65" xfId="0" applyNumberFormat="1" applyFont="1" applyFill="1" applyBorder="1" applyAlignment="1">
      <alignment horizontal="left" vertical="top" wrapText="1"/>
    </xf>
    <xf numFmtId="49" fontId="4" fillId="6" borderId="70" xfId="0" applyNumberFormat="1" applyFont="1" applyFill="1" applyBorder="1" applyAlignment="1">
      <alignment horizontal="left" vertical="top" wrapText="1"/>
    </xf>
    <xf numFmtId="49" fontId="4" fillId="6" borderId="66" xfId="0" applyNumberFormat="1" applyFont="1" applyFill="1" applyBorder="1" applyAlignment="1">
      <alignment horizontal="left" vertical="top" wrapText="1"/>
    </xf>
    <xf numFmtId="0" fontId="4" fillId="5" borderId="64" xfId="0" applyFont="1" applyFill="1" applyBorder="1" applyAlignment="1">
      <alignment horizontal="left" vertical="top" wrapText="1"/>
    </xf>
    <xf numFmtId="0" fontId="4" fillId="5" borderId="59" xfId="0" applyFont="1" applyFill="1" applyBorder="1" applyAlignment="1">
      <alignment horizontal="left" vertical="top" wrapText="1"/>
    </xf>
    <xf numFmtId="0" fontId="4" fillId="5" borderId="41" xfId="0" applyFont="1" applyFill="1" applyBorder="1" applyAlignment="1">
      <alignment horizontal="left" vertical="top" wrapText="1"/>
    </xf>
    <xf numFmtId="3" fontId="1" fillId="0" borderId="40" xfId="0" applyNumberFormat="1" applyFont="1" applyBorder="1" applyAlignment="1">
      <alignment horizontal="center" vertical="center" textRotation="90" shrinkToFit="1"/>
    </xf>
    <xf numFmtId="3" fontId="1" fillId="0" borderId="47" xfId="0" applyNumberFormat="1" applyFont="1" applyBorder="1" applyAlignment="1">
      <alignment horizontal="center" vertical="center" textRotation="90" shrinkToFit="1"/>
    </xf>
    <xf numFmtId="3" fontId="1" fillId="0" borderId="54" xfId="0" applyNumberFormat="1" applyFont="1" applyBorder="1" applyAlignment="1">
      <alignment horizontal="center" vertical="center" textRotation="90" shrinkToFit="1"/>
    </xf>
    <xf numFmtId="3" fontId="1" fillId="0" borderId="38" xfId="0" applyNumberFormat="1" applyFont="1" applyBorder="1" applyAlignment="1">
      <alignment horizontal="center" vertical="center" textRotation="90" wrapText="1" shrinkToFit="1"/>
    </xf>
    <xf numFmtId="3" fontId="1" fillId="0" borderId="5" xfId="0" applyNumberFormat="1" applyFont="1" applyBorder="1" applyAlignment="1">
      <alignment horizontal="center" vertical="center" textRotation="90" wrapText="1" shrinkToFit="1"/>
    </xf>
    <xf numFmtId="3" fontId="1" fillId="0" borderId="63" xfId="0" applyNumberFormat="1" applyFont="1" applyBorder="1" applyAlignment="1">
      <alignment horizontal="center" vertical="center" textRotation="90" wrapText="1" shrinkToFit="1"/>
    </xf>
    <xf numFmtId="165" fontId="2" fillId="9" borderId="6" xfId="0" applyNumberFormat="1" applyFont="1" applyFill="1" applyBorder="1" applyAlignment="1">
      <alignment horizontal="center" vertical="top"/>
    </xf>
    <xf numFmtId="165" fontId="2" fillId="2" borderId="47" xfId="0" applyNumberFormat="1" applyFont="1" applyFill="1" applyBorder="1" applyAlignment="1">
      <alignment horizontal="center" vertical="top"/>
    </xf>
    <xf numFmtId="165" fontId="2" fillId="7" borderId="10" xfId="0" applyNumberFormat="1" applyFont="1" applyFill="1" applyBorder="1" applyAlignment="1">
      <alignment horizontal="center" vertical="top"/>
    </xf>
    <xf numFmtId="0" fontId="1" fillId="7" borderId="35" xfId="0" applyFont="1" applyFill="1" applyBorder="1" applyAlignment="1">
      <alignment horizontal="left" vertical="top" wrapText="1"/>
    </xf>
    <xf numFmtId="0" fontId="6" fillId="7" borderId="76" xfId="0" applyFont="1" applyFill="1" applyBorder="1" applyAlignment="1">
      <alignment horizontal="left" vertical="top" wrapText="1"/>
    </xf>
    <xf numFmtId="165" fontId="5" fillId="7" borderId="0" xfId="0" applyNumberFormat="1" applyFont="1" applyFill="1" applyBorder="1" applyAlignment="1">
      <alignment horizontal="center" vertical="center" textRotation="90" wrapText="1"/>
    </xf>
    <xf numFmtId="165" fontId="5" fillId="7" borderId="72" xfId="0" applyNumberFormat="1" applyFont="1" applyFill="1" applyBorder="1" applyAlignment="1">
      <alignment horizontal="center" vertical="center" textRotation="90" wrapText="1"/>
    </xf>
    <xf numFmtId="49" fontId="1" fillId="7" borderId="19" xfId="0" applyNumberFormat="1" applyFont="1" applyFill="1" applyBorder="1" applyAlignment="1">
      <alignment horizontal="center" vertical="center" textRotation="90" wrapText="1"/>
    </xf>
    <xf numFmtId="0" fontId="6" fillId="7" borderId="10" xfId="0" applyFont="1" applyFill="1" applyBorder="1" applyAlignment="1">
      <alignment horizontal="center" vertical="center" textRotation="90" wrapText="1"/>
    </xf>
    <xf numFmtId="0" fontId="6" fillId="7" borderId="27" xfId="0" applyFont="1" applyFill="1" applyBorder="1" applyAlignment="1">
      <alignment horizontal="center" vertical="center" textRotation="90" wrapText="1"/>
    </xf>
    <xf numFmtId="165" fontId="1" fillId="7" borderId="19" xfId="0" applyNumberFormat="1" applyFont="1" applyFill="1" applyBorder="1" applyAlignment="1">
      <alignment vertical="top" wrapText="1"/>
    </xf>
    <xf numFmtId="165" fontId="1" fillId="7" borderId="10" xfId="0" applyNumberFormat="1" applyFont="1" applyFill="1" applyBorder="1" applyAlignment="1">
      <alignment vertical="top" wrapText="1"/>
    </xf>
    <xf numFmtId="165" fontId="1" fillId="7" borderId="27" xfId="0" applyNumberFormat="1" applyFont="1" applyFill="1" applyBorder="1" applyAlignment="1">
      <alignment vertical="top" wrapText="1"/>
    </xf>
    <xf numFmtId="165" fontId="9" fillId="7" borderId="17" xfId="0" applyNumberFormat="1" applyFont="1" applyFill="1" applyBorder="1" applyAlignment="1">
      <alignment horizontal="center" vertical="top" wrapText="1"/>
    </xf>
    <xf numFmtId="165" fontId="9" fillId="7" borderId="26" xfId="0" applyNumberFormat="1" applyFont="1" applyFill="1" applyBorder="1" applyAlignment="1">
      <alignment horizontal="center" vertical="top" wrapText="1"/>
    </xf>
    <xf numFmtId="165" fontId="9" fillId="7" borderId="47" xfId="0" applyNumberFormat="1" applyFont="1" applyFill="1" applyBorder="1" applyAlignment="1">
      <alignment horizontal="center" vertical="top" wrapText="1"/>
    </xf>
    <xf numFmtId="165" fontId="9" fillId="7" borderId="34" xfId="0" applyNumberFormat="1" applyFont="1" applyFill="1" applyBorder="1" applyAlignment="1">
      <alignment horizontal="center" vertical="top" wrapText="1"/>
    </xf>
    <xf numFmtId="165" fontId="1" fillId="7" borderId="35" xfId="0" applyNumberFormat="1" applyFont="1" applyFill="1" applyBorder="1" applyAlignment="1">
      <alignment horizontal="left" vertical="top" wrapText="1"/>
    </xf>
    <xf numFmtId="0" fontId="6" fillId="7" borderId="6" xfId="0" applyFont="1" applyFill="1" applyBorder="1" applyAlignment="1">
      <alignment horizontal="left" vertical="top" wrapText="1"/>
    </xf>
    <xf numFmtId="165" fontId="6" fillId="7" borderId="34"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0" fontId="6" fillId="7" borderId="28" xfId="0" applyFont="1" applyFill="1" applyBorder="1" applyAlignment="1">
      <alignment horizontal="left" vertical="top" wrapText="1"/>
    </xf>
    <xf numFmtId="165" fontId="2" fillId="9" borderId="33"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1" fillId="7" borderId="19" xfId="0" applyNumberFormat="1" applyFont="1" applyFill="1" applyBorder="1" applyAlignment="1">
      <alignment horizontal="center" vertical="center" textRotation="90" wrapText="1"/>
    </xf>
    <xf numFmtId="165" fontId="1" fillId="7" borderId="10" xfId="0" applyNumberFormat="1" applyFont="1" applyFill="1" applyBorder="1" applyAlignment="1">
      <alignment horizontal="center" vertical="center" textRotation="90" wrapText="1"/>
    </xf>
    <xf numFmtId="165" fontId="1" fillId="7" borderId="27" xfId="0" applyNumberFormat="1" applyFont="1" applyFill="1" applyBorder="1" applyAlignment="1">
      <alignment horizontal="center" vertical="center" textRotation="90" wrapText="1"/>
    </xf>
    <xf numFmtId="0" fontId="1" fillId="7" borderId="19" xfId="0" applyFont="1" applyFill="1" applyBorder="1" applyAlignment="1">
      <alignment vertical="top" wrapText="1"/>
    </xf>
    <xf numFmtId="0" fontId="6" fillId="7" borderId="10" xfId="0" applyFont="1" applyFill="1" applyBorder="1" applyAlignment="1">
      <alignment vertical="top" wrapText="1"/>
    </xf>
    <xf numFmtId="165" fontId="1" fillId="7" borderId="19" xfId="0" applyNumberFormat="1" applyFont="1" applyFill="1" applyBorder="1" applyAlignment="1">
      <alignment horizontal="left" vertical="top" wrapText="1"/>
    </xf>
    <xf numFmtId="165" fontId="1" fillId="7" borderId="27" xfId="0" applyNumberFormat="1" applyFont="1" applyFill="1" applyBorder="1" applyAlignment="1">
      <alignment horizontal="left" vertical="top" wrapText="1"/>
    </xf>
    <xf numFmtId="0" fontId="0" fillId="7" borderId="28" xfId="0" applyFill="1" applyBorder="1" applyAlignment="1">
      <alignment horizontal="left" vertical="top" wrapText="1"/>
    </xf>
    <xf numFmtId="165" fontId="2" fillId="7" borderId="34" xfId="0" applyNumberFormat="1" applyFont="1" applyFill="1" applyBorder="1" applyAlignment="1">
      <alignment horizontal="center" vertical="top" wrapText="1"/>
    </xf>
    <xf numFmtId="0" fontId="1" fillId="7" borderId="28" xfId="0" applyFont="1" applyFill="1" applyBorder="1" applyAlignment="1">
      <alignment horizontal="left" vertical="top" wrapText="1"/>
    </xf>
    <xf numFmtId="165" fontId="2" fillId="7" borderId="47" xfId="0" applyNumberFormat="1" applyFont="1" applyFill="1" applyBorder="1" applyAlignment="1">
      <alignment horizontal="center" vertical="center" textRotation="90" wrapText="1"/>
    </xf>
    <xf numFmtId="0" fontId="6" fillId="7" borderId="47" xfId="0" applyFont="1" applyFill="1" applyBorder="1" applyAlignment="1">
      <alignment horizontal="center" vertical="center" textRotation="90" wrapText="1"/>
    </xf>
    <xf numFmtId="0" fontId="0" fillId="7" borderId="6" xfId="0" applyFill="1" applyBorder="1" applyAlignment="1">
      <alignment horizontal="left" vertical="top" wrapText="1"/>
    </xf>
    <xf numFmtId="165" fontId="1" fillId="7" borderId="10" xfId="0" applyNumberFormat="1" applyFont="1" applyFill="1" applyBorder="1" applyAlignment="1">
      <alignment horizontal="left" vertical="top" wrapText="1"/>
    </xf>
    <xf numFmtId="0" fontId="6" fillId="7" borderId="27" xfId="0" applyFont="1" applyFill="1" applyBorder="1" applyAlignment="1">
      <alignment horizontal="left" vertical="top" wrapText="1"/>
    </xf>
    <xf numFmtId="0" fontId="1" fillId="0" borderId="0" xfId="0" applyFont="1" applyBorder="1" applyAlignment="1">
      <alignment vertical="top" wrapText="1"/>
    </xf>
    <xf numFmtId="0" fontId="0" fillId="0" borderId="0" xfId="0" applyFont="1" applyBorder="1" applyAlignment="1">
      <alignment vertical="top" wrapText="1"/>
    </xf>
    <xf numFmtId="165" fontId="1" fillId="7" borderId="34" xfId="0" applyNumberFormat="1" applyFont="1" applyFill="1" applyBorder="1" applyAlignment="1">
      <alignment horizontal="left" vertical="top" wrapText="1"/>
    </xf>
    <xf numFmtId="165" fontId="2" fillId="0" borderId="45" xfId="0" applyNumberFormat="1" applyFont="1" applyFill="1" applyBorder="1" applyAlignment="1">
      <alignment horizontal="center" vertical="top" wrapText="1"/>
    </xf>
    <xf numFmtId="165" fontId="2" fillId="0" borderId="47" xfId="0" applyNumberFormat="1" applyFont="1" applyFill="1" applyBorder="1" applyAlignment="1">
      <alignment horizontal="center" vertical="top" wrapText="1"/>
    </xf>
    <xf numFmtId="165" fontId="2" fillId="0" borderId="34" xfId="0" applyNumberFormat="1" applyFont="1" applyFill="1" applyBorder="1" applyAlignment="1">
      <alignment horizontal="center" vertical="top" wrapText="1"/>
    </xf>
    <xf numFmtId="0" fontId="1" fillId="7" borderId="19" xfId="0" applyFont="1" applyFill="1" applyBorder="1" applyAlignment="1">
      <alignment horizontal="left" vertical="top" wrapText="1"/>
    </xf>
    <xf numFmtId="0" fontId="1" fillId="7" borderId="27" xfId="0" applyFont="1" applyFill="1" applyBorder="1" applyAlignment="1">
      <alignment horizontal="left" vertical="top" wrapText="1"/>
    </xf>
    <xf numFmtId="165" fontId="1" fillId="7" borderId="28" xfId="0" applyNumberFormat="1" applyFont="1" applyFill="1" applyBorder="1" applyAlignment="1">
      <alignment horizontal="left" vertical="top" wrapText="1"/>
    </xf>
    <xf numFmtId="49" fontId="1" fillId="7" borderId="10" xfId="0" applyNumberFormat="1" applyFont="1" applyFill="1" applyBorder="1" applyAlignment="1">
      <alignment horizontal="center" vertical="center" textRotation="90"/>
    </xf>
    <xf numFmtId="49" fontId="1" fillId="7" borderId="126" xfId="0" applyNumberFormat="1" applyFont="1" applyFill="1" applyBorder="1" applyAlignment="1">
      <alignment horizontal="center" vertical="center" textRotation="90"/>
    </xf>
    <xf numFmtId="49" fontId="1" fillId="7" borderId="27" xfId="0" applyNumberFormat="1" applyFont="1" applyFill="1" applyBorder="1" applyAlignment="1">
      <alignment horizontal="center" vertical="center" textRotation="90"/>
    </xf>
    <xf numFmtId="0" fontId="6" fillId="7" borderId="27" xfId="0" applyFont="1" applyFill="1" applyBorder="1" applyAlignment="1">
      <alignment vertical="top" wrapText="1"/>
    </xf>
    <xf numFmtId="49" fontId="1" fillId="7" borderId="46" xfId="0" applyNumberFormat="1" applyFont="1" applyFill="1" applyBorder="1" applyAlignment="1">
      <alignment horizontal="left" vertical="top" wrapText="1"/>
    </xf>
    <xf numFmtId="0" fontId="6" fillId="7" borderId="18" xfId="0" applyFont="1" applyFill="1" applyBorder="1" applyAlignment="1">
      <alignment horizontal="left" vertical="top" wrapText="1"/>
    </xf>
    <xf numFmtId="165" fontId="2" fillId="0" borderId="20" xfId="0" applyNumberFormat="1" applyFont="1" applyFill="1" applyBorder="1" applyAlignment="1">
      <alignment horizontal="center" vertical="top" wrapText="1"/>
    </xf>
    <xf numFmtId="165" fontId="2" fillId="0" borderId="26" xfId="0" applyNumberFormat="1" applyFont="1" applyFill="1" applyBorder="1" applyAlignment="1">
      <alignment horizontal="center" vertical="top" wrapText="1"/>
    </xf>
    <xf numFmtId="165" fontId="2" fillId="7" borderId="47" xfId="0" applyNumberFormat="1" applyFont="1" applyFill="1" applyBorder="1" applyAlignment="1">
      <alignment horizontal="center" vertical="top" wrapText="1"/>
    </xf>
    <xf numFmtId="165" fontId="1" fillId="7" borderId="46" xfId="0" applyNumberFormat="1" applyFont="1" applyFill="1" applyBorder="1" applyAlignment="1">
      <alignment horizontal="left" vertical="top" wrapText="1"/>
    </xf>
    <xf numFmtId="165" fontId="6" fillId="7" borderId="28" xfId="0" applyNumberFormat="1" applyFont="1" applyFill="1" applyBorder="1" applyAlignment="1">
      <alignment horizontal="left" vertical="top" wrapText="1"/>
    </xf>
    <xf numFmtId="165" fontId="2" fillId="7" borderId="20" xfId="0" applyNumberFormat="1" applyFont="1" applyFill="1" applyBorder="1" applyAlignment="1">
      <alignment horizontal="center" vertical="top" wrapText="1"/>
    </xf>
    <xf numFmtId="165" fontId="2" fillId="7" borderId="26" xfId="0" applyNumberFormat="1" applyFont="1" applyFill="1" applyBorder="1" applyAlignment="1">
      <alignment horizontal="center" vertical="top" wrapText="1"/>
    </xf>
    <xf numFmtId="165" fontId="1" fillId="7" borderId="47" xfId="0" applyNumberFormat="1" applyFont="1" applyFill="1" applyBorder="1" applyAlignment="1">
      <alignment vertical="top" wrapText="1"/>
    </xf>
    <xf numFmtId="165" fontId="1" fillId="3" borderId="19" xfId="0" applyNumberFormat="1" applyFont="1" applyFill="1" applyBorder="1" applyAlignment="1">
      <alignment vertical="top" wrapText="1"/>
    </xf>
    <xf numFmtId="165" fontId="1" fillId="3" borderId="10" xfId="0" applyNumberFormat="1" applyFont="1" applyFill="1" applyBorder="1" applyAlignment="1">
      <alignment vertical="top" wrapText="1"/>
    </xf>
    <xf numFmtId="0" fontId="6" fillId="0" borderId="27" xfId="0" applyFont="1" applyBorder="1" applyAlignment="1">
      <alignment vertical="top" wrapText="1"/>
    </xf>
    <xf numFmtId="165" fontId="1" fillId="7" borderId="20" xfId="0" applyNumberFormat="1" applyFont="1" applyFill="1" applyBorder="1" applyAlignment="1">
      <alignment horizontal="center" vertical="center" textRotation="90" wrapText="1"/>
    </xf>
    <xf numFmtId="165" fontId="1" fillId="7" borderId="17" xfId="0" applyNumberFormat="1" applyFont="1" applyFill="1" applyBorder="1" applyAlignment="1">
      <alignment horizontal="center" vertical="center" textRotation="90" wrapText="1"/>
    </xf>
    <xf numFmtId="165" fontId="1" fillId="7" borderId="26" xfId="0" applyNumberFormat="1" applyFont="1" applyFill="1" applyBorder="1" applyAlignment="1">
      <alignment horizontal="center" vertical="center" textRotation="90" wrapText="1"/>
    </xf>
    <xf numFmtId="49" fontId="1" fillId="7" borderId="97" xfId="0" applyNumberFormat="1" applyFont="1" applyFill="1" applyBorder="1" applyAlignment="1">
      <alignment vertical="top" wrapText="1"/>
    </xf>
    <xf numFmtId="165" fontId="1" fillId="7" borderId="33" xfId="0" applyNumberFormat="1" applyFont="1" applyFill="1" applyBorder="1" applyAlignment="1">
      <alignment horizontal="left" vertical="top" wrapText="1"/>
    </xf>
    <xf numFmtId="0" fontId="6" fillId="7" borderId="33" xfId="0" applyFont="1" applyFill="1" applyBorder="1" applyAlignment="1">
      <alignment horizontal="left" vertical="top" wrapText="1"/>
    </xf>
    <xf numFmtId="0" fontId="6" fillId="7" borderId="61" xfId="0" applyFont="1" applyFill="1" applyBorder="1" applyAlignment="1">
      <alignment horizontal="left" vertical="top" wrapText="1"/>
    </xf>
    <xf numFmtId="0" fontId="1" fillId="7" borderId="97" xfId="0" applyNumberFormat="1" applyFont="1" applyFill="1" applyBorder="1" applyAlignment="1">
      <alignment horizontal="left" vertical="top" wrapText="1"/>
    </xf>
    <xf numFmtId="0" fontId="0" fillId="7" borderId="27" xfId="0" applyFill="1" applyBorder="1" applyAlignment="1">
      <alignment horizontal="left" vertical="top" wrapText="1"/>
    </xf>
    <xf numFmtId="0" fontId="1" fillId="7" borderId="46" xfId="0" applyFont="1" applyFill="1" applyBorder="1" applyAlignment="1">
      <alignment horizontal="left" vertical="top" wrapText="1"/>
    </xf>
    <xf numFmtId="165" fontId="2" fillId="2" borderId="71" xfId="0" applyNumberFormat="1" applyFont="1" applyFill="1" applyBorder="1" applyAlignment="1">
      <alignment horizontal="right" vertical="top"/>
    </xf>
    <xf numFmtId="165" fontId="2" fillId="2" borderId="67" xfId="0" applyNumberFormat="1" applyFont="1" applyFill="1" applyBorder="1" applyAlignment="1">
      <alignment horizontal="right" vertical="top"/>
    </xf>
    <xf numFmtId="165" fontId="2" fillId="2" borderId="3" xfId="0" applyNumberFormat="1" applyFont="1" applyFill="1" applyBorder="1" applyAlignment="1">
      <alignment horizontal="left" vertical="top"/>
    </xf>
    <xf numFmtId="165" fontId="2" fillId="2" borderId="24" xfId="0" applyNumberFormat="1" applyFont="1" applyFill="1" applyBorder="1" applyAlignment="1">
      <alignment horizontal="left" vertical="top"/>
    </xf>
    <xf numFmtId="165" fontId="2" fillId="2" borderId="71" xfId="0" applyNumberFormat="1" applyFont="1" applyFill="1" applyBorder="1" applyAlignment="1">
      <alignment horizontal="left" vertical="top"/>
    </xf>
    <xf numFmtId="165" fontId="2" fillId="2" borderId="73" xfId="0" applyNumberFormat="1" applyFont="1" applyFill="1" applyBorder="1" applyAlignment="1">
      <alignment horizontal="left" vertical="top"/>
    </xf>
    <xf numFmtId="165" fontId="1" fillId="7" borderId="87" xfId="0" applyNumberFormat="1" applyFont="1" applyFill="1" applyBorder="1" applyAlignment="1">
      <alignment horizontal="left" vertical="top" wrapText="1"/>
    </xf>
    <xf numFmtId="0" fontId="3" fillId="7" borderId="46" xfId="0" applyFont="1" applyFill="1" applyBorder="1" applyAlignment="1">
      <alignment horizontal="center" vertical="center" textRotation="90" wrapText="1"/>
    </xf>
    <xf numFmtId="0" fontId="3" fillId="7" borderId="18" xfId="0" applyFont="1" applyFill="1" applyBorder="1" applyAlignment="1">
      <alignment horizontal="center" vertical="center" textRotation="90" wrapText="1"/>
    </xf>
    <xf numFmtId="0" fontId="0" fillId="7" borderId="76" xfId="0" applyFill="1" applyBorder="1" applyAlignment="1">
      <alignment vertical="top" wrapText="1"/>
    </xf>
    <xf numFmtId="165" fontId="2" fillId="7" borderId="24" xfId="0" applyNumberFormat="1" applyFont="1" applyFill="1" applyBorder="1" applyAlignment="1">
      <alignment horizontal="left" vertical="top" wrapText="1"/>
    </xf>
    <xf numFmtId="165" fontId="2" fillId="7" borderId="10" xfId="0" applyNumberFormat="1" applyFont="1" applyFill="1" applyBorder="1" applyAlignment="1">
      <alignment horizontal="left" vertical="top" wrapText="1"/>
    </xf>
    <xf numFmtId="165" fontId="2" fillId="7" borderId="27" xfId="0" applyNumberFormat="1" applyFont="1" applyFill="1" applyBorder="1" applyAlignment="1">
      <alignment horizontal="left" vertical="top" wrapText="1"/>
    </xf>
    <xf numFmtId="165" fontId="9" fillId="7" borderId="25" xfId="0" applyNumberFormat="1" applyFont="1" applyFill="1" applyBorder="1" applyAlignment="1">
      <alignment horizontal="center" vertical="top" wrapText="1"/>
    </xf>
    <xf numFmtId="165" fontId="1" fillId="7" borderId="97" xfId="0" applyNumberFormat="1" applyFont="1" applyFill="1" applyBorder="1" applyAlignment="1">
      <alignment horizontal="left" vertical="top" wrapText="1"/>
    </xf>
    <xf numFmtId="165" fontId="1" fillId="7" borderId="77" xfId="0" applyNumberFormat="1" applyFont="1" applyFill="1" applyBorder="1" applyAlignment="1">
      <alignment horizontal="left" vertical="top" wrapText="1"/>
    </xf>
    <xf numFmtId="165" fontId="1" fillId="7" borderId="44"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49" fontId="1" fillId="7" borderId="45" xfId="0" applyNumberFormat="1" applyFont="1" applyFill="1" applyBorder="1" applyAlignment="1">
      <alignment horizontal="center" vertical="top"/>
    </xf>
    <xf numFmtId="49" fontId="1" fillId="7" borderId="34"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26" xfId="0" applyNumberFormat="1" applyFont="1" applyFill="1" applyBorder="1" applyAlignment="1">
      <alignment horizontal="center" vertical="top"/>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165" fontId="1" fillId="7" borderId="45" xfId="0" applyNumberFormat="1" applyFont="1" applyFill="1" applyBorder="1" applyAlignment="1">
      <alignment vertical="top" wrapText="1"/>
    </xf>
    <xf numFmtId="0" fontId="1" fillId="7" borderId="113" xfId="0" applyFont="1" applyFill="1" applyBorder="1" applyAlignment="1">
      <alignment horizontal="left" vertical="top" wrapText="1"/>
    </xf>
    <xf numFmtId="0" fontId="6" fillId="7" borderId="88" xfId="0" applyFont="1" applyFill="1" applyBorder="1" applyAlignment="1">
      <alignment horizontal="left" vertical="top" wrapText="1"/>
    </xf>
    <xf numFmtId="165" fontId="1" fillId="7" borderId="97" xfId="0" applyNumberFormat="1" applyFont="1" applyFill="1" applyBorder="1" applyAlignment="1">
      <alignment vertical="top" wrapText="1"/>
    </xf>
    <xf numFmtId="0" fontId="0" fillId="7" borderId="27" xfId="0" applyFill="1" applyBorder="1" applyAlignment="1">
      <alignment vertical="top" wrapText="1"/>
    </xf>
    <xf numFmtId="0" fontId="0" fillId="7" borderId="18" xfId="0" applyFill="1" applyBorder="1" applyAlignment="1">
      <alignment horizontal="left" vertical="top" wrapText="1"/>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1" fillId="7" borderId="34" xfId="0" applyNumberFormat="1" applyFont="1" applyFill="1" applyBorder="1" applyAlignment="1">
      <alignment vertical="top" wrapText="1"/>
    </xf>
    <xf numFmtId="165" fontId="1" fillId="2" borderId="67" xfId="0" applyNumberFormat="1" applyFont="1" applyFill="1" applyBorder="1" applyAlignment="1">
      <alignment horizontal="center" vertical="top" wrapText="1"/>
    </xf>
    <xf numFmtId="165" fontId="1" fillId="2" borderId="68" xfId="0" applyNumberFormat="1" applyFont="1" applyFill="1" applyBorder="1" applyAlignment="1">
      <alignment horizontal="center" vertical="top" wrapText="1"/>
    </xf>
    <xf numFmtId="165" fontId="2" fillId="2" borderId="67" xfId="0" applyNumberFormat="1" applyFont="1" applyFill="1" applyBorder="1" applyAlignment="1">
      <alignment horizontal="left" vertical="top"/>
    </xf>
    <xf numFmtId="165" fontId="2" fillId="2" borderId="68" xfId="0" applyNumberFormat="1" applyFont="1" applyFill="1" applyBorder="1" applyAlignment="1">
      <alignment horizontal="left" vertical="top"/>
    </xf>
    <xf numFmtId="165" fontId="6" fillId="7" borderId="10" xfId="0" applyNumberFormat="1" applyFont="1" applyFill="1" applyBorder="1" applyAlignment="1">
      <alignment horizontal="center" vertical="center" textRotation="90" wrapText="1"/>
    </xf>
    <xf numFmtId="0" fontId="0" fillId="0" borderId="10" xfId="0" applyBorder="1" applyAlignment="1">
      <alignment horizontal="center" vertical="center" textRotation="90" wrapText="1"/>
    </xf>
    <xf numFmtId="165" fontId="1" fillId="0" borderId="0" xfId="0" applyNumberFormat="1" applyFont="1" applyBorder="1" applyAlignment="1">
      <alignment horizontal="left" vertical="top" wrapText="1"/>
    </xf>
    <xf numFmtId="0" fontId="1" fillId="0" borderId="0" xfId="0" applyFont="1" applyAlignment="1">
      <alignment horizontal="left" vertical="top" wrapText="1"/>
    </xf>
    <xf numFmtId="49" fontId="2" fillId="7" borderId="10" xfId="0" applyNumberFormat="1" applyFont="1" applyFill="1" applyBorder="1" applyAlignment="1">
      <alignment horizontal="center" vertical="top"/>
    </xf>
    <xf numFmtId="165" fontId="3" fillId="0" borderId="19" xfId="0" applyNumberFormat="1" applyFont="1" applyFill="1" applyBorder="1" applyAlignment="1">
      <alignment horizontal="center" vertical="top" wrapText="1"/>
    </xf>
    <xf numFmtId="165" fontId="3" fillId="0" borderId="27" xfId="0" applyNumberFormat="1" applyFont="1" applyFill="1" applyBorder="1" applyAlignment="1">
      <alignment horizontal="center" vertical="top" wrapText="1"/>
    </xf>
    <xf numFmtId="165" fontId="1" fillId="7" borderId="33" xfId="0" applyNumberFormat="1" applyFont="1" applyFill="1" applyBorder="1" applyAlignment="1">
      <alignment vertical="top" wrapText="1"/>
    </xf>
    <xf numFmtId="165" fontId="6" fillId="7" borderId="61" xfId="0" applyNumberFormat="1" applyFont="1" applyFill="1" applyBorder="1" applyAlignment="1">
      <alignment vertical="top" wrapText="1"/>
    </xf>
    <xf numFmtId="0" fontId="1" fillId="7" borderId="35" xfId="0" applyFont="1" applyFill="1" applyBorder="1" applyAlignment="1">
      <alignment vertical="top" wrapText="1"/>
    </xf>
    <xf numFmtId="0" fontId="0" fillId="7" borderId="6" xfId="0" applyFill="1" applyBorder="1" applyAlignment="1">
      <alignment vertical="top" wrapText="1"/>
    </xf>
    <xf numFmtId="0" fontId="1" fillId="7" borderId="10" xfId="0" applyFont="1" applyFill="1" applyBorder="1" applyAlignment="1">
      <alignment vertical="top" wrapText="1"/>
    </xf>
    <xf numFmtId="0" fontId="1" fillId="7" borderId="27" xfId="0" applyFont="1" applyFill="1" applyBorder="1" applyAlignment="1">
      <alignment vertical="top" wrapText="1"/>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165" fontId="2" fillId="7" borderId="24" xfId="0" applyNumberFormat="1" applyFont="1" applyFill="1" applyBorder="1" applyAlignment="1">
      <alignment vertical="top" wrapText="1"/>
    </xf>
    <xf numFmtId="165" fontId="2" fillId="7" borderId="10" xfId="0" applyNumberFormat="1" applyFont="1" applyFill="1" applyBorder="1" applyAlignment="1">
      <alignment vertical="top" wrapText="1"/>
    </xf>
    <xf numFmtId="165" fontId="9" fillId="7" borderId="24" xfId="0" applyNumberFormat="1" applyFont="1" applyFill="1" applyBorder="1" applyAlignment="1">
      <alignment horizontal="center" vertical="top" wrapText="1"/>
    </xf>
    <xf numFmtId="165" fontId="9" fillId="7" borderId="10" xfId="0" applyNumberFormat="1" applyFont="1" applyFill="1" applyBorder="1" applyAlignment="1">
      <alignment horizontal="center" vertical="top" wrapText="1"/>
    </xf>
    <xf numFmtId="0" fontId="6" fillId="7" borderId="34" xfId="0" applyFont="1" applyFill="1" applyBorder="1" applyAlignment="1">
      <alignment vertical="top" wrapText="1"/>
    </xf>
    <xf numFmtId="165" fontId="9" fillId="7" borderId="19" xfId="0" applyNumberFormat="1" applyFont="1" applyFill="1" applyBorder="1" applyAlignment="1">
      <alignment horizontal="center" vertical="center" wrapText="1"/>
    </xf>
    <xf numFmtId="165" fontId="5" fillId="7" borderId="10" xfId="0" applyNumberFormat="1" applyFont="1" applyFill="1" applyBorder="1" applyAlignment="1">
      <alignment horizontal="center" vertical="center" wrapText="1"/>
    </xf>
    <xf numFmtId="0" fontId="34" fillId="7" borderId="27" xfId="0" applyFont="1" applyFill="1" applyBorder="1" applyAlignment="1">
      <alignment horizontal="center" vertical="center" wrapText="1"/>
    </xf>
    <xf numFmtId="165" fontId="1" fillId="7" borderId="61" xfId="0" applyNumberFormat="1" applyFont="1" applyFill="1" applyBorder="1" applyAlignment="1">
      <alignment horizontal="left" vertical="top" wrapText="1"/>
    </xf>
    <xf numFmtId="165" fontId="1" fillId="7" borderId="72" xfId="0" applyNumberFormat="1" applyFont="1" applyFill="1" applyBorder="1" applyAlignment="1">
      <alignment horizontal="left" vertical="top" wrapText="1"/>
    </xf>
    <xf numFmtId="165" fontId="1" fillId="7" borderId="51" xfId="0" applyNumberFormat="1" applyFont="1" applyFill="1" applyBorder="1" applyAlignment="1">
      <alignment horizontal="left" vertical="top" wrapText="1"/>
    </xf>
    <xf numFmtId="165" fontId="2" fillId="2" borderId="68" xfId="0" applyNumberFormat="1" applyFont="1" applyFill="1" applyBorder="1" applyAlignment="1">
      <alignment horizontal="right" vertical="top"/>
    </xf>
    <xf numFmtId="165" fontId="1" fillId="2" borderId="53" xfId="0" applyNumberFormat="1" applyFont="1" applyFill="1" applyBorder="1" applyAlignment="1">
      <alignment horizontal="center" vertical="top" wrapText="1"/>
    </xf>
    <xf numFmtId="165" fontId="2" fillId="9" borderId="71" xfId="0" applyNumberFormat="1" applyFont="1" applyFill="1" applyBorder="1" applyAlignment="1">
      <alignment horizontal="right" vertical="top"/>
    </xf>
    <xf numFmtId="165" fontId="2" fillId="9" borderId="67" xfId="0" applyNumberFormat="1" applyFont="1" applyFill="1" applyBorder="1" applyAlignment="1">
      <alignment horizontal="right" vertical="top"/>
    </xf>
    <xf numFmtId="165" fontId="2" fillId="9" borderId="68" xfId="0" applyNumberFormat="1" applyFont="1" applyFill="1" applyBorder="1" applyAlignment="1">
      <alignment horizontal="right" vertical="top"/>
    </xf>
    <xf numFmtId="165" fontId="1" fillId="9" borderId="67" xfId="0" applyNumberFormat="1" applyFont="1" applyFill="1" applyBorder="1" applyAlignment="1">
      <alignment horizontal="center" vertical="top"/>
    </xf>
    <xf numFmtId="165" fontId="1" fillId="9" borderId="68" xfId="0" applyNumberFormat="1" applyFont="1" applyFill="1" applyBorder="1" applyAlignment="1">
      <alignment horizontal="center" vertical="top"/>
    </xf>
    <xf numFmtId="165" fontId="2" fillId="5" borderId="71" xfId="0" applyNumberFormat="1" applyFont="1" applyFill="1" applyBorder="1" applyAlignment="1">
      <alignment horizontal="right" vertical="top"/>
    </xf>
    <xf numFmtId="165" fontId="2" fillId="5" borderId="67" xfId="0" applyNumberFormat="1" applyFont="1" applyFill="1" applyBorder="1" applyAlignment="1">
      <alignment horizontal="right" vertical="top"/>
    </xf>
    <xf numFmtId="165" fontId="2" fillId="5" borderId="68" xfId="0" applyNumberFormat="1" applyFont="1" applyFill="1" applyBorder="1" applyAlignment="1">
      <alignment horizontal="right" vertical="top"/>
    </xf>
    <xf numFmtId="165" fontId="1" fillId="5" borderId="67" xfId="0" applyNumberFormat="1" applyFont="1" applyFill="1" applyBorder="1" applyAlignment="1">
      <alignment horizontal="center" vertical="top"/>
    </xf>
    <xf numFmtId="165" fontId="1" fillId="5" borderId="68" xfId="0" applyNumberFormat="1" applyFont="1" applyFill="1" applyBorder="1" applyAlignment="1">
      <alignment horizontal="center" vertical="top"/>
    </xf>
    <xf numFmtId="165" fontId="1" fillId="0" borderId="64" xfId="0" applyNumberFormat="1" applyFont="1" applyBorder="1" applyAlignment="1">
      <alignment horizontal="left" vertical="top" wrapText="1"/>
    </xf>
    <xf numFmtId="165" fontId="1" fillId="0" borderId="59" xfId="0" applyNumberFormat="1" applyFont="1" applyBorder="1" applyAlignment="1">
      <alignment horizontal="left" vertical="top" wrapText="1"/>
    </xf>
    <xf numFmtId="165" fontId="1" fillId="0" borderId="41" xfId="0" applyNumberFormat="1" applyFont="1" applyBorder="1" applyAlignment="1">
      <alignment horizontal="left" vertical="top" wrapText="1"/>
    </xf>
    <xf numFmtId="0" fontId="1" fillId="3" borderId="61" xfId="0" applyFont="1" applyFill="1" applyBorder="1" applyAlignment="1">
      <alignment horizontal="left" vertical="top" wrapText="1"/>
    </xf>
    <xf numFmtId="0" fontId="1" fillId="3" borderId="72" xfId="0" applyFont="1" applyFill="1" applyBorder="1" applyAlignment="1">
      <alignment horizontal="left" vertical="top" wrapText="1"/>
    </xf>
    <xf numFmtId="0" fontId="1" fillId="3" borderId="51" xfId="0" applyFont="1" applyFill="1" applyBorder="1" applyAlignment="1">
      <alignment horizontal="left" vertical="top" wrapText="1"/>
    </xf>
    <xf numFmtId="165" fontId="2" fillId="4" borderId="69" xfId="0" applyNumberFormat="1" applyFont="1" applyFill="1" applyBorder="1" applyAlignment="1">
      <alignment horizontal="right" vertical="top" wrapText="1"/>
    </xf>
    <xf numFmtId="165" fontId="2" fillId="4" borderId="31" xfId="0" applyNumberFormat="1" applyFont="1" applyFill="1" applyBorder="1" applyAlignment="1">
      <alignment horizontal="right" vertical="top" wrapText="1"/>
    </xf>
    <xf numFmtId="165" fontId="2" fillId="4" borderId="32" xfId="0" applyNumberFormat="1" applyFont="1" applyFill="1" applyBorder="1" applyAlignment="1">
      <alignment horizontal="right" vertical="top" wrapText="1"/>
    </xf>
    <xf numFmtId="3" fontId="20" fillId="7" borderId="0" xfId="0" applyNumberFormat="1" applyFont="1" applyFill="1" applyAlignment="1">
      <alignment horizontal="left" vertical="top" wrapText="1"/>
    </xf>
    <xf numFmtId="165" fontId="1" fillId="8" borderId="64" xfId="0" applyNumberFormat="1" applyFont="1" applyFill="1" applyBorder="1" applyAlignment="1">
      <alignment horizontal="left" vertical="top" wrapText="1"/>
    </xf>
    <xf numFmtId="165" fontId="2" fillId="8" borderId="59" xfId="0" applyNumberFormat="1" applyFont="1" applyFill="1" applyBorder="1" applyAlignment="1">
      <alignment horizontal="left" vertical="top" wrapText="1"/>
    </xf>
    <xf numFmtId="165" fontId="2" fillId="8" borderId="41" xfId="0" applyNumberFormat="1" applyFont="1" applyFill="1" applyBorder="1" applyAlignment="1">
      <alignment horizontal="left" vertical="top" wrapText="1"/>
    </xf>
    <xf numFmtId="165" fontId="1" fillId="8" borderId="64" xfId="0" applyNumberFormat="1" applyFont="1" applyFill="1" applyBorder="1" applyAlignment="1">
      <alignment vertical="top" wrapText="1"/>
    </xf>
    <xf numFmtId="165" fontId="6" fillId="8" borderId="59" xfId="0" applyNumberFormat="1" applyFont="1" applyFill="1" applyBorder="1" applyAlignment="1">
      <alignment vertical="top" wrapText="1"/>
    </xf>
    <xf numFmtId="165" fontId="6" fillId="8" borderId="41" xfId="0" applyNumberFormat="1" applyFont="1" applyFill="1" applyBorder="1" applyAlignment="1">
      <alignment vertical="top" wrapText="1"/>
    </xf>
    <xf numFmtId="165" fontId="2" fillId="5" borderId="64" xfId="0" applyNumberFormat="1" applyFont="1" applyFill="1" applyBorder="1" applyAlignment="1">
      <alignment horizontal="right" vertical="top" wrapText="1"/>
    </xf>
    <xf numFmtId="165" fontId="2" fillId="5" borderId="59" xfId="0" applyNumberFormat="1" applyFont="1" applyFill="1" applyBorder="1" applyAlignment="1">
      <alignment horizontal="right" vertical="top" wrapText="1"/>
    </xf>
    <xf numFmtId="165" fontId="2" fillId="5" borderId="41" xfId="0" applyNumberFormat="1" applyFont="1" applyFill="1" applyBorder="1" applyAlignment="1">
      <alignment horizontal="right" vertical="top" wrapText="1"/>
    </xf>
    <xf numFmtId="165" fontId="1" fillId="3" borderId="61" xfId="0" applyNumberFormat="1" applyFont="1" applyFill="1" applyBorder="1" applyAlignment="1">
      <alignment horizontal="left" vertical="top" wrapText="1"/>
    </xf>
    <xf numFmtId="165" fontId="1" fillId="3" borderId="72" xfId="0" applyNumberFormat="1" applyFont="1" applyFill="1" applyBorder="1" applyAlignment="1">
      <alignment horizontal="left" vertical="top" wrapText="1"/>
    </xf>
    <xf numFmtId="165" fontId="1" fillId="3" borderId="51" xfId="0" applyNumberFormat="1" applyFont="1" applyFill="1" applyBorder="1" applyAlignment="1">
      <alignment horizontal="left" vertical="top" wrapText="1"/>
    </xf>
    <xf numFmtId="165" fontId="1" fillId="3" borderId="64" xfId="0" applyNumberFormat="1" applyFont="1" applyFill="1" applyBorder="1" applyAlignment="1">
      <alignment horizontal="left" vertical="top" wrapText="1"/>
    </xf>
    <xf numFmtId="165" fontId="1" fillId="3" borderId="59" xfId="0" applyNumberFormat="1" applyFont="1" applyFill="1" applyBorder="1" applyAlignment="1">
      <alignment horizontal="left" vertical="top" wrapText="1"/>
    </xf>
    <xf numFmtId="165" fontId="1" fillId="3" borderId="41" xfId="0" applyNumberFormat="1" applyFont="1" applyFill="1" applyBorder="1" applyAlignment="1">
      <alignment horizontal="left" vertical="top" wrapText="1"/>
    </xf>
    <xf numFmtId="165" fontId="1" fillId="7" borderId="59" xfId="0" applyNumberFormat="1" applyFont="1" applyFill="1" applyBorder="1" applyAlignment="1">
      <alignment horizontal="left" vertical="top" wrapText="1"/>
    </xf>
    <xf numFmtId="165" fontId="1" fillId="7" borderId="41" xfId="0" applyNumberFormat="1" applyFont="1" applyFill="1" applyBorder="1" applyAlignment="1">
      <alignment horizontal="left" vertical="top" wrapText="1"/>
    </xf>
    <xf numFmtId="165" fontId="1" fillId="8" borderId="59" xfId="0" applyNumberFormat="1" applyFont="1" applyFill="1" applyBorder="1" applyAlignment="1">
      <alignment horizontal="left" vertical="top" wrapText="1"/>
    </xf>
    <xf numFmtId="165" fontId="1" fillId="8" borderId="41" xfId="0" applyNumberFormat="1" applyFont="1" applyFill="1" applyBorder="1" applyAlignment="1">
      <alignment horizontal="left" vertical="top" wrapText="1"/>
    </xf>
    <xf numFmtId="165" fontId="2" fillId="8" borderId="64" xfId="0" applyNumberFormat="1" applyFont="1" applyFill="1" applyBorder="1" applyAlignment="1">
      <alignment horizontal="left" vertical="top" wrapText="1"/>
    </xf>
    <xf numFmtId="165" fontId="1" fillId="0" borderId="49" xfId="0" applyNumberFormat="1" applyFont="1" applyFill="1" applyBorder="1" applyAlignment="1">
      <alignment horizontal="left" vertical="top"/>
    </xf>
    <xf numFmtId="165" fontId="2" fillId="0" borderId="31" xfId="0" applyNumberFormat="1" applyFont="1" applyFill="1" applyBorder="1" applyAlignment="1">
      <alignment horizontal="center" vertical="top" wrapText="1"/>
    </xf>
    <xf numFmtId="3" fontId="2" fillId="0" borderId="53" xfId="0" applyNumberFormat="1" applyFont="1" applyBorder="1" applyAlignment="1">
      <alignment horizontal="center" vertical="center" wrapText="1"/>
    </xf>
    <xf numFmtId="3" fontId="2" fillId="0" borderId="67" xfId="0" applyNumberFormat="1" applyFont="1" applyBorder="1" applyAlignment="1">
      <alignment horizontal="center" vertical="center" wrapText="1"/>
    </xf>
    <xf numFmtId="3" fontId="2" fillId="0" borderId="68" xfId="0" applyNumberFormat="1" applyFont="1" applyBorder="1" applyAlignment="1">
      <alignment horizontal="center" vertical="center" wrapText="1"/>
    </xf>
    <xf numFmtId="165" fontId="2" fillId="5" borderId="65" xfId="0" applyNumberFormat="1" applyFont="1" applyFill="1" applyBorder="1" applyAlignment="1">
      <alignment horizontal="right" vertical="top" wrapText="1"/>
    </xf>
    <xf numFmtId="165" fontId="2" fillId="5" borderId="70" xfId="0" applyNumberFormat="1" applyFont="1" applyFill="1" applyBorder="1" applyAlignment="1">
      <alignment horizontal="right" vertical="top" wrapText="1"/>
    </xf>
    <xf numFmtId="165" fontId="2" fillId="5" borderId="66" xfId="0" applyNumberFormat="1" applyFont="1" applyFill="1" applyBorder="1" applyAlignment="1">
      <alignment horizontal="right" vertical="top" wrapText="1"/>
    </xf>
    <xf numFmtId="165" fontId="2" fillId="8" borderId="64" xfId="0" applyNumberFormat="1" applyFont="1" applyFill="1" applyBorder="1" applyAlignment="1">
      <alignment horizontal="right" vertical="top" wrapText="1"/>
    </xf>
    <xf numFmtId="165" fontId="6" fillId="8" borderId="59" xfId="0" applyNumberFormat="1" applyFont="1" applyFill="1" applyBorder="1" applyAlignment="1">
      <alignment horizontal="right" vertical="top" wrapText="1"/>
    </xf>
    <xf numFmtId="165" fontId="6" fillId="8" borderId="41" xfId="0" applyNumberFormat="1" applyFont="1" applyFill="1" applyBorder="1" applyAlignment="1">
      <alignment horizontal="right" vertical="top" wrapText="1"/>
    </xf>
    <xf numFmtId="0" fontId="1" fillId="0" borderId="33" xfId="0" applyFont="1" applyBorder="1" applyAlignment="1">
      <alignment vertical="top" wrapText="1"/>
    </xf>
    <xf numFmtId="0" fontId="0" fillId="0" borderId="33" xfId="0" applyFont="1" applyBorder="1" applyAlignment="1">
      <alignment vertical="top" wrapText="1"/>
    </xf>
    <xf numFmtId="165" fontId="6" fillId="7" borderId="27" xfId="0" applyNumberFormat="1" applyFont="1" applyFill="1" applyBorder="1" applyAlignment="1">
      <alignment horizontal="left" vertical="top" wrapText="1"/>
    </xf>
    <xf numFmtId="165" fontId="13" fillId="11" borderId="19" xfId="0" applyNumberFormat="1" applyFont="1" applyFill="1" applyBorder="1" applyAlignment="1">
      <alignment horizontal="left" vertical="top" wrapText="1"/>
    </xf>
    <xf numFmtId="165" fontId="13" fillId="11" borderId="10" xfId="0" applyNumberFormat="1" applyFont="1" applyFill="1" applyBorder="1" applyAlignment="1">
      <alignment horizontal="left" vertical="top" wrapText="1"/>
    </xf>
    <xf numFmtId="0" fontId="31" fillId="0" borderId="17" xfId="0" applyFont="1" applyBorder="1" applyAlignment="1">
      <alignment horizontal="center" vertical="top" wrapText="1"/>
    </xf>
    <xf numFmtId="165" fontId="13" fillId="7" borderId="35" xfId="0" applyNumberFormat="1" applyFont="1" applyFill="1" applyBorder="1" applyAlignment="1">
      <alignment horizontal="left" vertical="top" wrapText="1"/>
    </xf>
    <xf numFmtId="0" fontId="31" fillId="7" borderId="6" xfId="0" applyFont="1" applyFill="1" applyBorder="1" applyAlignment="1">
      <alignment horizontal="left" vertical="top" wrapText="1"/>
    </xf>
    <xf numFmtId="0" fontId="13" fillId="7" borderId="35" xfId="0" applyFont="1" applyFill="1" applyBorder="1" applyAlignment="1">
      <alignment vertical="top" wrapText="1"/>
    </xf>
    <xf numFmtId="0" fontId="13" fillId="7" borderId="28" xfId="0" applyFont="1" applyFill="1" applyBorder="1" applyAlignment="1">
      <alignment vertical="top" wrapText="1"/>
    </xf>
    <xf numFmtId="165" fontId="13" fillId="7" borderId="19" xfId="0" applyNumberFormat="1" applyFont="1" applyFill="1" applyBorder="1" applyAlignment="1">
      <alignment vertical="top" wrapText="1"/>
    </xf>
    <xf numFmtId="165" fontId="13" fillId="7" borderId="27" xfId="0" applyNumberFormat="1" applyFont="1" applyFill="1" applyBorder="1" applyAlignment="1">
      <alignment vertical="top" wrapText="1"/>
    </xf>
    <xf numFmtId="165" fontId="17" fillId="7" borderId="10" xfId="0" applyNumberFormat="1" applyFont="1" applyFill="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27" xfId="0" applyFont="1" applyBorder="1" applyAlignment="1">
      <alignment horizontal="center" vertical="center" textRotation="90" wrapText="1"/>
    </xf>
    <xf numFmtId="165" fontId="13" fillId="7" borderId="6" xfId="0" applyNumberFormat="1" applyFont="1" applyFill="1" applyBorder="1" applyAlignment="1">
      <alignment horizontal="left" vertical="top" wrapText="1"/>
    </xf>
    <xf numFmtId="0" fontId="31" fillId="0" borderId="6" xfId="0" applyFont="1" applyBorder="1" applyAlignment="1">
      <alignment horizontal="left" vertical="top" wrapText="1"/>
    </xf>
    <xf numFmtId="0" fontId="6" fillId="0" borderId="18" xfId="0" applyFont="1" applyBorder="1" applyAlignment="1">
      <alignment horizontal="left" vertical="top" wrapText="1"/>
    </xf>
    <xf numFmtId="165" fontId="1" fillId="0" borderId="17" xfId="0" applyNumberFormat="1" applyFont="1" applyBorder="1" applyAlignment="1">
      <alignment horizontal="center" vertical="top" wrapText="1"/>
    </xf>
    <xf numFmtId="165" fontId="2" fillId="12" borderId="19" xfId="0" applyNumberFormat="1" applyFont="1" applyFill="1" applyBorder="1" applyAlignment="1">
      <alignment horizontal="center" vertical="top" wrapText="1"/>
    </xf>
    <xf numFmtId="0" fontId="6" fillId="12" borderId="10" xfId="0" applyFont="1" applyFill="1" applyBorder="1" applyAlignment="1">
      <alignment horizontal="center" vertical="top" wrapText="1"/>
    </xf>
    <xf numFmtId="0" fontId="6" fillId="12" borderId="27" xfId="0"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165" fontId="13" fillId="7" borderId="45" xfId="0" applyNumberFormat="1" applyFont="1" applyFill="1" applyBorder="1" applyAlignment="1">
      <alignment horizontal="left" vertical="top" wrapText="1"/>
    </xf>
    <xf numFmtId="165" fontId="13" fillId="7" borderId="47" xfId="0" applyNumberFormat="1" applyFont="1" applyFill="1" applyBorder="1" applyAlignment="1">
      <alignment horizontal="left" vertical="top" wrapText="1"/>
    </xf>
    <xf numFmtId="165" fontId="2" fillId="3" borderId="19" xfId="0" applyNumberFormat="1" applyFont="1" applyFill="1" applyBorder="1" applyAlignment="1">
      <alignment horizontal="center" vertical="top" wrapText="1"/>
    </xf>
    <xf numFmtId="165" fontId="2" fillId="3" borderId="27"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center" wrapText="1"/>
    </xf>
    <xf numFmtId="165" fontId="6" fillId="7" borderId="17"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top"/>
    </xf>
    <xf numFmtId="49" fontId="1" fillId="0" borderId="34" xfId="0" applyNumberFormat="1" applyFont="1" applyFill="1" applyBorder="1" applyAlignment="1">
      <alignment horizontal="center" vertical="top"/>
    </xf>
    <xf numFmtId="165" fontId="13" fillId="7" borderId="96" xfId="0" applyNumberFormat="1" applyFont="1" applyFill="1" applyBorder="1" applyAlignment="1">
      <alignment horizontal="left" vertical="top" wrapText="1"/>
    </xf>
    <xf numFmtId="0" fontId="31" fillId="7" borderId="76" xfId="0" applyFont="1" applyFill="1" applyBorder="1" applyAlignment="1">
      <alignment vertical="top" wrapText="1"/>
    </xf>
    <xf numFmtId="165" fontId="13" fillId="11" borderId="45" xfId="0" applyNumberFormat="1" applyFont="1" applyFill="1" applyBorder="1" applyAlignment="1">
      <alignment horizontal="left" vertical="top" wrapText="1"/>
    </xf>
    <xf numFmtId="165" fontId="13" fillId="11" borderId="47" xfId="0" applyNumberFormat="1" applyFont="1" applyFill="1" applyBorder="1" applyAlignment="1">
      <alignment horizontal="left" vertical="top" wrapText="1"/>
    </xf>
    <xf numFmtId="165" fontId="31" fillId="11" borderId="34" xfId="0" applyNumberFormat="1" applyFont="1" applyFill="1" applyBorder="1" applyAlignment="1">
      <alignment horizontal="left" vertical="top" wrapText="1"/>
    </xf>
    <xf numFmtId="0" fontId="6" fillId="0" borderId="76" xfId="0" applyFont="1" applyBorder="1" applyAlignment="1">
      <alignment horizontal="left" vertical="top" wrapText="1"/>
    </xf>
    <xf numFmtId="0" fontId="6" fillId="0" borderId="17" xfId="0" applyFont="1" applyBorder="1" applyAlignment="1">
      <alignment horizontal="center" vertical="top" wrapText="1"/>
    </xf>
    <xf numFmtId="165" fontId="1" fillId="7" borderId="6" xfId="0" applyNumberFormat="1" applyFont="1" applyFill="1" applyBorder="1" applyAlignment="1">
      <alignment vertical="top" wrapText="1"/>
    </xf>
    <xf numFmtId="0" fontId="1" fillId="7" borderId="6" xfId="0" applyFont="1" applyFill="1" applyBorder="1" applyAlignment="1">
      <alignment vertical="top" wrapText="1"/>
    </xf>
    <xf numFmtId="0" fontId="6" fillId="0" borderId="28" xfId="0" applyFont="1" applyBorder="1" applyAlignment="1">
      <alignment horizontal="left" vertical="top" wrapText="1"/>
    </xf>
    <xf numFmtId="0" fontId="0" fillId="0" borderId="6" xfId="0" applyBorder="1" applyAlignment="1">
      <alignment horizontal="left" vertical="top" wrapText="1"/>
    </xf>
    <xf numFmtId="165" fontId="1" fillId="11" borderId="19" xfId="0" applyNumberFormat="1" applyFont="1" applyFill="1" applyBorder="1" applyAlignment="1">
      <alignment vertical="top" wrapText="1"/>
    </xf>
    <xf numFmtId="165" fontId="1" fillId="11" borderId="10" xfId="0" applyNumberFormat="1" applyFont="1" applyFill="1" applyBorder="1" applyAlignment="1">
      <alignment vertical="top" wrapText="1"/>
    </xf>
    <xf numFmtId="165" fontId="1" fillId="11" borderId="27" xfId="0" applyNumberFormat="1" applyFont="1" applyFill="1" applyBorder="1" applyAlignment="1">
      <alignment vertical="top" wrapText="1"/>
    </xf>
    <xf numFmtId="165" fontId="1" fillId="11" borderId="45" xfId="0" applyNumberFormat="1" applyFont="1" applyFill="1" applyBorder="1" applyAlignment="1">
      <alignment horizontal="left" vertical="top" wrapText="1"/>
    </xf>
    <xf numFmtId="165" fontId="1" fillId="11" borderId="47" xfId="0" applyNumberFormat="1" applyFont="1" applyFill="1" applyBorder="1" applyAlignment="1">
      <alignment horizontal="left" vertical="top" wrapText="1"/>
    </xf>
    <xf numFmtId="165" fontId="2" fillId="7" borderId="10" xfId="0" applyNumberFormat="1" applyFont="1" applyFill="1" applyBorder="1" applyAlignment="1">
      <alignment horizontal="center" vertical="center" textRotation="90" wrapText="1"/>
    </xf>
    <xf numFmtId="0" fontId="6" fillId="0" borderId="10" xfId="0" applyFont="1" applyBorder="1" applyAlignment="1">
      <alignment horizontal="center" vertical="center" textRotation="90" wrapText="1"/>
    </xf>
    <xf numFmtId="165" fontId="1" fillId="7" borderId="20" xfId="0" applyNumberFormat="1" applyFont="1" applyFill="1" applyBorder="1" applyAlignment="1">
      <alignment horizontal="center" vertical="top" wrapText="1"/>
    </xf>
    <xf numFmtId="0" fontId="0" fillId="0" borderId="17" xfId="0" applyBorder="1" applyAlignment="1">
      <alignment horizontal="center" vertical="top" wrapText="1"/>
    </xf>
    <xf numFmtId="165" fontId="1" fillId="7" borderId="100" xfId="0" applyNumberFormat="1" applyFont="1" applyFill="1" applyBorder="1" applyAlignment="1">
      <alignment horizontal="center" vertical="top" wrapText="1"/>
    </xf>
    <xf numFmtId="165" fontId="1" fillId="7" borderId="26" xfId="0" applyNumberFormat="1" applyFont="1" applyFill="1" applyBorder="1" applyAlignment="1">
      <alignment horizontal="center" vertical="top" wrapText="1"/>
    </xf>
    <xf numFmtId="165" fontId="1" fillId="11" borderId="19" xfId="0" applyNumberFormat="1" applyFont="1" applyFill="1" applyBorder="1" applyAlignment="1">
      <alignment horizontal="left" vertical="top" wrapText="1"/>
    </xf>
    <xf numFmtId="0" fontId="6" fillId="11" borderId="10" xfId="0" applyFont="1" applyFill="1" applyBorder="1" applyAlignment="1">
      <alignment horizontal="left" vertical="top" wrapText="1"/>
    </xf>
    <xf numFmtId="165" fontId="1" fillId="7" borderId="20" xfId="0" applyNumberFormat="1" applyFont="1" applyFill="1" applyBorder="1" applyAlignment="1">
      <alignment horizontal="center" vertical="center" wrapText="1"/>
    </xf>
    <xf numFmtId="0" fontId="6" fillId="7" borderId="17" xfId="0" applyFont="1" applyFill="1" applyBorder="1" applyAlignment="1">
      <alignment horizontal="center" vertical="center" wrapText="1"/>
    </xf>
    <xf numFmtId="165" fontId="6" fillId="7" borderId="17" xfId="0" applyNumberFormat="1" applyFont="1" applyFill="1" applyBorder="1" applyAlignment="1">
      <alignment horizontal="center" vertical="top" wrapText="1"/>
    </xf>
    <xf numFmtId="0" fontId="0" fillId="0" borderId="17" xfId="0" applyBorder="1" applyAlignment="1">
      <alignment horizontal="center" wrapText="1"/>
    </xf>
    <xf numFmtId="165" fontId="5" fillId="11" borderId="19" xfId="0" applyNumberFormat="1" applyFont="1" applyFill="1" applyBorder="1" applyAlignment="1">
      <alignment horizontal="center" vertical="center" textRotation="90" wrapText="1"/>
    </xf>
    <xf numFmtId="165" fontId="5" fillId="11" borderId="27" xfId="0" applyNumberFormat="1" applyFont="1" applyFill="1" applyBorder="1" applyAlignment="1">
      <alignment horizontal="center" vertical="center" textRotation="90" wrapText="1"/>
    </xf>
    <xf numFmtId="165" fontId="1" fillId="11" borderId="10" xfId="0" applyNumberFormat="1" applyFont="1" applyFill="1" applyBorder="1" applyAlignment="1">
      <alignment horizontal="left" vertical="top" wrapText="1"/>
    </xf>
    <xf numFmtId="165" fontId="1" fillId="11" borderId="27" xfId="0" applyNumberFormat="1" applyFont="1" applyFill="1" applyBorder="1" applyAlignment="1">
      <alignment horizontal="left" vertical="top" wrapText="1"/>
    </xf>
    <xf numFmtId="0" fontId="0" fillId="0" borderId="28" xfId="0" applyBorder="1" applyAlignment="1">
      <alignment horizontal="left" vertical="top" wrapText="1"/>
    </xf>
    <xf numFmtId="49" fontId="2" fillId="7" borderId="19" xfId="0" applyNumberFormat="1" applyFont="1" applyFill="1" applyBorder="1" applyAlignment="1">
      <alignment horizontal="center" vertical="top"/>
    </xf>
    <xf numFmtId="49" fontId="2" fillId="7" borderId="27" xfId="0" applyNumberFormat="1" applyFont="1" applyFill="1" applyBorder="1" applyAlignment="1">
      <alignment horizontal="center" vertical="top"/>
    </xf>
    <xf numFmtId="0" fontId="2" fillId="11" borderId="19" xfId="0" applyFont="1" applyFill="1" applyBorder="1" applyAlignment="1">
      <alignment vertical="top" wrapText="1"/>
    </xf>
    <xf numFmtId="0" fontId="0" fillId="11" borderId="10" xfId="0" applyFill="1" applyBorder="1" applyAlignment="1">
      <alignment vertical="top" wrapText="1"/>
    </xf>
    <xf numFmtId="165" fontId="35" fillId="11" borderId="10" xfId="0" applyNumberFormat="1" applyFont="1" applyFill="1" applyBorder="1" applyAlignment="1">
      <alignment horizontal="center" vertical="center" textRotation="90" wrapText="1"/>
    </xf>
    <xf numFmtId="165" fontId="13" fillId="7" borderId="34" xfId="0" applyNumberFormat="1" applyFont="1" applyFill="1" applyBorder="1" applyAlignment="1">
      <alignment horizontal="left" vertical="top" wrapText="1"/>
    </xf>
    <xf numFmtId="165" fontId="9" fillId="11" borderId="10" xfId="0" applyNumberFormat="1" applyFont="1" applyFill="1" applyBorder="1" applyAlignment="1">
      <alignment horizontal="center" vertical="top" wrapText="1"/>
    </xf>
    <xf numFmtId="165" fontId="9" fillId="11" borderId="27" xfId="0" applyNumberFormat="1" applyFont="1" applyFill="1" applyBorder="1" applyAlignment="1">
      <alignment horizontal="center" vertical="top" wrapText="1"/>
    </xf>
    <xf numFmtId="165" fontId="1" fillId="11" borderId="87" xfId="0" applyNumberFormat="1" applyFont="1" applyFill="1" applyBorder="1" applyAlignment="1">
      <alignment horizontal="left" vertical="top" wrapText="1"/>
    </xf>
    <xf numFmtId="165" fontId="13" fillId="7" borderId="25" xfId="0" applyNumberFormat="1" applyFont="1" applyFill="1" applyBorder="1" applyAlignment="1">
      <alignment horizontal="center" vertical="top" wrapText="1"/>
    </xf>
    <xf numFmtId="165" fontId="13" fillId="7" borderId="17" xfId="0" applyNumberFormat="1" applyFont="1" applyFill="1" applyBorder="1" applyAlignment="1">
      <alignment horizontal="center" vertical="top" wrapText="1"/>
    </xf>
    <xf numFmtId="165" fontId="13" fillId="7" borderId="30" xfId="0" applyNumberFormat="1" applyFont="1" applyFill="1" applyBorder="1" applyAlignment="1">
      <alignment horizontal="center" vertical="top" wrapText="1"/>
    </xf>
    <xf numFmtId="165" fontId="2" fillId="8" borderId="10" xfId="0" applyNumberFormat="1" applyFont="1" applyFill="1" applyBorder="1" applyAlignment="1">
      <alignment horizontal="center" vertical="top"/>
    </xf>
    <xf numFmtId="49" fontId="17" fillId="7" borderId="19" xfId="0" applyNumberFormat="1" applyFont="1" applyFill="1" applyBorder="1" applyAlignment="1">
      <alignment horizontal="center" vertical="top" textRotation="90" wrapText="1"/>
    </xf>
    <xf numFmtId="0" fontId="36" fillId="0" borderId="10" xfId="0" applyFont="1" applyBorder="1" applyAlignment="1">
      <alignment horizontal="center" vertical="top" textRotation="90" wrapText="1"/>
    </xf>
    <xf numFmtId="0" fontId="36" fillId="0" borderId="27" xfId="0" applyFont="1" applyBorder="1" applyAlignment="1">
      <alignment horizontal="center" vertical="top" textRotation="90" wrapText="1"/>
    </xf>
    <xf numFmtId="0" fontId="6" fillId="0" borderId="10" xfId="0" applyFont="1" applyBorder="1" applyAlignment="1">
      <alignment vertical="top" wrapText="1"/>
    </xf>
    <xf numFmtId="0" fontId="1" fillId="7" borderId="10" xfId="0" applyFont="1" applyFill="1" applyBorder="1" applyAlignment="1">
      <alignment horizontal="left" vertical="top" wrapText="1"/>
    </xf>
    <xf numFmtId="49" fontId="2" fillId="7" borderId="40" xfId="0" applyNumberFormat="1" applyFont="1" applyFill="1" applyBorder="1" applyAlignment="1">
      <alignment horizontal="center" vertical="top"/>
    </xf>
    <xf numFmtId="49" fontId="2" fillId="7" borderId="47" xfId="0" applyNumberFormat="1" applyFont="1" applyFill="1" applyBorder="1" applyAlignment="1">
      <alignment horizontal="center" vertical="top"/>
    </xf>
    <xf numFmtId="49" fontId="2" fillId="7" borderId="54" xfId="0" applyNumberFormat="1" applyFont="1" applyFill="1" applyBorder="1" applyAlignment="1">
      <alignment horizontal="center" vertical="top"/>
    </xf>
    <xf numFmtId="165" fontId="13" fillId="11" borderId="24" xfId="0" applyNumberFormat="1" applyFont="1" applyFill="1" applyBorder="1" applyAlignment="1">
      <alignment vertical="top" wrapText="1"/>
    </xf>
    <xf numFmtId="165" fontId="13" fillId="11" borderId="10" xfId="0" applyNumberFormat="1" applyFont="1" applyFill="1" applyBorder="1" applyAlignment="1">
      <alignment vertical="top" wrapText="1"/>
    </xf>
    <xf numFmtId="49" fontId="1" fillId="8" borderId="19" xfId="0" applyNumberFormat="1" applyFont="1" applyFill="1" applyBorder="1" applyAlignment="1">
      <alignment horizontal="center" vertical="center" textRotation="90"/>
    </xf>
    <xf numFmtId="49" fontId="1" fillId="8" borderId="10" xfId="0" applyNumberFormat="1" applyFont="1" applyFill="1" applyBorder="1" applyAlignment="1">
      <alignment horizontal="center" vertical="center" textRotation="90"/>
    </xf>
    <xf numFmtId="49" fontId="1" fillId="8" borderId="27" xfId="0" applyNumberFormat="1" applyFont="1" applyFill="1" applyBorder="1" applyAlignment="1">
      <alignment horizontal="center" vertical="center" textRotation="90"/>
    </xf>
    <xf numFmtId="49" fontId="13" fillId="8" borderId="19" xfId="0" applyNumberFormat="1" applyFont="1" applyFill="1" applyBorder="1" applyAlignment="1">
      <alignment horizontal="center" vertical="center" textRotation="90" wrapText="1"/>
    </xf>
    <xf numFmtId="0" fontId="31" fillId="8" borderId="10" xfId="0" applyFont="1" applyFill="1" applyBorder="1" applyAlignment="1">
      <alignment horizontal="center" vertical="center" textRotation="90" wrapText="1"/>
    </xf>
    <xf numFmtId="0" fontId="31" fillId="8" borderId="27" xfId="0" applyFont="1" applyFill="1" applyBorder="1" applyAlignment="1">
      <alignment horizontal="center" vertical="center" textRotation="90" wrapText="1"/>
    </xf>
    <xf numFmtId="49" fontId="13" fillId="8" borderId="10" xfId="0" applyNumberFormat="1" applyFont="1" applyFill="1" applyBorder="1" applyAlignment="1">
      <alignment horizontal="center" vertical="top" textRotation="90" wrapText="1"/>
    </xf>
    <xf numFmtId="0" fontId="31" fillId="8" borderId="10" xfId="0" applyFont="1" applyFill="1" applyBorder="1" applyAlignment="1">
      <alignment horizontal="center" vertical="top" textRotation="90" wrapText="1"/>
    </xf>
    <xf numFmtId="0" fontId="31" fillId="8" borderId="27" xfId="0" applyFont="1" applyFill="1" applyBorder="1" applyAlignment="1">
      <alignment horizontal="center" vertical="top" textRotation="90" wrapText="1"/>
    </xf>
    <xf numFmtId="49" fontId="17" fillId="7" borderId="10" xfId="0" applyNumberFormat="1" applyFont="1" applyFill="1" applyBorder="1" applyAlignment="1">
      <alignment horizontal="center" vertical="top" textRotation="90" wrapText="1"/>
    </xf>
    <xf numFmtId="0" fontId="0" fillId="0" borderId="17" xfId="0" applyBorder="1" applyAlignment="1">
      <alignment horizontal="center" vertical="top"/>
    </xf>
    <xf numFmtId="0" fontId="0" fillId="0" borderId="26" xfId="0" applyBorder="1" applyAlignment="1">
      <alignment horizontal="center" vertical="top"/>
    </xf>
    <xf numFmtId="49" fontId="2" fillId="7" borderId="10" xfId="0" applyNumberFormat="1" applyFont="1" applyFill="1" applyBorder="1" applyAlignment="1">
      <alignment horizontal="center" vertical="top" textRotation="90"/>
    </xf>
    <xf numFmtId="165" fontId="1" fillId="8" borderId="19" xfId="0" applyNumberFormat="1" applyFont="1" applyFill="1" applyBorder="1" applyAlignment="1">
      <alignment horizontal="center" vertical="center" textRotation="90" wrapText="1"/>
    </xf>
    <xf numFmtId="165" fontId="1" fillId="8" borderId="10" xfId="0" applyNumberFormat="1" applyFont="1" applyFill="1" applyBorder="1" applyAlignment="1">
      <alignment horizontal="center" vertical="center" textRotation="90" wrapText="1"/>
    </xf>
    <xf numFmtId="165" fontId="1" fillId="8" borderId="27" xfId="0" applyNumberFormat="1" applyFont="1" applyFill="1" applyBorder="1" applyAlignment="1">
      <alignment horizontal="center" vertical="center" textRotation="90" wrapText="1"/>
    </xf>
    <xf numFmtId="0" fontId="6" fillId="11" borderId="27" xfId="0" applyFont="1" applyFill="1" applyBorder="1" applyAlignment="1">
      <alignment horizontal="left" vertical="top" wrapText="1"/>
    </xf>
    <xf numFmtId="0" fontId="1" fillId="0" borderId="17" xfId="0" applyFont="1" applyBorder="1" applyAlignment="1">
      <alignment horizontal="center" vertical="top" wrapText="1"/>
    </xf>
    <xf numFmtId="0" fontId="6" fillId="0" borderId="26" xfId="0" applyFont="1" applyBorder="1" applyAlignment="1">
      <alignment horizontal="center" vertical="top" wrapText="1"/>
    </xf>
    <xf numFmtId="165" fontId="2" fillId="7" borderId="19" xfId="0" applyNumberFormat="1" applyFont="1" applyFill="1" applyBorder="1" applyAlignment="1">
      <alignment horizontal="center" vertical="center" textRotation="90" wrapText="1"/>
    </xf>
    <xf numFmtId="165" fontId="2" fillId="7" borderId="27" xfId="0" applyNumberFormat="1" applyFont="1" applyFill="1" applyBorder="1" applyAlignment="1">
      <alignment horizontal="center" vertical="center" textRotation="90" wrapText="1"/>
    </xf>
    <xf numFmtId="165" fontId="2" fillId="0" borderId="19" xfId="0" applyNumberFormat="1" applyFont="1" applyFill="1" applyBorder="1" applyAlignment="1">
      <alignment horizontal="center" vertical="top" wrapText="1"/>
    </xf>
    <xf numFmtId="165" fontId="2" fillId="0" borderId="10" xfId="0" applyNumberFormat="1" applyFont="1" applyFill="1" applyBorder="1" applyAlignment="1">
      <alignment horizontal="center" vertical="top" wrapText="1"/>
    </xf>
    <xf numFmtId="165" fontId="2" fillId="0" borderId="27" xfId="0" applyNumberFormat="1" applyFont="1" applyFill="1" applyBorder="1" applyAlignment="1">
      <alignment horizontal="center" vertical="top" wrapText="1"/>
    </xf>
    <xf numFmtId="165" fontId="2" fillId="3" borderId="10" xfId="0" applyNumberFormat="1" applyFont="1" applyFill="1" applyBorder="1" applyAlignment="1">
      <alignment horizontal="center" vertical="top" wrapText="1"/>
    </xf>
    <xf numFmtId="165" fontId="1" fillId="11" borderId="45" xfId="0" applyNumberFormat="1" applyFont="1" applyFill="1" applyBorder="1" applyAlignment="1">
      <alignment vertical="top" wrapText="1"/>
    </xf>
    <xf numFmtId="165" fontId="1" fillId="11" borderId="47" xfId="0" applyNumberFormat="1" applyFont="1" applyFill="1" applyBorder="1" applyAlignment="1">
      <alignment vertical="top" wrapText="1"/>
    </xf>
    <xf numFmtId="0" fontId="6" fillId="11" borderId="47" xfId="0" applyFont="1" applyFill="1" applyBorder="1" applyAlignment="1">
      <alignment vertical="top" wrapText="1"/>
    </xf>
    <xf numFmtId="0" fontId="6" fillId="11" borderId="91" xfId="0" applyFont="1" applyFill="1" applyBorder="1" applyAlignment="1">
      <alignment vertical="top" wrapText="1"/>
    </xf>
    <xf numFmtId="0" fontId="1" fillId="11" borderId="10" xfId="0" applyFont="1" applyFill="1" applyBorder="1" applyAlignment="1">
      <alignment vertical="top" wrapText="1"/>
    </xf>
    <xf numFmtId="0" fontId="1" fillId="11" borderId="27" xfId="0" applyFont="1" applyFill="1" applyBorder="1" applyAlignment="1">
      <alignment vertical="top" wrapText="1"/>
    </xf>
    <xf numFmtId="49" fontId="2" fillId="8" borderId="10" xfId="0" applyNumberFormat="1" applyFont="1" applyFill="1" applyBorder="1" applyAlignment="1">
      <alignment horizontal="center" vertical="top"/>
    </xf>
    <xf numFmtId="49" fontId="2" fillId="9" borderId="4" xfId="0" applyNumberFormat="1" applyFont="1" applyFill="1" applyBorder="1" applyAlignment="1">
      <alignment horizontal="center" vertical="top"/>
    </xf>
    <xf numFmtId="49" fontId="2" fillId="9" borderId="8" xfId="0" applyNumberFormat="1" applyFont="1" applyFill="1" applyBorder="1" applyAlignment="1">
      <alignment horizontal="center" vertical="top"/>
    </xf>
    <xf numFmtId="165" fontId="13" fillId="7" borderId="10" xfId="0" applyNumberFormat="1" applyFont="1" applyFill="1" applyBorder="1" applyAlignment="1">
      <alignment vertical="top" wrapText="1"/>
    </xf>
    <xf numFmtId="165" fontId="1" fillId="11" borderId="10" xfId="0" applyNumberFormat="1" applyFont="1" applyFill="1" applyBorder="1" applyAlignment="1">
      <alignment horizontal="center" vertical="center" textRotation="90" wrapText="1"/>
    </xf>
    <xf numFmtId="165" fontId="1" fillId="11" borderId="77" xfId="0" applyNumberFormat="1" applyFont="1" applyFill="1" applyBorder="1" applyAlignment="1">
      <alignment horizontal="center" vertical="center" textRotation="90" wrapText="1"/>
    </xf>
    <xf numFmtId="165" fontId="5" fillId="11" borderId="10" xfId="0" applyNumberFormat="1" applyFont="1" applyFill="1" applyBorder="1" applyAlignment="1">
      <alignment horizontal="center" vertical="center" textRotation="90" wrapText="1"/>
    </xf>
    <xf numFmtId="49" fontId="2" fillId="2" borderId="40"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49" fontId="2" fillId="2" borderId="54"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49" fontId="2" fillId="7" borderId="29" xfId="0" applyNumberFormat="1" applyFont="1" applyFill="1" applyBorder="1" applyAlignment="1">
      <alignment horizontal="center" vertical="top"/>
    </xf>
    <xf numFmtId="49" fontId="2" fillId="0" borderId="19" xfId="0" applyNumberFormat="1" applyFont="1" applyBorder="1" applyAlignment="1">
      <alignment horizontal="center" vertical="top"/>
    </xf>
    <xf numFmtId="49" fontId="2" fillId="0" borderId="27" xfId="0" applyNumberFormat="1" applyFont="1" applyBorder="1" applyAlignment="1">
      <alignment horizontal="center" vertical="top"/>
    </xf>
    <xf numFmtId="0" fontId="0" fillId="7" borderId="17" xfId="0" applyFill="1" applyBorder="1" applyAlignment="1">
      <alignment vertical="top" wrapText="1"/>
    </xf>
    <xf numFmtId="0" fontId="0" fillId="0" borderId="27" xfId="0" applyBorder="1" applyAlignment="1">
      <alignment horizontal="center" wrapText="1"/>
    </xf>
    <xf numFmtId="0" fontId="6" fillId="11" borderId="10" xfId="0" applyFont="1" applyFill="1" applyBorder="1" applyAlignment="1">
      <alignment vertical="top" wrapText="1"/>
    </xf>
    <xf numFmtId="165" fontId="5" fillId="7" borderId="19" xfId="0" applyNumberFormat="1" applyFont="1" applyFill="1" applyBorder="1" applyAlignment="1">
      <alignment horizontal="center" vertical="center" textRotation="90" wrapText="1"/>
    </xf>
    <xf numFmtId="165" fontId="5" fillId="7" borderId="10" xfId="0" applyNumberFormat="1" applyFont="1" applyFill="1" applyBorder="1" applyAlignment="1">
      <alignment horizontal="center" vertical="center" textRotation="90" wrapText="1"/>
    </xf>
    <xf numFmtId="49" fontId="2" fillId="0" borderId="10" xfId="0" applyNumberFormat="1" applyFont="1" applyBorder="1" applyAlignment="1">
      <alignment horizontal="center" vertical="top"/>
    </xf>
    <xf numFmtId="49" fontId="2" fillId="7" borderId="19" xfId="0" applyNumberFormat="1" applyFont="1" applyFill="1" applyBorder="1" applyAlignment="1">
      <alignment horizontal="center" vertical="top" textRotation="90"/>
    </xf>
    <xf numFmtId="49" fontId="2" fillId="7" borderId="27" xfId="0" applyNumberFormat="1" applyFont="1" applyFill="1" applyBorder="1" applyAlignment="1">
      <alignment horizontal="center" vertical="top" textRotation="90"/>
    </xf>
    <xf numFmtId="49" fontId="2" fillId="7" borderId="45" xfId="0" applyNumberFormat="1" applyFont="1" applyFill="1" applyBorder="1" applyAlignment="1">
      <alignment horizontal="center" vertical="top"/>
    </xf>
    <xf numFmtId="49" fontId="2" fillId="7" borderId="34" xfId="0" applyNumberFormat="1" applyFont="1" applyFill="1" applyBorder="1" applyAlignment="1">
      <alignment horizontal="center" vertical="top"/>
    </xf>
    <xf numFmtId="165" fontId="6" fillId="7" borderId="26" xfId="0" applyNumberFormat="1" applyFont="1" applyFill="1" applyBorder="1" applyAlignment="1">
      <alignment vertical="top" wrapText="1"/>
    </xf>
    <xf numFmtId="0" fontId="0" fillId="0" borderId="10" xfId="0" applyBorder="1" applyAlignment="1">
      <alignment horizontal="center" wrapText="1"/>
    </xf>
    <xf numFmtId="0" fontId="0" fillId="0" borderId="78" xfId="0" applyBorder="1" applyAlignment="1">
      <alignment horizontal="center" vertical="top" wrapText="1"/>
    </xf>
    <xf numFmtId="165" fontId="13" fillId="7" borderId="26" xfId="0" applyNumberFormat="1" applyFont="1" applyFill="1" applyBorder="1" applyAlignment="1">
      <alignment horizontal="center" vertical="top" wrapText="1"/>
    </xf>
    <xf numFmtId="165" fontId="1" fillId="12" borderId="19" xfId="0" applyNumberFormat="1" applyFont="1" applyFill="1" applyBorder="1" applyAlignment="1">
      <alignment horizontal="center" vertical="center" textRotation="90" wrapText="1"/>
    </xf>
    <xf numFmtId="165" fontId="1" fillId="12" borderId="10" xfId="0" applyNumberFormat="1" applyFont="1" applyFill="1" applyBorder="1" applyAlignment="1">
      <alignment horizontal="center" vertical="center" textRotation="90" wrapText="1"/>
    </xf>
    <xf numFmtId="165" fontId="30" fillId="7" borderId="19" xfId="0" applyNumberFormat="1" applyFont="1" applyFill="1" applyBorder="1" applyAlignment="1">
      <alignment horizontal="center" vertical="center" textRotation="90" wrapText="1"/>
    </xf>
    <xf numFmtId="0" fontId="32" fillId="0" borderId="10" xfId="0" applyFont="1" applyBorder="1" applyAlignment="1">
      <alignment horizontal="center" vertical="center" wrapText="1"/>
    </xf>
    <xf numFmtId="0" fontId="32" fillId="0" borderId="27" xfId="0" applyFont="1" applyBorder="1" applyAlignment="1">
      <alignment horizontal="center" vertical="center" wrapText="1"/>
    </xf>
    <xf numFmtId="0" fontId="31" fillId="7" borderId="10" xfId="0" applyFont="1" applyFill="1" applyBorder="1" applyAlignment="1">
      <alignment vertical="top" wrapText="1"/>
    </xf>
    <xf numFmtId="0" fontId="31" fillId="7" borderId="27" xfId="0" applyFont="1" applyFill="1" applyBorder="1" applyAlignment="1">
      <alignment vertical="top" wrapText="1"/>
    </xf>
    <xf numFmtId="0" fontId="6" fillId="0" borderId="77" xfId="0" applyFont="1" applyBorder="1" applyAlignment="1">
      <alignment vertical="top" wrapText="1"/>
    </xf>
    <xf numFmtId="0" fontId="1" fillId="0" borderId="0" xfId="0" applyFont="1" applyAlignment="1">
      <alignment horizontal="right" wrapText="1"/>
    </xf>
    <xf numFmtId="0" fontId="6" fillId="0" borderId="0" xfId="0" applyFont="1" applyAlignment="1">
      <alignment horizontal="right"/>
    </xf>
    <xf numFmtId="49" fontId="2" fillId="0" borderId="24" xfId="0" applyNumberFormat="1" applyFont="1" applyBorder="1" applyAlignment="1">
      <alignment horizontal="center" vertical="top" textRotation="90" shrinkToFit="1"/>
    </xf>
    <xf numFmtId="49" fontId="2" fillId="0" borderId="10" xfId="0" applyNumberFormat="1" applyFont="1" applyBorder="1" applyAlignment="1">
      <alignment horizontal="center" vertical="top" textRotation="90" shrinkToFit="1"/>
    </xf>
    <xf numFmtId="49" fontId="2" fillId="0" borderId="29" xfId="0" applyNumberFormat="1" applyFont="1" applyBorder="1" applyAlignment="1">
      <alignment horizontal="center" vertical="top" textRotation="90" shrinkToFit="1"/>
    </xf>
    <xf numFmtId="3" fontId="1" fillId="0" borderId="25" xfId="0" applyNumberFormat="1" applyFont="1" applyFill="1" applyBorder="1" applyAlignment="1">
      <alignment horizontal="center" vertical="center" textRotation="90" wrapText="1" shrinkToFit="1"/>
    </xf>
    <xf numFmtId="3" fontId="1" fillId="0" borderId="17" xfId="0" applyNumberFormat="1" applyFont="1" applyFill="1" applyBorder="1" applyAlignment="1">
      <alignment horizontal="center" vertical="center" textRotation="90" wrapText="1" shrinkToFit="1"/>
    </xf>
    <xf numFmtId="3" fontId="1" fillId="0" borderId="30" xfId="0" applyNumberFormat="1" applyFont="1" applyFill="1" applyBorder="1" applyAlignment="1">
      <alignment horizontal="center" vertical="center" textRotation="90" wrapText="1" shrinkToFit="1"/>
    </xf>
    <xf numFmtId="49" fontId="1" fillId="8" borderId="19" xfId="0" applyNumberFormat="1" applyFont="1" applyFill="1" applyBorder="1" applyAlignment="1">
      <alignment horizontal="center" vertical="center" textRotation="90" wrapText="1"/>
    </xf>
    <xf numFmtId="0" fontId="6" fillId="8" borderId="10" xfId="0" applyFont="1" applyFill="1" applyBorder="1" applyAlignment="1">
      <alignment horizontal="center" vertical="center" textRotation="90" wrapText="1"/>
    </xf>
    <xf numFmtId="0" fontId="6" fillId="8" borderId="27" xfId="0" applyFont="1" applyFill="1" applyBorder="1" applyAlignment="1">
      <alignment horizontal="center" vertical="center" textRotation="90" wrapText="1"/>
    </xf>
    <xf numFmtId="165" fontId="1" fillId="0" borderId="44" xfId="0" applyNumberFormat="1" applyFont="1" applyFill="1" applyBorder="1" applyAlignment="1">
      <alignment horizontal="left" vertical="top" wrapText="1"/>
    </xf>
    <xf numFmtId="165" fontId="1" fillId="0" borderId="18" xfId="0" applyNumberFormat="1" applyFont="1" applyFill="1" applyBorder="1" applyAlignment="1">
      <alignment horizontal="left" vertical="top" wrapText="1"/>
    </xf>
    <xf numFmtId="0" fontId="6" fillId="0" borderId="33" xfId="0" applyFont="1" applyBorder="1" applyAlignment="1">
      <alignment horizontal="left" vertical="top" wrapText="1"/>
    </xf>
    <xf numFmtId="0" fontId="6" fillId="0" borderId="61" xfId="0" applyFont="1" applyBorder="1" applyAlignment="1">
      <alignment horizontal="left" vertical="top" wrapText="1"/>
    </xf>
    <xf numFmtId="3" fontId="1" fillId="0" borderId="19" xfId="0" applyNumberFormat="1" applyFont="1" applyFill="1" applyBorder="1" applyAlignment="1">
      <alignment horizontal="center" vertical="top"/>
    </xf>
    <xf numFmtId="3" fontId="1" fillId="0" borderId="27" xfId="0" applyNumberFormat="1" applyFont="1" applyFill="1" applyBorder="1" applyAlignment="1">
      <alignment horizontal="center" vertical="top"/>
    </xf>
    <xf numFmtId="1" fontId="1" fillId="7" borderId="47" xfId="0" applyNumberFormat="1" applyFont="1" applyFill="1" applyBorder="1" applyAlignment="1">
      <alignment horizontal="center" vertical="top" wrapText="1"/>
    </xf>
    <xf numFmtId="1" fontId="6" fillId="0" borderId="47" xfId="0" applyNumberFormat="1" applyFont="1" applyBorder="1" applyAlignment="1">
      <alignment horizontal="center" vertical="top" wrapText="1"/>
    </xf>
    <xf numFmtId="1" fontId="6" fillId="0" borderId="34" xfId="0" applyNumberFormat="1" applyFont="1" applyBorder="1" applyAlignment="1">
      <alignment horizontal="center" vertical="top" wrapText="1"/>
    </xf>
    <xf numFmtId="165" fontId="6" fillId="7" borderId="28" xfId="0" applyNumberFormat="1" applyFont="1" applyFill="1" applyBorder="1" applyAlignment="1">
      <alignment vertical="top" wrapText="1"/>
    </xf>
    <xf numFmtId="165" fontId="1" fillId="7" borderId="48" xfId="0" applyNumberFormat="1" applyFont="1" applyFill="1" applyBorder="1" applyAlignment="1">
      <alignment vertical="top" wrapText="1"/>
    </xf>
    <xf numFmtId="0" fontId="1" fillId="7" borderId="96" xfId="0" applyFont="1" applyFill="1" applyBorder="1" applyAlignment="1">
      <alignment horizontal="left" vertical="top" wrapText="1"/>
    </xf>
    <xf numFmtId="165" fontId="2" fillId="12" borderId="27" xfId="0" applyNumberFormat="1" applyFont="1" applyFill="1" applyBorder="1" applyAlignment="1">
      <alignment horizontal="center" vertical="top" wrapText="1"/>
    </xf>
    <xf numFmtId="3" fontId="1" fillId="7" borderId="20"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0" fontId="0" fillId="0" borderId="10" xfId="0" applyBorder="1" applyAlignment="1">
      <alignment vertical="top" wrapText="1"/>
    </xf>
    <xf numFmtId="0" fontId="0" fillId="0" borderId="27" xfId="0" applyBorder="1" applyAlignment="1">
      <alignment vertical="top" wrapText="1"/>
    </xf>
    <xf numFmtId="3" fontId="1" fillId="7" borderId="45"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0" fontId="0" fillId="7" borderId="10" xfId="0" applyFill="1" applyBorder="1" applyAlignment="1">
      <alignment horizontal="center" vertical="center" textRotation="90" wrapText="1"/>
    </xf>
    <xf numFmtId="0" fontId="13" fillId="7" borderId="39" xfId="0" applyFont="1" applyFill="1" applyBorder="1" applyAlignment="1">
      <alignment vertical="top" wrapText="1"/>
    </xf>
    <xf numFmtId="0" fontId="13" fillId="7" borderId="46" xfId="0" applyFont="1" applyFill="1" applyBorder="1" applyAlignment="1">
      <alignment vertical="top" wrapText="1"/>
    </xf>
    <xf numFmtId="0" fontId="31" fillId="7" borderId="46" xfId="0" applyFont="1" applyFill="1" applyBorder="1" applyAlignment="1">
      <alignment vertical="top" wrapText="1"/>
    </xf>
    <xf numFmtId="3" fontId="13" fillId="7" borderId="4" xfId="0" applyNumberFormat="1" applyFont="1" applyFill="1" applyBorder="1" applyAlignment="1">
      <alignment horizontal="left" vertical="top" wrapText="1"/>
    </xf>
    <xf numFmtId="3" fontId="13" fillId="7" borderId="6" xfId="0" applyNumberFormat="1" applyFont="1" applyFill="1" applyBorder="1" applyAlignment="1">
      <alignment horizontal="left" vertical="top" wrapText="1"/>
    </xf>
    <xf numFmtId="0" fontId="6" fillId="7" borderId="6" xfId="0" applyFont="1" applyFill="1" applyBorder="1" applyAlignment="1">
      <alignment vertical="top" wrapText="1"/>
    </xf>
    <xf numFmtId="3" fontId="1" fillId="7" borderId="19"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13" fillId="7" borderId="17" xfId="0" applyNumberFormat="1" applyFont="1" applyFill="1" applyBorder="1" applyAlignment="1">
      <alignment horizontal="center" vertical="center" wrapText="1"/>
    </xf>
    <xf numFmtId="0" fontId="0" fillId="0" borderId="6" xfId="0" applyBorder="1" applyAlignment="1">
      <alignment vertical="top" wrapText="1"/>
    </xf>
  </cellXfs>
  <cellStyles count="4">
    <cellStyle name="Excel Built-in Normal" xfId="3"/>
    <cellStyle name="Įprastas" xfId="0" builtinId="0"/>
    <cellStyle name="Įprastas 2" xfId="2"/>
    <cellStyle name="Kablelis" xfId="1" builtinId="3"/>
  </cellStyles>
  <dxfs count="0"/>
  <tableStyles count="0" defaultTableStyle="TableStyleMedium2" defaultPivotStyle="PivotStyleLight16"/>
  <colors>
    <mruColors>
      <color rgb="FFFFFFCC"/>
      <color rgb="FFCCFFCC"/>
      <color rgb="FF99FF99"/>
      <color rgb="FFE9C9C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56"/>
  <sheetViews>
    <sheetView tabSelected="1" zoomScaleNormal="100" zoomScaleSheetLayoutView="100" workbookViewId="0">
      <selection activeCell="V11" sqref="V11"/>
    </sheetView>
  </sheetViews>
  <sheetFormatPr defaultRowHeight="12.75" x14ac:dyDescent="0.2"/>
  <cols>
    <col min="1" max="3" width="2.7109375" style="2" customWidth="1"/>
    <col min="4" max="4" width="39.5703125" style="2" customWidth="1"/>
    <col min="5" max="5" width="4.42578125" style="960" customWidth="1"/>
    <col min="6" max="6" width="8.85546875" style="3" customWidth="1"/>
    <col min="7" max="9" width="9" style="2" customWidth="1"/>
    <col min="10" max="10" width="39.85546875" style="2" customWidth="1"/>
    <col min="11" max="12" width="4.7109375" style="2" customWidth="1"/>
    <col min="13" max="13" width="5.28515625" style="2" customWidth="1"/>
    <col min="14" max="14" width="6.28515625" style="1" customWidth="1"/>
    <col min="15" max="15" width="11.140625" style="1" customWidth="1"/>
    <col min="16" max="19" width="9.140625" style="1"/>
    <col min="20" max="20" width="8.7109375" style="1" customWidth="1"/>
    <col min="21" max="16384" width="9.140625" style="1"/>
  </cols>
  <sheetData>
    <row r="1" spans="1:34" s="95" customFormat="1" ht="34.5" customHeight="1" x14ac:dyDescent="0.25">
      <c r="B1" s="248"/>
      <c r="C1" s="248"/>
      <c r="D1" s="248"/>
      <c r="E1" s="248"/>
      <c r="J1" s="1515" t="s">
        <v>221</v>
      </c>
      <c r="K1" s="1515"/>
      <c r="L1" s="1515"/>
      <c r="M1" s="1515"/>
      <c r="N1" s="248"/>
      <c r="O1" s="248"/>
      <c r="P1" s="248"/>
      <c r="Q1" s="248"/>
      <c r="R1" s="248"/>
      <c r="S1" s="248"/>
      <c r="T1" s="248"/>
      <c r="U1" s="248"/>
      <c r="V1" s="248"/>
      <c r="W1" s="248"/>
      <c r="X1" s="248"/>
      <c r="Y1" s="248"/>
      <c r="Z1" s="248"/>
      <c r="AA1" s="248"/>
      <c r="AB1" s="248"/>
      <c r="AC1" s="248"/>
      <c r="AD1" s="248"/>
      <c r="AE1" s="248"/>
      <c r="AF1" s="248"/>
      <c r="AG1" s="248"/>
      <c r="AH1" s="248"/>
    </row>
    <row r="2" spans="1:34" s="95" customFormat="1" ht="15.75" customHeight="1" x14ac:dyDescent="0.25">
      <c r="B2" s="248"/>
      <c r="C2" s="248"/>
      <c r="D2" s="248"/>
      <c r="E2" s="248"/>
      <c r="J2" s="969" t="s">
        <v>212</v>
      </c>
      <c r="K2" s="969"/>
      <c r="L2" s="969"/>
      <c r="M2" s="969"/>
      <c r="N2" s="248"/>
      <c r="O2" s="248"/>
      <c r="P2" s="248"/>
      <c r="Q2" s="248"/>
      <c r="R2" s="248"/>
      <c r="S2" s="248"/>
      <c r="T2" s="248"/>
      <c r="U2" s="248"/>
      <c r="V2" s="248"/>
      <c r="W2" s="248"/>
      <c r="X2" s="248"/>
      <c r="Y2" s="248"/>
      <c r="Z2" s="248"/>
      <c r="AA2" s="248"/>
      <c r="AB2" s="248"/>
      <c r="AC2" s="248"/>
      <c r="AD2" s="248"/>
      <c r="AE2" s="248"/>
      <c r="AF2" s="248"/>
      <c r="AG2" s="248"/>
      <c r="AH2" s="248"/>
    </row>
    <row r="3" spans="1:34" s="95" customFormat="1" ht="12.75" customHeight="1" x14ac:dyDescent="0.25">
      <c r="B3" s="248"/>
      <c r="C3" s="248"/>
      <c r="D3" s="248"/>
      <c r="E3" s="248"/>
      <c r="J3" s="383"/>
      <c r="K3" s="383"/>
      <c r="L3" s="383"/>
      <c r="M3" s="383"/>
      <c r="N3" s="248"/>
      <c r="O3" s="248"/>
      <c r="P3" s="248"/>
      <c r="Q3" s="248"/>
      <c r="R3" s="248"/>
      <c r="S3" s="248"/>
      <c r="T3" s="248"/>
      <c r="U3" s="248"/>
      <c r="V3" s="248"/>
      <c r="W3" s="248"/>
      <c r="X3" s="248"/>
      <c r="Y3" s="248"/>
      <c r="Z3" s="248"/>
      <c r="AA3" s="248"/>
      <c r="AB3" s="248"/>
      <c r="AC3" s="248"/>
      <c r="AD3" s="248"/>
      <c r="AE3" s="248"/>
      <c r="AF3" s="248"/>
      <c r="AG3" s="248"/>
      <c r="AH3" s="248"/>
    </row>
    <row r="4" spans="1:34" s="95" customFormat="1" ht="13.5" customHeight="1" x14ac:dyDescent="0.25">
      <c r="B4" s="248"/>
      <c r="C4" s="248"/>
      <c r="D4" s="248"/>
      <c r="E4" s="248"/>
      <c r="J4" s="383"/>
      <c r="K4" s="383"/>
      <c r="L4" s="383"/>
      <c r="M4" s="383"/>
      <c r="N4" s="248"/>
      <c r="O4" s="248"/>
      <c r="P4" s="248"/>
      <c r="Q4" s="248"/>
      <c r="R4" s="248"/>
      <c r="S4" s="248"/>
      <c r="T4" s="248"/>
      <c r="U4" s="248"/>
      <c r="V4" s="248"/>
      <c r="W4" s="248"/>
      <c r="X4" s="248"/>
      <c r="Y4" s="248"/>
      <c r="Z4" s="248"/>
      <c r="AA4" s="248"/>
      <c r="AB4" s="248"/>
      <c r="AC4" s="248"/>
      <c r="AD4" s="248"/>
      <c r="AE4" s="248"/>
      <c r="AF4" s="248"/>
      <c r="AG4" s="248"/>
      <c r="AH4" s="248"/>
    </row>
    <row r="5" spans="1:34" s="24" customFormat="1" ht="15" x14ac:dyDescent="0.2">
      <c r="A5" s="1305" t="s">
        <v>342</v>
      </c>
      <c r="B5" s="1305"/>
      <c r="C5" s="1305"/>
      <c r="D5" s="1305"/>
      <c r="E5" s="1305"/>
      <c r="F5" s="1305"/>
      <c r="G5" s="1305"/>
      <c r="H5" s="1305"/>
      <c r="I5" s="1305"/>
      <c r="J5" s="1305"/>
      <c r="K5" s="1305"/>
      <c r="L5" s="1305"/>
      <c r="M5" s="1305"/>
    </row>
    <row r="6" spans="1:34" ht="15.75" customHeight="1" x14ac:dyDescent="0.2">
      <c r="A6" s="1306" t="s">
        <v>27</v>
      </c>
      <c r="B6" s="1306"/>
      <c r="C6" s="1306"/>
      <c r="D6" s="1306"/>
      <c r="E6" s="1306"/>
      <c r="F6" s="1306"/>
      <c r="G6" s="1306"/>
      <c r="H6" s="1306"/>
      <c r="I6" s="1306"/>
      <c r="J6" s="1306"/>
      <c r="K6" s="1306"/>
      <c r="L6" s="1306"/>
      <c r="M6" s="1306"/>
    </row>
    <row r="7" spans="1:34" ht="15" customHeight="1" x14ac:dyDescent="0.2">
      <c r="A7" s="1307" t="s">
        <v>16</v>
      </c>
      <c r="B7" s="1307"/>
      <c r="C7" s="1307"/>
      <c r="D7" s="1307"/>
      <c r="E7" s="1307"/>
      <c r="F7" s="1307"/>
      <c r="G7" s="1307"/>
      <c r="H7" s="1307"/>
      <c r="I7" s="1307"/>
      <c r="J7" s="1307"/>
      <c r="K7" s="1307"/>
      <c r="L7" s="1307"/>
      <c r="M7" s="1307"/>
    </row>
    <row r="8" spans="1:34" ht="15" customHeight="1" thickBot="1" x14ac:dyDescent="0.25">
      <c r="A8" s="11"/>
      <c r="B8" s="11"/>
      <c r="C8" s="11"/>
      <c r="D8" s="11"/>
      <c r="E8" s="771"/>
      <c r="F8" s="137"/>
      <c r="G8" s="11"/>
      <c r="H8" s="11"/>
      <c r="I8" s="11"/>
      <c r="J8" s="1308" t="s">
        <v>86</v>
      </c>
      <c r="K8" s="1308"/>
      <c r="L8" s="1308"/>
      <c r="M8" s="1309"/>
    </row>
    <row r="9" spans="1:34" s="24" customFormat="1" ht="30" customHeight="1" x14ac:dyDescent="0.2">
      <c r="A9" s="1310" t="s">
        <v>17</v>
      </c>
      <c r="B9" s="1313" t="s">
        <v>0</v>
      </c>
      <c r="C9" s="1313" t="s">
        <v>1</v>
      </c>
      <c r="D9" s="1316" t="s">
        <v>11</v>
      </c>
      <c r="E9" s="1349" t="s">
        <v>2</v>
      </c>
      <c r="F9" s="1352" t="s">
        <v>3</v>
      </c>
      <c r="G9" s="1333" t="s">
        <v>243</v>
      </c>
      <c r="H9" s="1333" t="s">
        <v>168</v>
      </c>
      <c r="I9" s="1333" t="s">
        <v>244</v>
      </c>
      <c r="J9" s="1336" t="s">
        <v>10</v>
      </c>
      <c r="K9" s="1337"/>
      <c r="L9" s="1337"/>
      <c r="M9" s="1338"/>
    </row>
    <row r="10" spans="1:34" s="24" customFormat="1" ht="18.75" customHeight="1" x14ac:dyDescent="0.2">
      <c r="A10" s="1311"/>
      <c r="B10" s="1314"/>
      <c r="C10" s="1314"/>
      <c r="D10" s="1317"/>
      <c r="E10" s="1350"/>
      <c r="F10" s="1353"/>
      <c r="G10" s="1334"/>
      <c r="H10" s="1334"/>
      <c r="I10" s="1334"/>
      <c r="J10" s="1339" t="s">
        <v>11</v>
      </c>
      <c r="K10" s="1341" t="s">
        <v>75</v>
      </c>
      <c r="L10" s="1341"/>
      <c r="M10" s="1342"/>
    </row>
    <row r="11" spans="1:34" s="24" customFormat="1" ht="66.75" customHeight="1" thickBot="1" x14ac:dyDescent="0.25">
      <c r="A11" s="1312"/>
      <c r="B11" s="1315"/>
      <c r="C11" s="1315"/>
      <c r="D11" s="1318"/>
      <c r="E11" s="1351"/>
      <c r="F11" s="1354"/>
      <c r="G11" s="1335"/>
      <c r="H11" s="1335"/>
      <c r="I11" s="1335"/>
      <c r="J11" s="1340"/>
      <c r="K11" s="96" t="s">
        <v>125</v>
      </c>
      <c r="L11" s="96" t="s">
        <v>169</v>
      </c>
      <c r="M11" s="97" t="s">
        <v>242</v>
      </c>
    </row>
    <row r="12" spans="1:34" s="7" customFormat="1" ht="14.25" customHeight="1" x14ac:dyDescent="0.2">
      <c r="A12" s="1343" t="s">
        <v>55</v>
      </c>
      <c r="B12" s="1344"/>
      <c r="C12" s="1344"/>
      <c r="D12" s="1344"/>
      <c r="E12" s="1344"/>
      <c r="F12" s="1344"/>
      <c r="G12" s="1344"/>
      <c r="H12" s="1344"/>
      <c r="I12" s="1344"/>
      <c r="J12" s="1344"/>
      <c r="K12" s="1344"/>
      <c r="L12" s="1344"/>
      <c r="M12" s="1345"/>
    </row>
    <row r="13" spans="1:34" s="7" customFormat="1" ht="14.25" customHeight="1" x14ac:dyDescent="0.2">
      <c r="A13" s="1346" t="s">
        <v>24</v>
      </c>
      <c r="B13" s="1347"/>
      <c r="C13" s="1347"/>
      <c r="D13" s="1347"/>
      <c r="E13" s="1347"/>
      <c r="F13" s="1347"/>
      <c r="G13" s="1347"/>
      <c r="H13" s="1347"/>
      <c r="I13" s="1347"/>
      <c r="J13" s="1347"/>
      <c r="K13" s="1347"/>
      <c r="L13" s="1347"/>
      <c r="M13" s="1348"/>
    </row>
    <row r="14" spans="1:34" ht="16.5" customHeight="1" x14ac:dyDescent="0.2">
      <c r="A14" s="13" t="s">
        <v>4</v>
      </c>
      <c r="B14" s="1319" t="s">
        <v>28</v>
      </c>
      <c r="C14" s="1320"/>
      <c r="D14" s="1320"/>
      <c r="E14" s="1320"/>
      <c r="F14" s="1320"/>
      <c r="G14" s="1320"/>
      <c r="H14" s="1320"/>
      <c r="I14" s="1320"/>
      <c r="J14" s="1320"/>
      <c r="K14" s="1320"/>
      <c r="L14" s="1320"/>
      <c r="M14" s="1321"/>
    </row>
    <row r="15" spans="1:34" ht="15" customHeight="1" x14ac:dyDescent="0.2">
      <c r="A15" s="136" t="s">
        <v>4</v>
      </c>
      <c r="B15" s="9" t="s">
        <v>4</v>
      </c>
      <c r="C15" s="1322" t="s">
        <v>322</v>
      </c>
      <c r="D15" s="1323"/>
      <c r="E15" s="1323"/>
      <c r="F15" s="1323"/>
      <c r="G15" s="1323"/>
      <c r="H15" s="1323"/>
      <c r="I15" s="1323"/>
      <c r="J15" s="1323"/>
      <c r="K15" s="1323"/>
      <c r="L15" s="1323"/>
      <c r="M15" s="1324"/>
    </row>
    <row r="16" spans="1:34" ht="13.5" customHeight="1" x14ac:dyDescent="0.2">
      <c r="A16" s="1078" t="s">
        <v>4</v>
      </c>
      <c r="B16" s="1080" t="s">
        <v>4</v>
      </c>
      <c r="C16" s="1075" t="s">
        <v>4</v>
      </c>
      <c r="D16" s="1325" t="s">
        <v>266</v>
      </c>
      <c r="E16" s="982" t="s">
        <v>44</v>
      </c>
      <c r="F16" s="379" t="s">
        <v>23</v>
      </c>
      <c r="G16" s="399">
        <f>3411.5+88.8</f>
        <v>3500.3</v>
      </c>
      <c r="H16" s="238">
        <v>9281.9</v>
      </c>
      <c r="I16" s="238">
        <v>4329.7</v>
      </c>
      <c r="J16" s="178"/>
      <c r="K16" s="454"/>
      <c r="L16" s="455"/>
      <c r="M16" s="618"/>
    </row>
    <row r="17" spans="1:13" ht="13.5" customHeight="1" x14ac:dyDescent="0.2">
      <c r="A17" s="1078"/>
      <c r="B17" s="1107"/>
      <c r="C17" s="1075"/>
      <c r="D17" s="1326"/>
      <c r="E17" s="982" t="s">
        <v>291</v>
      </c>
      <c r="F17" s="622" t="s">
        <v>54</v>
      </c>
      <c r="G17" s="416">
        <f>1657.5+165</f>
        <v>1822.5</v>
      </c>
      <c r="H17" s="39">
        <v>0</v>
      </c>
      <c r="I17" s="39">
        <v>0</v>
      </c>
      <c r="J17" s="178"/>
      <c r="K17" s="179"/>
      <c r="L17" s="180"/>
      <c r="M17" s="181"/>
    </row>
    <row r="18" spans="1:13" ht="13.5" customHeight="1" x14ac:dyDescent="0.2">
      <c r="A18" s="1078"/>
      <c r="B18" s="1107"/>
      <c r="C18" s="1075"/>
      <c r="D18" s="1326"/>
      <c r="E18" s="979"/>
      <c r="F18" s="987" t="s">
        <v>78</v>
      </c>
      <c r="G18" s="40">
        <v>744.1</v>
      </c>
      <c r="H18" s="41">
        <v>0</v>
      </c>
      <c r="I18" s="41">
        <v>0</v>
      </c>
      <c r="J18" s="178"/>
      <c r="K18" s="179"/>
      <c r="L18" s="180"/>
      <c r="M18" s="181"/>
    </row>
    <row r="19" spans="1:13" ht="13.5" customHeight="1" x14ac:dyDescent="0.2">
      <c r="A19" s="1078"/>
      <c r="B19" s="1107"/>
      <c r="C19" s="1075"/>
      <c r="D19" s="1326"/>
      <c r="E19" s="979"/>
      <c r="F19" s="622" t="s">
        <v>79</v>
      </c>
      <c r="G19" s="416">
        <v>5116.5</v>
      </c>
      <c r="H19" s="39">
        <v>5083.3</v>
      </c>
      <c r="I19" s="39">
        <f>5467.9+100</f>
        <v>5567.9</v>
      </c>
      <c r="J19" s="178"/>
      <c r="K19" s="179"/>
      <c r="L19" s="180"/>
      <c r="M19" s="181"/>
    </row>
    <row r="20" spans="1:13" ht="13.5" customHeight="1" x14ac:dyDescent="0.2">
      <c r="A20" s="1078"/>
      <c r="B20" s="1107"/>
      <c r="C20" s="1075"/>
      <c r="D20" s="616"/>
      <c r="E20" s="979"/>
      <c r="F20" s="39" t="s">
        <v>62</v>
      </c>
      <c r="G20" s="416">
        <v>0</v>
      </c>
      <c r="H20" s="39">
        <v>0</v>
      </c>
      <c r="I20" s="39">
        <v>0</v>
      </c>
      <c r="J20" s="178"/>
      <c r="K20" s="179"/>
      <c r="L20" s="180"/>
      <c r="M20" s="181"/>
    </row>
    <row r="21" spans="1:13" ht="13.5" customHeight="1" x14ac:dyDescent="0.2">
      <c r="A21" s="1078"/>
      <c r="B21" s="1107"/>
      <c r="C21" s="1075"/>
      <c r="D21" s="616"/>
      <c r="E21" s="979"/>
      <c r="F21" s="41" t="s">
        <v>65</v>
      </c>
      <c r="G21" s="414">
        <v>84.3</v>
      </c>
      <c r="H21" s="43">
        <v>0</v>
      </c>
      <c r="I21" s="43">
        <v>0</v>
      </c>
      <c r="J21" s="178"/>
      <c r="K21" s="179"/>
      <c r="L21" s="180"/>
      <c r="M21" s="181"/>
    </row>
    <row r="22" spans="1:13" ht="13.5" customHeight="1" x14ac:dyDescent="0.2">
      <c r="A22" s="1078"/>
      <c r="B22" s="1107"/>
      <c r="C22" s="1075"/>
      <c r="D22" s="616"/>
      <c r="E22" s="979"/>
      <c r="F22" s="622" t="s">
        <v>167</v>
      </c>
      <c r="G22" s="416">
        <v>1003.7</v>
      </c>
      <c r="H22" s="39">
        <v>430.2</v>
      </c>
      <c r="I22" s="39">
        <v>0</v>
      </c>
      <c r="J22" s="178"/>
      <c r="K22" s="179"/>
      <c r="L22" s="180"/>
      <c r="M22" s="181"/>
    </row>
    <row r="23" spans="1:13" ht="13.5" customHeight="1" x14ac:dyDescent="0.2">
      <c r="A23" s="1180"/>
      <c r="B23" s="1182"/>
      <c r="C23" s="1179"/>
      <c r="D23" s="616"/>
      <c r="E23" s="979"/>
      <c r="F23" s="622" t="s">
        <v>367</v>
      </c>
      <c r="G23" s="414">
        <v>5000</v>
      </c>
      <c r="H23" s="43">
        <v>5000</v>
      </c>
      <c r="I23" s="43"/>
      <c r="J23" s="178"/>
      <c r="K23" s="179"/>
      <c r="L23" s="180"/>
      <c r="M23" s="181"/>
    </row>
    <row r="24" spans="1:13" ht="13.5" customHeight="1" x14ac:dyDescent="0.2">
      <c r="A24" s="1078"/>
      <c r="B24" s="1107"/>
      <c r="C24" s="1075"/>
      <c r="D24" s="616"/>
      <c r="E24" s="979"/>
      <c r="F24" s="622" t="s">
        <v>41</v>
      </c>
      <c r="G24" s="414">
        <v>291.60000000000002</v>
      </c>
      <c r="H24" s="43">
        <v>2207.3000000000002</v>
      </c>
      <c r="I24" s="43">
        <v>1339.6</v>
      </c>
      <c r="J24" s="178"/>
      <c r="K24" s="179"/>
      <c r="L24" s="180"/>
      <c r="M24" s="181"/>
    </row>
    <row r="25" spans="1:13" ht="13.5" customHeight="1" x14ac:dyDescent="0.2">
      <c r="A25" s="1078"/>
      <c r="B25" s="1107"/>
      <c r="C25" s="1075"/>
      <c r="D25" s="616"/>
      <c r="E25" s="979"/>
      <c r="F25" s="622" t="s">
        <v>45</v>
      </c>
      <c r="G25" s="416">
        <v>1542</v>
      </c>
      <c r="H25" s="39">
        <v>0</v>
      </c>
      <c r="I25" s="39">
        <v>0</v>
      </c>
      <c r="J25" s="178"/>
      <c r="K25" s="179"/>
      <c r="L25" s="180"/>
      <c r="M25" s="181"/>
    </row>
    <row r="26" spans="1:13" ht="13.5" customHeight="1" x14ac:dyDescent="0.2">
      <c r="A26" s="1078"/>
      <c r="B26" s="1107"/>
      <c r="C26" s="1075"/>
      <c r="D26" s="616"/>
      <c r="E26" s="979"/>
      <c r="F26" s="987" t="s">
        <v>178</v>
      </c>
      <c r="G26" s="40">
        <f>1000</f>
        <v>1000</v>
      </c>
      <c r="H26" s="41">
        <f>6350</f>
        <v>6350</v>
      </c>
      <c r="I26" s="41">
        <v>13015.1</v>
      </c>
      <c r="J26" s="178"/>
      <c r="K26" s="179"/>
      <c r="L26" s="180"/>
      <c r="M26" s="181"/>
    </row>
    <row r="27" spans="1:13" ht="13.5" customHeight="1" x14ac:dyDescent="0.2">
      <c r="A27" s="1078"/>
      <c r="B27" s="1107"/>
      <c r="C27" s="1075"/>
      <c r="D27" s="616"/>
      <c r="E27" s="979"/>
      <c r="F27" s="622" t="s">
        <v>42</v>
      </c>
      <c r="G27" s="416">
        <f>100.2+4.9</f>
        <v>105.1</v>
      </c>
      <c r="H27" s="325">
        <v>114.2</v>
      </c>
      <c r="I27" s="325">
        <v>60</v>
      </c>
      <c r="J27" s="661"/>
      <c r="K27" s="663"/>
      <c r="L27" s="663"/>
      <c r="M27" s="181"/>
    </row>
    <row r="28" spans="1:13" ht="13.5" customHeight="1" x14ac:dyDescent="0.2">
      <c r="A28" s="1059"/>
      <c r="B28" s="1106"/>
      <c r="C28" s="1061"/>
      <c r="D28" s="1327" t="s">
        <v>101</v>
      </c>
      <c r="E28" s="1329" t="s">
        <v>292</v>
      </c>
      <c r="F28" s="375"/>
      <c r="G28" s="73"/>
      <c r="H28" s="41"/>
      <c r="I28" s="41"/>
      <c r="J28" s="442" t="s">
        <v>43</v>
      </c>
      <c r="K28" s="1118">
        <v>1</v>
      </c>
      <c r="L28" s="1089"/>
      <c r="M28" s="1114"/>
    </row>
    <row r="29" spans="1:13" ht="13.5" customHeight="1" x14ac:dyDescent="0.2">
      <c r="A29" s="1059"/>
      <c r="B29" s="1106"/>
      <c r="C29" s="1061"/>
      <c r="D29" s="1328"/>
      <c r="E29" s="1330"/>
      <c r="F29" s="42"/>
      <c r="G29" s="61"/>
      <c r="H29" s="41"/>
      <c r="I29" s="41"/>
      <c r="J29" s="1331" t="s">
        <v>174</v>
      </c>
      <c r="K29" s="246">
        <v>15</v>
      </c>
      <c r="L29" s="246">
        <v>45</v>
      </c>
      <c r="M29" s="120">
        <v>85</v>
      </c>
    </row>
    <row r="30" spans="1:13" ht="13.5" customHeight="1" x14ac:dyDescent="0.2">
      <c r="A30" s="1059"/>
      <c r="B30" s="1106"/>
      <c r="C30" s="1061"/>
      <c r="D30" s="1328"/>
      <c r="E30" s="1330"/>
      <c r="F30" s="41"/>
      <c r="G30" s="40"/>
      <c r="H30" s="41"/>
      <c r="I30" s="41"/>
      <c r="J30" s="1332"/>
      <c r="K30" s="301"/>
      <c r="L30" s="191"/>
      <c r="M30" s="309"/>
    </row>
    <row r="31" spans="1:13" ht="27" customHeight="1" x14ac:dyDescent="0.2">
      <c r="A31" s="1059"/>
      <c r="B31" s="1106"/>
      <c r="C31" s="1061"/>
      <c r="D31" s="1094" t="s">
        <v>345</v>
      </c>
      <c r="E31" s="1002"/>
      <c r="F31" s="46"/>
      <c r="G31" s="360"/>
      <c r="H31" s="46"/>
      <c r="I31" s="46"/>
      <c r="J31" s="991" t="s">
        <v>280</v>
      </c>
      <c r="K31" s="17">
        <v>50</v>
      </c>
      <c r="L31" s="100">
        <v>100</v>
      </c>
      <c r="M31" s="18"/>
    </row>
    <row r="32" spans="1:13" ht="27" customHeight="1" x14ac:dyDescent="0.2">
      <c r="A32" s="1059"/>
      <c r="B32" s="1106"/>
      <c r="C32" s="1061"/>
      <c r="D32" s="1095"/>
      <c r="E32" s="1003"/>
      <c r="F32" s="43"/>
      <c r="G32" s="74"/>
      <c r="H32" s="43"/>
      <c r="I32" s="43"/>
      <c r="J32" s="389" t="s">
        <v>281</v>
      </c>
      <c r="K32" s="301">
        <v>100</v>
      </c>
      <c r="L32" s="191"/>
      <c r="M32" s="309"/>
    </row>
    <row r="33" spans="1:13" ht="15" customHeight="1" x14ac:dyDescent="0.2">
      <c r="A33" s="1355"/>
      <c r="B33" s="1356"/>
      <c r="C33" s="1357"/>
      <c r="D33" s="1384" t="s">
        <v>196</v>
      </c>
      <c r="E33" s="982" t="s">
        <v>291</v>
      </c>
      <c r="F33" s="1112"/>
      <c r="G33" s="73"/>
      <c r="H33" s="766"/>
      <c r="I33" s="1112"/>
      <c r="J33" s="1372"/>
      <c r="K33" s="1117"/>
      <c r="L33" s="1116"/>
      <c r="M33" s="1114"/>
    </row>
    <row r="34" spans="1:13" ht="15" customHeight="1" x14ac:dyDescent="0.2">
      <c r="A34" s="1355"/>
      <c r="B34" s="1356"/>
      <c r="C34" s="1357"/>
      <c r="D34" s="1392"/>
      <c r="E34" s="1122"/>
      <c r="F34" s="41"/>
      <c r="G34" s="184"/>
      <c r="H34" s="443"/>
      <c r="I34" s="42"/>
      <c r="J34" s="1373"/>
      <c r="K34" s="1089"/>
      <c r="L34" s="1089"/>
      <c r="M34" s="1115"/>
    </row>
    <row r="35" spans="1:13" ht="11.25" customHeight="1" x14ac:dyDescent="0.2">
      <c r="A35" s="1355"/>
      <c r="B35" s="1356"/>
      <c r="C35" s="1357"/>
      <c r="D35" s="1445"/>
      <c r="E35" s="1122"/>
      <c r="F35" s="41"/>
      <c r="G35" s="61"/>
      <c r="H35" s="41"/>
      <c r="I35" s="41"/>
      <c r="J35" s="1070"/>
      <c r="K35" s="1089"/>
      <c r="L35" s="1089"/>
      <c r="M35" s="1115"/>
    </row>
    <row r="36" spans="1:13" ht="25.5" customHeight="1" x14ac:dyDescent="0.2">
      <c r="A36" s="1355"/>
      <c r="B36" s="1356"/>
      <c r="C36" s="1357"/>
      <c r="D36" s="233" t="s">
        <v>115</v>
      </c>
      <c r="E36" s="988"/>
      <c r="F36" s="39"/>
      <c r="G36" s="114"/>
      <c r="H36" s="39"/>
      <c r="I36" s="39"/>
      <c r="J36" s="52" t="s">
        <v>138</v>
      </c>
      <c r="K36" s="100">
        <v>100</v>
      </c>
      <c r="L36" s="100"/>
      <c r="M36" s="18"/>
    </row>
    <row r="37" spans="1:13" ht="27" customHeight="1" x14ac:dyDescent="0.2">
      <c r="A37" s="1355"/>
      <c r="B37" s="1356"/>
      <c r="C37" s="1357"/>
      <c r="D37" s="1103" t="s">
        <v>97</v>
      </c>
      <c r="E37" s="1120"/>
      <c r="F37" s="1113"/>
      <c r="G37" s="93"/>
      <c r="H37" s="1113"/>
      <c r="I37" s="1113"/>
      <c r="J37" s="1121" t="s">
        <v>139</v>
      </c>
      <c r="K37" s="32">
        <v>50</v>
      </c>
      <c r="L37" s="32">
        <v>100</v>
      </c>
      <c r="M37" s="16"/>
    </row>
    <row r="38" spans="1:13" ht="18" customHeight="1" x14ac:dyDescent="0.2">
      <c r="A38" s="1059"/>
      <c r="B38" s="1106"/>
      <c r="C38" s="1061"/>
      <c r="D38" s="1327" t="s">
        <v>156</v>
      </c>
      <c r="E38" s="980"/>
      <c r="F38" s="41"/>
      <c r="G38" s="61"/>
      <c r="H38" s="41"/>
      <c r="I38" s="41"/>
      <c r="J38" s="1375" t="s">
        <v>160</v>
      </c>
      <c r="K38" s="310">
        <v>85</v>
      </c>
      <c r="L38" s="485">
        <v>100</v>
      </c>
      <c r="M38" s="317"/>
    </row>
    <row r="39" spans="1:13" ht="15" customHeight="1" x14ac:dyDescent="0.2">
      <c r="A39" s="1059"/>
      <c r="B39" s="1106"/>
      <c r="C39" s="1061"/>
      <c r="D39" s="1374"/>
      <c r="E39" s="981"/>
      <c r="F39" s="1113"/>
      <c r="G39" s="93"/>
      <c r="H39" s="1113"/>
      <c r="I39" s="1113"/>
      <c r="J39" s="1376"/>
      <c r="K39" s="286"/>
      <c r="L39" s="99"/>
      <c r="M39" s="20"/>
    </row>
    <row r="40" spans="1:13" ht="15.75" customHeight="1" x14ac:dyDescent="0.2">
      <c r="A40" s="1355"/>
      <c r="B40" s="1378"/>
      <c r="C40" s="1357"/>
      <c r="D40" s="1384" t="s">
        <v>153</v>
      </c>
      <c r="E40" s="982" t="s">
        <v>291</v>
      </c>
      <c r="F40" s="1112"/>
      <c r="G40" s="73"/>
      <c r="H40" s="1112"/>
      <c r="I40" s="1112"/>
      <c r="J40" s="1072" t="s">
        <v>126</v>
      </c>
      <c r="K40" s="292">
        <v>100</v>
      </c>
      <c r="L40" s="292"/>
      <c r="M40" s="232"/>
    </row>
    <row r="41" spans="1:13" ht="15" customHeight="1" x14ac:dyDescent="0.2">
      <c r="A41" s="1355"/>
      <c r="B41" s="1378"/>
      <c r="C41" s="1357"/>
      <c r="D41" s="1385"/>
      <c r="E41" s="989"/>
      <c r="F41" s="376"/>
      <c r="G41" s="93"/>
      <c r="H41" s="1113"/>
      <c r="I41" s="1113"/>
      <c r="J41" s="220"/>
      <c r="K41" s="293"/>
      <c r="L41" s="293"/>
      <c r="M41" s="162"/>
    </row>
    <row r="42" spans="1:13" ht="41.25" customHeight="1" x14ac:dyDescent="0.2">
      <c r="A42" s="1078"/>
      <c r="B42" s="1080"/>
      <c r="C42" s="1362" t="s">
        <v>241</v>
      </c>
      <c r="D42" s="1365" t="s">
        <v>164</v>
      </c>
      <c r="E42" s="990" t="s">
        <v>291</v>
      </c>
      <c r="F42" s="1112"/>
      <c r="G42" s="73"/>
      <c r="H42" s="1112"/>
      <c r="I42" s="1112"/>
      <c r="J42" s="1096" t="s">
        <v>285</v>
      </c>
      <c r="K42" s="465" t="s">
        <v>49</v>
      </c>
      <c r="L42" s="1124"/>
      <c r="M42" s="225"/>
    </row>
    <row r="43" spans="1:13" ht="26.25" customHeight="1" x14ac:dyDescent="0.2">
      <c r="A43" s="1078"/>
      <c r="B43" s="1080"/>
      <c r="C43" s="1363"/>
      <c r="D43" s="1366"/>
      <c r="E43" s="1368" t="s">
        <v>344</v>
      </c>
      <c r="F43" s="41"/>
      <c r="G43" s="61"/>
      <c r="H43" s="41"/>
      <c r="I43" s="41"/>
      <c r="J43" s="991" t="s">
        <v>286</v>
      </c>
      <c r="K43" s="420" t="s">
        <v>49</v>
      </c>
      <c r="L43" s="613"/>
      <c r="M43" s="402"/>
    </row>
    <row r="44" spans="1:13" ht="28.5" customHeight="1" x14ac:dyDescent="0.2">
      <c r="A44" s="1078"/>
      <c r="B44" s="1107"/>
      <c r="C44" s="1363"/>
      <c r="D44" s="1367"/>
      <c r="E44" s="1369"/>
      <c r="F44" s="1113"/>
      <c r="G44" s="93"/>
      <c r="H44" s="1113"/>
      <c r="I44" s="1113"/>
      <c r="J44" s="123" t="s">
        <v>176</v>
      </c>
      <c r="K44" s="242" t="s">
        <v>40</v>
      </c>
      <c r="L44" s="1125" t="s">
        <v>234</v>
      </c>
      <c r="M44" s="228" t="s">
        <v>235</v>
      </c>
    </row>
    <row r="45" spans="1:13" ht="13.5" customHeight="1" x14ac:dyDescent="0.2">
      <c r="A45" s="1059"/>
      <c r="B45" s="1106"/>
      <c r="C45" s="1363"/>
      <c r="D45" s="1366" t="s">
        <v>240</v>
      </c>
      <c r="E45" s="1370" t="s">
        <v>291</v>
      </c>
      <c r="F45" s="41"/>
      <c r="G45" s="70"/>
      <c r="H45" s="41"/>
      <c r="I45" s="41"/>
      <c r="J45" s="438" t="s">
        <v>111</v>
      </c>
      <c r="K45" s="774"/>
      <c r="L45" s="775" t="s">
        <v>234</v>
      </c>
      <c r="M45" s="765" t="s">
        <v>235</v>
      </c>
    </row>
    <row r="46" spans="1:13" ht="14.25" customHeight="1" x14ac:dyDescent="0.2">
      <c r="A46" s="1059"/>
      <c r="B46" s="1106"/>
      <c r="C46" s="1364"/>
      <c r="D46" s="1366"/>
      <c r="E46" s="1371"/>
      <c r="F46" s="1113"/>
      <c r="G46" s="71"/>
      <c r="H46" s="1113"/>
      <c r="I46" s="1113"/>
      <c r="J46" s="441"/>
      <c r="K46" s="436"/>
      <c r="L46" s="437"/>
      <c r="M46" s="490"/>
    </row>
    <row r="47" spans="1:13" ht="13.5" customHeight="1" x14ac:dyDescent="0.2">
      <c r="A47" s="1377"/>
      <c r="B47" s="1378"/>
      <c r="C47" s="1379" t="s">
        <v>306</v>
      </c>
      <c r="D47" s="1327" t="s">
        <v>52</v>
      </c>
      <c r="E47" s="982" t="s">
        <v>291</v>
      </c>
      <c r="F47" s="1112"/>
      <c r="G47" s="73"/>
      <c r="H47" s="1112"/>
      <c r="I47" s="1112"/>
      <c r="J47" s="1372" t="s">
        <v>112</v>
      </c>
      <c r="K47" s="285">
        <v>35</v>
      </c>
      <c r="L47" s="396">
        <v>90</v>
      </c>
      <c r="M47" s="393">
        <v>100</v>
      </c>
    </row>
    <row r="48" spans="1:13" ht="17.25" customHeight="1" x14ac:dyDescent="0.2">
      <c r="A48" s="1377"/>
      <c r="B48" s="1378"/>
      <c r="C48" s="1380"/>
      <c r="D48" s="1328"/>
      <c r="E48" s="966"/>
      <c r="F48" s="1113"/>
      <c r="G48" s="106"/>
      <c r="H48" s="1113"/>
      <c r="I48" s="1113"/>
      <c r="J48" s="1402"/>
      <c r="K48" s="286"/>
      <c r="L48" s="99"/>
      <c r="M48" s="20"/>
    </row>
    <row r="49" spans="1:13" ht="16.5" customHeight="1" x14ac:dyDescent="0.2">
      <c r="A49" s="1377"/>
      <c r="B49" s="1378"/>
      <c r="C49" s="1380"/>
      <c r="D49" s="1365" t="s">
        <v>152</v>
      </c>
      <c r="E49" s="992" t="s">
        <v>291</v>
      </c>
      <c r="F49" s="1112"/>
      <c r="G49" s="73"/>
      <c r="H49" s="1112"/>
      <c r="I49" s="1112"/>
      <c r="J49" s="1358" t="s">
        <v>136</v>
      </c>
      <c r="K49" s="285">
        <v>40</v>
      </c>
      <c r="L49" s="396">
        <v>100</v>
      </c>
      <c r="M49" s="393"/>
    </row>
    <row r="50" spans="1:13" ht="12.75" customHeight="1" x14ac:dyDescent="0.2">
      <c r="A50" s="1377"/>
      <c r="B50" s="1378"/>
      <c r="C50" s="1380"/>
      <c r="D50" s="1366"/>
      <c r="E50" s="1360"/>
      <c r="F50" s="41"/>
      <c r="G50" s="61"/>
      <c r="H50" s="41"/>
      <c r="I50" s="41"/>
      <c r="J50" s="1359"/>
      <c r="K50" s="284"/>
      <c r="L50" s="397"/>
      <c r="M50" s="332"/>
    </row>
    <row r="51" spans="1:13" ht="54.75" customHeight="1" x14ac:dyDescent="0.2">
      <c r="A51" s="1377"/>
      <c r="B51" s="1378"/>
      <c r="C51" s="1381"/>
      <c r="D51" s="1367"/>
      <c r="E51" s="1361"/>
      <c r="F51" s="380"/>
      <c r="G51" s="93"/>
      <c r="H51" s="1113"/>
      <c r="I51" s="1113"/>
      <c r="J51" s="447" t="s">
        <v>137</v>
      </c>
      <c r="K51" s="448"/>
      <c r="L51" s="448"/>
      <c r="M51" s="449" t="s">
        <v>175</v>
      </c>
    </row>
    <row r="52" spans="1:13" ht="15" customHeight="1" x14ac:dyDescent="0.2">
      <c r="A52" s="1059"/>
      <c r="B52" s="1106"/>
      <c r="C52" s="966"/>
      <c r="D52" s="1392" t="s">
        <v>279</v>
      </c>
      <c r="E52" s="979" t="s">
        <v>291</v>
      </c>
      <c r="F52" s="41"/>
      <c r="G52" s="61"/>
      <c r="H52" s="41"/>
      <c r="I52" s="41"/>
      <c r="J52" s="1375" t="s">
        <v>111</v>
      </c>
      <c r="K52" s="1088">
        <v>75</v>
      </c>
      <c r="L52" s="1089">
        <v>100</v>
      </c>
      <c r="M52" s="1115"/>
    </row>
    <row r="53" spans="1:13" ht="17.25" customHeight="1" x14ac:dyDescent="0.2">
      <c r="A53" s="1059"/>
      <c r="B53" s="1106"/>
      <c r="C53" s="966"/>
      <c r="D53" s="1392"/>
      <c r="E53" s="1122"/>
      <c r="F53" s="41"/>
      <c r="G53" s="61"/>
      <c r="H53" s="41"/>
      <c r="I53" s="41"/>
      <c r="J53" s="1375"/>
      <c r="K53" s="1088"/>
      <c r="L53" s="1089"/>
      <c r="M53" s="1115"/>
    </row>
    <row r="54" spans="1:13" ht="21" customHeight="1" x14ac:dyDescent="0.2">
      <c r="A54" s="1059"/>
      <c r="B54" s="1106"/>
      <c r="C54" s="1061"/>
      <c r="D54" s="1393"/>
      <c r="E54" s="1120"/>
      <c r="F54" s="376"/>
      <c r="G54" s="93"/>
      <c r="H54" s="1113"/>
      <c r="I54" s="1113"/>
      <c r="J54" s="1091"/>
      <c r="K54" s="164"/>
      <c r="L54" s="32"/>
      <c r="M54" s="16"/>
    </row>
    <row r="55" spans="1:13" ht="13.5" customHeight="1" x14ac:dyDescent="0.2">
      <c r="A55" s="1059"/>
      <c r="B55" s="1060"/>
      <c r="C55" s="60"/>
      <c r="D55" s="1328" t="s">
        <v>278</v>
      </c>
      <c r="E55" s="1389"/>
      <c r="F55" s="41"/>
      <c r="G55" s="61"/>
      <c r="H55" s="41"/>
      <c r="I55" s="41"/>
      <c r="J55" s="1375" t="s">
        <v>386</v>
      </c>
      <c r="K55" s="260"/>
      <c r="L55" s="428">
        <v>1</v>
      </c>
      <c r="M55" s="177"/>
    </row>
    <row r="56" spans="1:13" ht="12.75" customHeight="1" x14ac:dyDescent="0.2">
      <c r="A56" s="1059"/>
      <c r="B56" s="1060"/>
      <c r="C56" s="60"/>
      <c r="D56" s="1328"/>
      <c r="E56" s="1390"/>
      <c r="F56" s="41"/>
      <c r="G56" s="61"/>
      <c r="H56" s="41"/>
      <c r="I56" s="41"/>
      <c r="J56" s="1391"/>
      <c r="K56" s="260"/>
      <c r="L56" s="260"/>
      <c r="M56" s="177"/>
    </row>
    <row r="57" spans="1:13" ht="7.5" customHeight="1" x14ac:dyDescent="0.2">
      <c r="A57" s="1059"/>
      <c r="B57" s="1106"/>
      <c r="C57" s="1061"/>
      <c r="D57" s="1103"/>
      <c r="E57" s="1120"/>
      <c r="F57" s="444"/>
      <c r="G57" s="61"/>
      <c r="H57" s="41"/>
      <c r="I57" s="41"/>
      <c r="J57" s="1091"/>
      <c r="K57" s="164"/>
      <c r="L57" s="32"/>
      <c r="M57" s="16"/>
    </row>
    <row r="58" spans="1:13" ht="14.25" customHeight="1" x14ac:dyDescent="0.2">
      <c r="A58" s="1059"/>
      <c r="B58" s="1106"/>
      <c r="C58" s="1061"/>
      <c r="D58" s="1392" t="s">
        <v>237</v>
      </c>
      <c r="E58" s="979" t="s">
        <v>291</v>
      </c>
      <c r="F58" s="1112"/>
      <c r="G58" s="986"/>
      <c r="H58" s="1112"/>
      <c r="I58" s="1112"/>
      <c r="J58" s="963" t="s">
        <v>74</v>
      </c>
      <c r="K58" s="446">
        <v>1</v>
      </c>
      <c r="L58" s="1089"/>
      <c r="M58" s="1115"/>
    </row>
    <row r="59" spans="1:13" ht="14.25" customHeight="1" x14ac:dyDescent="0.2">
      <c r="A59" s="1059"/>
      <c r="B59" s="1106"/>
      <c r="C59" s="1061"/>
      <c r="D59" s="1392"/>
      <c r="E59" s="1122"/>
      <c r="F59" s="42"/>
      <c r="G59" s="70"/>
      <c r="H59" s="41"/>
      <c r="I59" s="41"/>
      <c r="J59" s="1072" t="s">
        <v>288</v>
      </c>
      <c r="K59" s="1088">
        <v>30</v>
      </c>
      <c r="L59" s="1089">
        <v>60</v>
      </c>
      <c r="M59" s="1115">
        <v>100</v>
      </c>
    </row>
    <row r="60" spans="1:13" ht="6" customHeight="1" x14ac:dyDescent="0.2">
      <c r="A60" s="1059"/>
      <c r="B60" s="1106"/>
      <c r="C60" s="1061"/>
      <c r="D60" s="1392"/>
      <c r="E60" s="1122"/>
      <c r="F60" s="376"/>
      <c r="G60" s="93"/>
      <c r="H60" s="1113"/>
      <c r="I60" s="1113"/>
      <c r="J60" s="14"/>
      <c r="K60" s="164"/>
      <c r="L60" s="32"/>
      <c r="M60" s="16"/>
    </row>
    <row r="61" spans="1:13" ht="28.5" customHeight="1" x14ac:dyDescent="0.2">
      <c r="A61" s="1105"/>
      <c r="B61" s="1060"/>
      <c r="C61" s="128"/>
      <c r="D61" s="1382" t="s">
        <v>387</v>
      </c>
      <c r="E61" s="982"/>
      <c r="F61" s="1112"/>
      <c r="G61" s="118"/>
      <c r="H61" s="1112"/>
      <c r="I61" s="1112"/>
      <c r="J61" s="135" t="s">
        <v>290</v>
      </c>
      <c r="K61" s="170">
        <v>70</v>
      </c>
      <c r="L61" s="295">
        <v>100</v>
      </c>
      <c r="M61" s="171"/>
    </row>
    <row r="62" spans="1:13" ht="26.25" customHeight="1" x14ac:dyDescent="0.2">
      <c r="A62" s="1105"/>
      <c r="B62" s="1060"/>
      <c r="C62" s="128"/>
      <c r="D62" s="1383"/>
      <c r="E62" s="985"/>
      <c r="F62" s="41"/>
      <c r="G62" s="40"/>
      <c r="H62" s="241"/>
      <c r="I62" s="241"/>
      <c r="J62" s="1119" t="s">
        <v>289</v>
      </c>
      <c r="K62" s="168">
        <v>70</v>
      </c>
      <c r="L62" s="100">
        <v>100</v>
      </c>
      <c r="M62" s="18"/>
    </row>
    <row r="63" spans="1:13" ht="15.75" customHeight="1" x14ac:dyDescent="0.2">
      <c r="A63" s="1105"/>
      <c r="B63" s="1060"/>
      <c r="C63" s="128"/>
      <c r="D63" s="1067"/>
      <c r="E63" s="985"/>
      <c r="F63" s="41"/>
      <c r="G63" s="40"/>
      <c r="H63" s="241"/>
      <c r="I63" s="41"/>
      <c r="J63" s="1375" t="s">
        <v>336</v>
      </c>
      <c r="K63" s="372"/>
      <c r="L63" s="246"/>
      <c r="M63" s="120">
        <v>50</v>
      </c>
    </row>
    <row r="64" spans="1:13" ht="12" customHeight="1" x14ac:dyDescent="0.2">
      <c r="A64" s="1105"/>
      <c r="B64" s="1060"/>
      <c r="C64" s="128"/>
      <c r="D64" s="1126"/>
      <c r="E64" s="996"/>
      <c r="F64" s="1113"/>
      <c r="G64" s="106"/>
      <c r="H64" s="1113"/>
      <c r="I64" s="1113"/>
      <c r="J64" s="1386"/>
      <c r="K64" s="164"/>
      <c r="L64" s="32"/>
      <c r="M64" s="16"/>
    </row>
    <row r="65" spans="1:15" ht="14.25" customHeight="1" x14ac:dyDescent="0.2">
      <c r="A65" s="1059"/>
      <c r="B65" s="1106"/>
      <c r="C65" s="1061"/>
      <c r="D65" s="1295" t="s">
        <v>166</v>
      </c>
      <c r="E65" s="983"/>
      <c r="F65" s="41"/>
      <c r="G65" s="61"/>
      <c r="H65" s="41"/>
      <c r="I65" s="41"/>
      <c r="J65" s="442" t="s">
        <v>43</v>
      </c>
      <c r="K65" s="1257">
        <v>1</v>
      </c>
      <c r="L65" s="207"/>
      <c r="M65" s="177"/>
    </row>
    <row r="66" spans="1:15" ht="27.75" customHeight="1" x14ac:dyDescent="0.2">
      <c r="A66" s="1059"/>
      <c r="B66" s="1106"/>
      <c r="C66" s="1061"/>
      <c r="D66" s="1300"/>
      <c r="E66" s="984"/>
      <c r="F66" s="1113"/>
      <c r="G66" s="919"/>
      <c r="H66" s="319"/>
      <c r="I66" s="1113"/>
      <c r="J66" s="447" t="s">
        <v>411</v>
      </c>
      <c r="K66" s="1264"/>
      <c r="L66" s="1263"/>
      <c r="M66" s="1265">
        <v>10</v>
      </c>
    </row>
    <row r="67" spans="1:15" ht="15" customHeight="1" x14ac:dyDescent="0.2">
      <c r="A67" s="1059"/>
      <c r="B67" s="1106"/>
      <c r="C67" s="1061"/>
      <c r="D67" s="1384" t="s">
        <v>388</v>
      </c>
      <c r="E67" s="1329"/>
      <c r="F67" s="1112"/>
      <c r="G67" s="986"/>
      <c r="H67" s="1112"/>
      <c r="I67" s="409"/>
      <c r="J67" s="429" t="s">
        <v>74</v>
      </c>
      <c r="K67" s="446">
        <v>1</v>
      </c>
      <c r="L67" s="1089"/>
      <c r="M67" s="899"/>
    </row>
    <row r="68" spans="1:15" ht="17.25" customHeight="1" x14ac:dyDescent="0.2">
      <c r="A68" s="1059"/>
      <c r="B68" s="1106"/>
      <c r="C68" s="1061"/>
      <c r="D68" s="1385"/>
      <c r="E68" s="1387"/>
      <c r="F68" s="376"/>
      <c r="G68" s="71"/>
      <c r="H68" s="1113"/>
      <c r="I68" s="1113"/>
      <c r="J68" s="1091" t="s">
        <v>323</v>
      </c>
      <c r="K68" s="164"/>
      <c r="L68" s="32">
        <v>100</v>
      </c>
      <c r="M68" s="16"/>
    </row>
    <row r="69" spans="1:15" ht="15.75" customHeight="1" x14ac:dyDescent="0.2">
      <c r="A69" s="1355"/>
      <c r="B69" s="1378"/>
      <c r="C69" s="978"/>
      <c r="D69" s="1400" t="s">
        <v>325</v>
      </c>
      <c r="E69" s="1329" t="s">
        <v>343</v>
      </c>
      <c r="F69" s="379"/>
      <c r="G69" s="73"/>
      <c r="H69" s="1112"/>
      <c r="I69" s="1112"/>
      <c r="J69" s="1358" t="s">
        <v>171</v>
      </c>
      <c r="K69" s="1124" t="s">
        <v>49</v>
      </c>
      <c r="L69" s="1124"/>
      <c r="M69" s="225"/>
    </row>
    <row r="70" spans="1:15" ht="15.75" customHeight="1" x14ac:dyDescent="0.2">
      <c r="A70" s="1355"/>
      <c r="B70" s="1378"/>
      <c r="C70" s="978"/>
      <c r="D70" s="1401"/>
      <c r="E70" s="1387"/>
      <c r="F70" s="380"/>
      <c r="G70" s="93"/>
      <c r="H70" s="1113"/>
      <c r="I70" s="1113"/>
      <c r="J70" s="1388"/>
      <c r="K70" s="1125"/>
      <c r="L70" s="1125"/>
      <c r="M70" s="228"/>
    </row>
    <row r="71" spans="1:15" ht="17.25" customHeight="1" x14ac:dyDescent="0.2">
      <c r="A71" s="1059"/>
      <c r="B71" s="1106"/>
      <c r="C71" s="966"/>
      <c r="D71" s="1328" t="s">
        <v>194</v>
      </c>
      <c r="E71" s="1411" t="s">
        <v>173</v>
      </c>
      <c r="F71" s="42"/>
      <c r="G71" s="61"/>
      <c r="H71" s="143"/>
      <c r="I71" s="143"/>
      <c r="J71" s="1412" t="s">
        <v>43</v>
      </c>
      <c r="K71" s="1088">
        <v>1</v>
      </c>
      <c r="L71" s="1089"/>
      <c r="M71" s="1115"/>
      <c r="N71" s="1394"/>
      <c r="O71" s="34"/>
    </row>
    <row r="72" spans="1:15" ht="17.25" customHeight="1" x14ac:dyDescent="0.2">
      <c r="A72" s="1059"/>
      <c r="B72" s="1106"/>
      <c r="C72" s="966"/>
      <c r="D72" s="1396"/>
      <c r="E72" s="1387"/>
      <c r="F72" s="376"/>
      <c r="G72" s="93"/>
      <c r="H72" s="432"/>
      <c r="I72" s="432"/>
      <c r="J72" s="1408"/>
      <c r="K72" s="660"/>
      <c r="L72" s="32"/>
      <c r="M72" s="16"/>
      <c r="N72" s="1395"/>
    </row>
    <row r="73" spans="1:15" ht="40.5" customHeight="1" x14ac:dyDescent="0.2">
      <c r="A73" s="1355"/>
      <c r="B73" s="1356"/>
      <c r="C73" s="1357"/>
      <c r="D73" s="1327" t="s">
        <v>177</v>
      </c>
      <c r="E73" s="1397"/>
      <c r="F73" s="379"/>
      <c r="G73" s="73"/>
      <c r="H73" s="1112"/>
      <c r="I73" s="1112"/>
      <c r="J73" s="1062" t="s">
        <v>283</v>
      </c>
      <c r="K73" s="664">
        <v>1</v>
      </c>
      <c r="L73" s="1116"/>
      <c r="M73" s="1114"/>
    </row>
    <row r="74" spans="1:15" ht="15.75" customHeight="1" x14ac:dyDescent="0.2">
      <c r="A74" s="1355"/>
      <c r="B74" s="1356"/>
      <c r="C74" s="1357"/>
      <c r="D74" s="1328"/>
      <c r="E74" s="1398"/>
      <c r="F74" s="444"/>
      <c r="G74" s="61"/>
      <c r="H74" s="41"/>
      <c r="I74" s="41"/>
      <c r="J74" s="828" t="s">
        <v>43</v>
      </c>
      <c r="K74" s="168"/>
      <c r="L74" s="100">
        <v>1</v>
      </c>
      <c r="M74" s="18"/>
    </row>
    <row r="75" spans="1:15" ht="21" customHeight="1" x14ac:dyDescent="0.2">
      <c r="A75" s="1355"/>
      <c r="B75" s="1356"/>
      <c r="C75" s="1357"/>
      <c r="D75" s="1328"/>
      <c r="E75" s="1398"/>
      <c r="F75" s="41"/>
      <c r="G75" s="61"/>
      <c r="H75" s="41"/>
      <c r="I75" s="41"/>
      <c r="J75" s="1407" t="s">
        <v>108</v>
      </c>
      <c r="K75" s="1088"/>
      <c r="L75" s="1089"/>
      <c r="M75" s="1115">
        <v>50</v>
      </c>
    </row>
    <row r="76" spans="1:15" ht="18.75" customHeight="1" x14ac:dyDescent="0.2">
      <c r="A76" s="1355"/>
      <c r="B76" s="1356"/>
      <c r="C76" s="1357"/>
      <c r="D76" s="1396"/>
      <c r="E76" s="1399"/>
      <c r="F76" s="376"/>
      <c r="G76" s="93"/>
      <c r="H76" s="1113"/>
      <c r="I76" s="1113"/>
      <c r="J76" s="1408"/>
      <c r="K76" s="164"/>
      <c r="L76" s="32"/>
      <c r="M76" s="16"/>
    </row>
    <row r="77" spans="1:15" ht="23.25" customHeight="1" x14ac:dyDescent="0.2">
      <c r="A77" s="1105"/>
      <c r="B77" s="1080"/>
      <c r="C77" s="128"/>
      <c r="D77" s="1384" t="s">
        <v>105</v>
      </c>
      <c r="E77" s="1409"/>
      <c r="F77" s="41"/>
      <c r="G77" s="40"/>
      <c r="H77" s="41"/>
      <c r="I77" s="41"/>
      <c r="J77" s="1069" t="s">
        <v>349</v>
      </c>
      <c r="K77" s="1116">
        <v>1</v>
      </c>
      <c r="L77" s="1117"/>
      <c r="M77" s="957"/>
      <c r="N77" s="877"/>
    </row>
    <row r="78" spans="1:15" ht="12" customHeight="1" x14ac:dyDescent="0.2">
      <c r="A78" s="1105"/>
      <c r="B78" s="1060"/>
      <c r="C78" s="128"/>
      <c r="D78" s="1385"/>
      <c r="E78" s="1410"/>
      <c r="F78" s="1113"/>
      <c r="G78" s="106"/>
      <c r="H78" s="1113"/>
      <c r="I78" s="1113"/>
      <c r="J78" s="1091"/>
      <c r="K78" s="164"/>
      <c r="L78" s="1058"/>
      <c r="M78" s="958"/>
    </row>
    <row r="79" spans="1:15" ht="23.25" customHeight="1" x14ac:dyDescent="0.2">
      <c r="A79" s="1105"/>
      <c r="B79" s="1080"/>
      <c r="C79" s="128"/>
      <c r="D79" s="1384" t="s">
        <v>158</v>
      </c>
      <c r="E79" s="1409" t="s">
        <v>173</v>
      </c>
      <c r="F79" s="41"/>
      <c r="G79" s="40"/>
      <c r="H79" s="41"/>
      <c r="I79" s="41"/>
      <c r="J79" s="1072" t="s">
        <v>43</v>
      </c>
      <c r="K79" s="1089">
        <v>1</v>
      </c>
      <c r="L79" s="1117"/>
      <c r="M79" s="957"/>
      <c r="N79" s="877"/>
    </row>
    <row r="80" spans="1:15" ht="12" customHeight="1" x14ac:dyDescent="0.2">
      <c r="A80" s="1105"/>
      <c r="B80" s="1060"/>
      <c r="C80" s="128"/>
      <c r="D80" s="1385"/>
      <c r="E80" s="1410"/>
      <c r="F80" s="1113"/>
      <c r="G80" s="106"/>
      <c r="H80" s="1113"/>
      <c r="I80" s="1113"/>
      <c r="J80" s="1091"/>
      <c r="K80" s="164"/>
      <c r="L80" s="1058"/>
      <c r="M80" s="958"/>
    </row>
    <row r="81" spans="1:15" ht="23.25" customHeight="1" x14ac:dyDescent="0.2">
      <c r="A81" s="1105"/>
      <c r="B81" s="1080"/>
      <c r="C81" s="128"/>
      <c r="D81" s="1384" t="s">
        <v>352</v>
      </c>
      <c r="E81" s="1414"/>
      <c r="F81" s="41"/>
      <c r="G81" s="40"/>
      <c r="H81" s="41"/>
      <c r="I81" s="41"/>
      <c r="J81" s="1372" t="s">
        <v>389</v>
      </c>
      <c r="K81" s="1116"/>
      <c r="L81" s="1178">
        <v>100</v>
      </c>
      <c r="M81" s="957"/>
      <c r="N81" s="877"/>
    </row>
    <row r="82" spans="1:15" ht="30" customHeight="1" x14ac:dyDescent="0.2">
      <c r="A82" s="1105"/>
      <c r="B82" s="1060"/>
      <c r="C82" s="128"/>
      <c r="D82" s="1385"/>
      <c r="E82" s="1415"/>
      <c r="F82" s="1113"/>
      <c r="G82" s="106"/>
      <c r="H82" s="1113"/>
      <c r="I82" s="1113"/>
      <c r="J82" s="1402"/>
      <c r="K82" s="164"/>
      <c r="L82" s="1058"/>
      <c r="M82" s="958"/>
    </row>
    <row r="83" spans="1:15" ht="13.5" customHeight="1" x14ac:dyDescent="0.2">
      <c r="A83" s="1059"/>
      <c r="B83" s="1106"/>
      <c r="C83" s="60"/>
      <c r="D83" s="1366" t="s">
        <v>232</v>
      </c>
      <c r="E83" s="996"/>
      <c r="F83" s="41"/>
      <c r="G83" s="61"/>
      <c r="H83" s="41"/>
      <c r="I83" s="41"/>
      <c r="J83" s="1372" t="s">
        <v>106</v>
      </c>
      <c r="K83" s="394">
        <v>100</v>
      </c>
      <c r="L83" s="1116">
        <v>100</v>
      </c>
      <c r="M83" s="1114">
        <v>100</v>
      </c>
    </row>
    <row r="84" spans="1:15" ht="16.5" customHeight="1" x14ac:dyDescent="0.2">
      <c r="A84" s="1059"/>
      <c r="B84" s="1106"/>
      <c r="C84" s="60"/>
      <c r="D84" s="1383"/>
      <c r="E84" s="996"/>
      <c r="F84" s="41"/>
      <c r="G84" s="61"/>
      <c r="H84" s="41"/>
      <c r="I84" s="41"/>
      <c r="J84" s="1375"/>
      <c r="K84" s="1088"/>
      <c r="L84" s="1089"/>
      <c r="M84" s="1115"/>
    </row>
    <row r="85" spans="1:15" s="6" customFormat="1" ht="27" customHeight="1" x14ac:dyDescent="0.2">
      <c r="A85" s="1059"/>
      <c r="B85" s="1106"/>
      <c r="C85" s="1061"/>
      <c r="D85" s="1406"/>
      <c r="E85" s="997"/>
      <c r="F85" s="993"/>
      <c r="G85" s="185"/>
      <c r="H85" s="186"/>
      <c r="I85" s="186"/>
      <c r="J85" s="1413"/>
      <c r="K85" s="451"/>
      <c r="L85" s="685"/>
      <c r="M85" s="452"/>
    </row>
    <row r="86" spans="1:15" ht="15.75" customHeight="1" x14ac:dyDescent="0.2">
      <c r="A86" s="1059"/>
      <c r="B86" s="1060"/>
      <c r="C86" s="998"/>
      <c r="D86" s="1064" t="s">
        <v>337</v>
      </c>
      <c r="E86" s="1092"/>
      <c r="F86" s="41"/>
      <c r="G86" s="41"/>
      <c r="H86" s="41"/>
      <c r="I86" s="41"/>
      <c r="J86" s="1072"/>
      <c r="K86" s="61"/>
      <c r="L86" s="132"/>
      <c r="M86" s="26"/>
    </row>
    <row r="87" spans="1:15" ht="27" customHeight="1" x14ac:dyDescent="0.2">
      <c r="A87" s="1059"/>
      <c r="B87" s="1060"/>
      <c r="C87" s="1403" t="s">
        <v>346</v>
      </c>
      <c r="D87" s="390" t="s">
        <v>390</v>
      </c>
      <c r="E87" s="391"/>
      <c r="F87" s="46"/>
      <c r="G87" s="46"/>
      <c r="H87" s="46"/>
      <c r="I87" s="46"/>
      <c r="J87" s="1090" t="s">
        <v>256</v>
      </c>
      <c r="K87" s="364">
        <v>1</v>
      </c>
      <c r="L87" s="335"/>
      <c r="M87" s="1005"/>
      <c r="N87" s="871"/>
      <c r="O87" s="869"/>
    </row>
    <row r="88" spans="1:15" ht="26.25" customHeight="1" x14ac:dyDescent="0.2">
      <c r="A88" s="1059"/>
      <c r="B88" s="1060"/>
      <c r="C88" s="1403"/>
      <c r="D88" s="390" t="s">
        <v>214</v>
      </c>
      <c r="E88" s="1092"/>
      <c r="F88" s="41"/>
      <c r="G88" s="41"/>
      <c r="H88" s="41"/>
      <c r="I88" s="41"/>
      <c r="J88" s="1072" t="s">
        <v>60</v>
      </c>
      <c r="K88" s="61">
        <v>3.6</v>
      </c>
      <c r="L88" s="132"/>
      <c r="M88" s="26"/>
      <c r="N88" s="1127"/>
      <c r="O88" s="869"/>
    </row>
    <row r="89" spans="1:15" ht="27.75" customHeight="1" x14ac:dyDescent="0.2">
      <c r="A89" s="1059"/>
      <c r="B89" s="1060"/>
      <c r="C89" s="1403"/>
      <c r="D89" s="134" t="s">
        <v>215</v>
      </c>
      <c r="E89" s="1092"/>
      <c r="F89" s="41"/>
      <c r="G89" s="41"/>
      <c r="H89" s="41"/>
      <c r="I89" s="41"/>
      <c r="J89" s="1072"/>
      <c r="K89" s="61"/>
      <c r="L89" s="132"/>
      <c r="M89" s="26"/>
      <c r="N89" s="896"/>
      <c r="O89" s="896"/>
    </row>
    <row r="90" spans="1:15" ht="15" customHeight="1" x14ac:dyDescent="0.2">
      <c r="A90" s="1059"/>
      <c r="B90" s="1060"/>
      <c r="C90" s="1403"/>
      <c r="D90" s="134" t="s">
        <v>255</v>
      </c>
      <c r="E90" s="1092"/>
      <c r="F90" s="41"/>
      <c r="G90" s="41"/>
      <c r="H90" s="41"/>
      <c r="I90" s="41"/>
      <c r="J90" s="1072"/>
      <c r="K90" s="61"/>
      <c r="L90" s="132"/>
      <c r="M90" s="26"/>
      <c r="N90" s="896"/>
      <c r="O90" s="896"/>
    </row>
    <row r="91" spans="1:15" ht="15" customHeight="1" x14ac:dyDescent="0.2">
      <c r="A91" s="1059"/>
      <c r="B91" s="1060"/>
      <c r="C91" s="1403"/>
      <c r="D91" s="134" t="s">
        <v>391</v>
      </c>
      <c r="E91" s="1092"/>
      <c r="F91" s="41"/>
      <c r="G91" s="41"/>
      <c r="H91" s="41"/>
      <c r="I91" s="41"/>
      <c r="J91" s="1072"/>
      <c r="K91" s="61"/>
      <c r="L91" s="132"/>
      <c r="M91" s="26"/>
      <c r="N91" s="896"/>
      <c r="O91" s="896"/>
    </row>
    <row r="92" spans="1:15" ht="26.25" customHeight="1" x14ac:dyDescent="0.2">
      <c r="A92" s="1059"/>
      <c r="B92" s="1060"/>
      <c r="C92" s="1403"/>
      <c r="D92" s="179" t="s">
        <v>392</v>
      </c>
      <c r="E92" s="1092"/>
      <c r="F92" s="41"/>
      <c r="G92" s="41"/>
      <c r="H92" s="41"/>
      <c r="I92" s="41"/>
      <c r="J92" s="1072"/>
      <c r="K92" s="61"/>
      <c r="L92" s="132"/>
      <c r="M92" s="26"/>
    </row>
    <row r="93" spans="1:15" ht="27.75" customHeight="1" x14ac:dyDescent="0.2">
      <c r="A93" s="1059"/>
      <c r="B93" s="1060"/>
      <c r="C93" s="1403"/>
      <c r="D93" s="390" t="s">
        <v>295</v>
      </c>
      <c r="E93" s="1092"/>
      <c r="F93" s="41"/>
      <c r="G93" s="41"/>
      <c r="H93" s="41"/>
      <c r="I93" s="41"/>
      <c r="J93" s="1072"/>
      <c r="K93" s="61"/>
      <c r="L93" s="132"/>
      <c r="M93" s="26"/>
    </row>
    <row r="94" spans="1:15" ht="14.25" customHeight="1" x14ac:dyDescent="0.2">
      <c r="A94" s="1059"/>
      <c r="B94" s="1060"/>
      <c r="C94" s="1404"/>
      <c r="D94" s="1203" t="s">
        <v>132</v>
      </c>
      <c r="E94" s="1092"/>
      <c r="F94" s="1204"/>
      <c r="G94" s="1204"/>
      <c r="H94" s="1204"/>
      <c r="I94" s="1204"/>
      <c r="J94" s="1205"/>
      <c r="K94" s="1206"/>
      <c r="L94" s="1207"/>
      <c r="M94" s="1208"/>
    </row>
    <row r="95" spans="1:15" ht="29.25" customHeight="1" x14ac:dyDescent="0.2">
      <c r="A95" s="1059"/>
      <c r="B95" s="1060"/>
      <c r="C95" s="1403" t="s">
        <v>188</v>
      </c>
      <c r="D95" s="363" t="s">
        <v>258</v>
      </c>
      <c r="E95" s="1092"/>
      <c r="F95" s="41"/>
      <c r="G95" s="41"/>
      <c r="H95" s="41"/>
      <c r="I95" s="41"/>
      <c r="J95" s="1072" t="s">
        <v>350</v>
      </c>
      <c r="K95" s="70"/>
      <c r="L95" s="25">
        <v>3.4</v>
      </c>
      <c r="M95" s="26">
        <v>3.4</v>
      </c>
    </row>
    <row r="96" spans="1:15" ht="18.75" customHeight="1" x14ac:dyDescent="0.2">
      <c r="A96" s="1059"/>
      <c r="B96" s="1060"/>
      <c r="C96" s="1403"/>
      <c r="D96" s="134" t="s">
        <v>398</v>
      </c>
      <c r="E96" s="1092"/>
      <c r="F96" s="41"/>
      <c r="G96" s="41"/>
      <c r="H96" s="41"/>
      <c r="I96" s="41"/>
      <c r="J96" s="1072"/>
      <c r="K96" s="61"/>
      <c r="L96" s="25"/>
      <c r="M96" s="26"/>
    </row>
    <row r="97" spans="1:15" ht="18.75" customHeight="1" x14ac:dyDescent="0.2">
      <c r="A97" s="1059"/>
      <c r="B97" s="1060"/>
      <c r="C97" s="1405"/>
      <c r="D97" s="495" t="s">
        <v>397</v>
      </c>
      <c r="E97" s="1092"/>
      <c r="F97" s="1113"/>
      <c r="G97" s="1113"/>
      <c r="H97" s="1113"/>
      <c r="I97" s="1113"/>
      <c r="J97" s="1091"/>
      <c r="K97" s="93"/>
      <c r="L97" s="27"/>
      <c r="M97" s="29"/>
    </row>
    <row r="98" spans="1:15" ht="26.25" customHeight="1" x14ac:dyDescent="0.2">
      <c r="A98" s="1059"/>
      <c r="B98" s="1060"/>
      <c r="C98" s="128"/>
      <c r="D98" s="1327" t="s">
        <v>81</v>
      </c>
      <c r="E98" s="1076"/>
      <c r="F98" s="1112"/>
      <c r="G98" s="1112"/>
      <c r="H98" s="1112"/>
      <c r="I98" s="1112"/>
      <c r="J98" s="1069" t="s">
        <v>202</v>
      </c>
      <c r="K98" s="339" t="s">
        <v>201</v>
      </c>
      <c r="L98" s="1124" t="s">
        <v>201</v>
      </c>
      <c r="M98" s="1109" t="s">
        <v>201</v>
      </c>
      <c r="N98" s="871"/>
      <c r="O98" s="871"/>
    </row>
    <row r="99" spans="1:15" ht="26.25" customHeight="1" x14ac:dyDescent="0.2">
      <c r="A99" s="1059"/>
      <c r="B99" s="1060"/>
      <c r="C99" s="128"/>
      <c r="D99" s="1328"/>
      <c r="E99" s="1092"/>
      <c r="F99" s="41"/>
      <c r="G99" s="41"/>
      <c r="H99" s="41"/>
      <c r="I99" s="41"/>
      <c r="J99" s="52" t="s">
        <v>37</v>
      </c>
      <c r="K99" s="116" t="s">
        <v>203</v>
      </c>
      <c r="L99" s="613" t="s">
        <v>203</v>
      </c>
      <c r="M99" s="327" t="s">
        <v>203</v>
      </c>
      <c r="N99" s="896"/>
      <c r="O99" s="896"/>
    </row>
    <row r="100" spans="1:15" ht="15.75" customHeight="1" x14ac:dyDescent="0.2">
      <c r="A100" s="1059"/>
      <c r="B100" s="1060"/>
      <c r="C100" s="128"/>
      <c r="D100" s="1328"/>
      <c r="E100" s="1092"/>
      <c r="F100" s="41"/>
      <c r="G100" s="41"/>
      <c r="H100" s="41"/>
      <c r="I100" s="41"/>
      <c r="J100" s="52" t="s">
        <v>59</v>
      </c>
      <c r="K100" s="116" t="s">
        <v>197</v>
      </c>
      <c r="L100" s="613" t="s">
        <v>197</v>
      </c>
      <c r="M100" s="327" t="s">
        <v>197</v>
      </c>
    </row>
    <row r="101" spans="1:15" ht="29.25" customHeight="1" x14ac:dyDescent="0.2">
      <c r="A101" s="1059"/>
      <c r="B101" s="1060"/>
      <c r="C101" s="128"/>
      <c r="D101" s="1396"/>
      <c r="E101" s="1102"/>
      <c r="F101" s="45"/>
      <c r="G101" s="1113"/>
      <c r="H101" s="1113"/>
      <c r="I101" s="1113"/>
      <c r="J101" s="1091" t="s">
        <v>227</v>
      </c>
      <c r="K101" s="242" t="s">
        <v>228</v>
      </c>
      <c r="L101" s="543"/>
      <c r="M101" s="1110"/>
    </row>
    <row r="102" spans="1:15" ht="15" customHeight="1" x14ac:dyDescent="0.2">
      <c r="A102" s="1355"/>
      <c r="B102" s="1378"/>
      <c r="C102" s="1357"/>
      <c r="D102" s="1384" t="s">
        <v>47</v>
      </c>
      <c r="E102" s="1092"/>
      <c r="F102" s="41"/>
      <c r="G102" s="41"/>
      <c r="H102" s="41"/>
      <c r="I102" s="41"/>
      <c r="J102" s="1372" t="s">
        <v>199</v>
      </c>
      <c r="K102" s="339" t="s">
        <v>198</v>
      </c>
      <c r="L102" s="1124" t="s">
        <v>198</v>
      </c>
      <c r="M102" s="225" t="s">
        <v>198</v>
      </c>
    </row>
    <row r="103" spans="1:15" ht="14.25" customHeight="1" x14ac:dyDescent="0.2">
      <c r="A103" s="1355"/>
      <c r="B103" s="1378"/>
      <c r="C103" s="1357"/>
      <c r="D103" s="1385"/>
      <c r="E103" s="1102"/>
      <c r="F103" s="328"/>
      <c r="G103" s="328"/>
      <c r="H103" s="1113"/>
      <c r="I103" s="1113"/>
      <c r="J103" s="1402"/>
      <c r="K103" s="93"/>
      <c r="L103" s="27"/>
      <c r="M103" s="29"/>
    </row>
    <row r="104" spans="1:15" ht="15.75" customHeight="1" x14ac:dyDescent="0.2">
      <c r="A104" s="1355"/>
      <c r="B104" s="1378"/>
      <c r="C104" s="1357"/>
      <c r="D104" s="1417" t="s">
        <v>191</v>
      </c>
      <c r="E104" s="1420"/>
      <c r="F104" s="1112"/>
      <c r="G104" s="1112"/>
      <c r="H104" s="1112"/>
      <c r="I104" s="1112"/>
      <c r="J104" s="403" t="s">
        <v>204</v>
      </c>
      <c r="K104" s="291" t="s">
        <v>261</v>
      </c>
      <c r="L104" s="291" t="s">
        <v>261</v>
      </c>
      <c r="M104" s="249" t="s">
        <v>261</v>
      </c>
      <c r="N104" s="871"/>
      <c r="O104" s="872"/>
    </row>
    <row r="105" spans="1:15" ht="15.75" customHeight="1" x14ac:dyDescent="0.2">
      <c r="A105" s="1355"/>
      <c r="B105" s="1378"/>
      <c r="C105" s="1357"/>
      <c r="D105" s="1418"/>
      <c r="E105" s="1421"/>
      <c r="F105" s="41"/>
      <c r="G105" s="41"/>
      <c r="H105" s="41"/>
      <c r="I105" s="41"/>
      <c r="J105" s="1072" t="s">
        <v>200</v>
      </c>
      <c r="K105" s="698" t="s">
        <v>311</v>
      </c>
      <c r="L105" s="119" t="s">
        <v>261</v>
      </c>
      <c r="M105" s="187" t="s">
        <v>261</v>
      </c>
      <c r="N105" s="871"/>
      <c r="O105" s="871"/>
    </row>
    <row r="106" spans="1:15" ht="5.25" customHeight="1" x14ac:dyDescent="0.2">
      <c r="A106" s="1355"/>
      <c r="B106" s="1378"/>
      <c r="C106" s="1357"/>
      <c r="D106" s="1419"/>
      <c r="E106" s="1422"/>
      <c r="F106" s="41"/>
      <c r="G106" s="41"/>
      <c r="H106" s="41"/>
      <c r="I106" s="41"/>
      <c r="J106" s="1072"/>
      <c r="K106" s="698"/>
      <c r="L106" s="119"/>
      <c r="M106" s="187"/>
      <c r="N106" s="871"/>
      <c r="O106" s="872"/>
    </row>
    <row r="107" spans="1:15" ht="18" customHeight="1" x14ac:dyDescent="0.2">
      <c r="A107" s="1059"/>
      <c r="B107" s="1060"/>
      <c r="C107" s="1061"/>
      <c r="D107" s="1416" t="s">
        <v>80</v>
      </c>
      <c r="E107" s="1092"/>
      <c r="F107" s="1112"/>
      <c r="G107" s="1112"/>
      <c r="H107" s="1112"/>
      <c r="I107" s="1112"/>
      <c r="J107" s="1372" t="s">
        <v>113</v>
      </c>
      <c r="K107" s="394">
        <v>5</v>
      </c>
      <c r="L107" s="961">
        <v>8</v>
      </c>
      <c r="M107" s="962">
        <v>8</v>
      </c>
      <c r="N107" s="435"/>
      <c r="O107" s="435"/>
    </row>
    <row r="108" spans="1:15" ht="16.5" customHeight="1" x14ac:dyDescent="0.2">
      <c r="A108" s="1059"/>
      <c r="B108" s="1060"/>
      <c r="C108" s="1061"/>
      <c r="D108" s="1416"/>
      <c r="E108" s="1092"/>
      <c r="F108" s="1113"/>
      <c r="G108" s="1113"/>
      <c r="H108" s="1113"/>
      <c r="I108" s="1113"/>
      <c r="J108" s="1402"/>
      <c r="K108" s="164"/>
      <c r="L108" s="32"/>
      <c r="M108" s="16"/>
      <c r="N108" s="435"/>
      <c r="O108" s="435"/>
    </row>
    <row r="109" spans="1:15" ht="12" customHeight="1" x14ac:dyDescent="0.2">
      <c r="A109" s="1105"/>
      <c r="B109" s="1060"/>
      <c r="C109" s="966"/>
      <c r="D109" s="1384" t="s">
        <v>36</v>
      </c>
      <c r="E109" s="1083"/>
      <c r="F109" s="38"/>
      <c r="G109" s="41"/>
      <c r="H109" s="41"/>
      <c r="I109" s="41"/>
      <c r="J109" s="1069" t="s">
        <v>190</v>
      </c>
      <c r="K109" s="1088">
        <v>15</v>
      </c>
      <c r="L109" s="1089">
        <v>15</v>
      </c>
      <c r="M109" s="1115">
        <v>15</v>
      </c>
    </row>
    <row r="110" spans="1:15" ht="12.75" customHeight="1" x14ac:dyDescent="0.2">
      <c r="A110" s="1105"/>
      <c r="B110" s="1060"/>
      <c r="C110" s="966"/>
      <c r="D110" s="1385"/>
      <c r="E110" s="1102"/>
      <c r="F110" s="1113"/>
      <c r="G110" s="1113"/>
      <c r="H110" s="53"/>
      <c r="I110" s="53"/>
      <c r="J110" s="1072"/>
      <c r="K110" s="164"/>
      <c r="L110" s="32"/>
      <c r="M110" s="16"/>
    </row>
    <row r="111" spans="1:15" ht="17.25" customHeight="1" x14ac:dyDescent="0.2">
      <c r="A111" s="1105"/>
      <c r="B111" s="1060"/>
      <c r="C111" s="966"/>
      <c r="D111" s="1384" t="s">
        <v>400</v>
      </c>
      <c r="E111" s="366"/>
      <c r="F111" s="375"/>
      <c r="G111" s="1112"/>
      <c r="H111" s="1112"/>
      <c r="I111" s="1112"/>
      <c r="J111" s="484" t="s">
        <v>74</v>
      </c>
      <c r="K111" s="1088">
        <v>1</v>
      </c>
      <c r="L111" s="1089"/>
      <c r="M111" s="1115"/>
    </row>
    <row r="112" spans="1:15" ht="26.25" customHeight="1" x14ac:dyDescent="0.2">
      <c r="A112" s="1105"/>
      <c r="B112" s="1060"/>
      <c r="C112" s="966"/>
      <c r="D112" s="1385"/>
      <c r="E112" s="1102"/>
      <c r="F112" s="376"/>
      <c r="G112" s="1113"/>
      <c r="H112" s="1113"/>
      <c r="I112" s="1113"/>
      <c r="J112" s="14" t="s">
        <v>182</v>
      </c>
      <c r="K112" s="367">
        <v>100</v>
      </c>
      <c r="L112" s="401"/>
      <c r="M112" s="350"/>
    </row>
    <row r="113" spans="1:15" ht="13.5" customHeight="1" x14ac:dyDescent="0.2">
      <c r="A113" s="1105"/>
      <c r="B113" s="1106"/>
      <c r="C113" s="128"/>
      <c r="D113" s="1384" t="s">
        <v>401</v>
      </c>
      <c r="E113" s="366"/>
      <c r="F113" s="379"/>
      <c r="G113" s="1112"/>
      <c r="H113" s="1112"/>
      <c r="I113" s="1112"/>
      <c r="J113" s="546" t="s">
        <v>259</v>
      </c>
      <c r="K113" s="346">
        <v>1</v>
      </c>
      <c r="L113" s="295"/>
      <c r="M113" s="347"/>
      <c r="N113" s="302"/>
    </row>
    <row r="114" spans="1:15" ht="25.5" customHeight="1" x14ac:dyDescent="0.2">
      <c r="A114" s="1105"/>
      <c r="B114" s="1106"/>
      <c r="C114" s="128"/>
      <c r="D114" s="1385"/>
      <c r="E114" s="243"/>
      <c r="F114" s="380"/>
      <c r="G114" s="1113"/>
      <c r="H114" s="1113"/>
      <c r="I114" s="1113"/>
      <c r="J114" s="14" t="s">
        <v>260</v>
      </c>
      <c r="K114" s="367"/>
      <c r="L114" s="32">
        <v>100</v>
      </c>
      <c r="M114" s="16"/>
      <c r="N114" s="496"/>
    </row>
    <row r="115" spans="1:15" ht="17.25" customHeight="1" x14ac:dyDescent="0.2">
      <c r="A115" s="1105"/>
      <c r="B115" s="1060"/>
      <c r="C115" s="1061"/>
      <c r="D115" s="1064" t="s">
        <v>217</v>
      </c>
      <c r="E115" s="366"/>
      <c r="F115" s="359"/>
      <c r="G115" s="360"/>
      <c r="H115" s="1112"/>
      <c r="I115" s="1112"/>
      <c r="J115" s="1098" t="s">
        <v>43</v>
      </c>
      <c r="K115" s="245">
        <v>3</v>
      </c>
      <c r="L115" s="246"/>
      <c r="M115" s="120"/>
      <c r="N115" s="435"/>
      <c r="O115" s="34"/>
    </row>
    <row r="116" spans="1:15" ht="24.75" customHeight="1" x14ac:dyDescent="0.2">
      <c r="A116" s="1078"/>
      <c r="B116" s="1080"/>
      <c r="C116" s="1075"/>
      <c r="D116" s="361" t="s">
        <v>403</v>
      </c>
      <c r="E116" s="1437"/>
      <c r="F116" s="356"/>
      <c r="G116" s="61"/>
      <c r="H116" s="41"/>
      <c r="I116" s="41"/>
      <c r="J116" s="1332" t="s">
        <v>296</v>
      </c>
      <c r="K116" s="433"/>
      <c r="L116" s="427">
        <v>100</v>
      </c>
      <c r="M116" s="369"/>
      <c r="O116" s="34"/>
    </row>
    <row r="117" spans="1:15" ht="15" customHeight="1" x14ac:dyDescent="0.2">
      <c r="A117" s="1078"/>
      <c r="B117" s="1080"/>
      <c r="C117" s="1075"/>
      <c r="D117" s="361" t="s">
        <v>218</v>
      </c>
      <c r="E117" s="1437"/>
      <c r="F117" s="356"/>
      <c r="G117" s="55"/>
      <c r="H117" s="1006"/>
      <c r="I117" s="1006"/>
      <c r="J117" s="1439"/>
      <c r="K117" s="283"/>
      <c r="L117" s="397"/>
      <c r="M117" s="332"/>
    </row>
    <row r="118" spans="1:15" ht="27" customHeight="1" x14ac:dyDescent="0.2">
      <c r="A118" s="1078"/>
      <c r="B118" s="1080"/>
      <c r="C118" s="1075"/>
      <c r="D118" s="1073" t="s">
        <v>219</v>
      </c>
      <c r="E118" s="1438"/>
      <c r="F118" s="357"/>
      <c r="G118" s="93"/>
      <c r="H118" s="319"/>
      <c r="I118" s="41"/>
      <c r="J118" s="14" t="s">
        <v>297</v>
      </c>
      <c r="K118" s="207"/>
      <c r="L118" s="207"/>
      <c r="M118" s="177">
        <v>100</v>
      </c>
    </row>
    <row r="119" spans="1:15" ht="17.25" customHeight="1" x14ac:dyDescent="0.2">
      <c r="A119" s="1105"/>
      <c r="B119" s="1106"/>
      <c r="C119" s="60"/>
      <c r="D119" s="1384" t="s">
        <v>262</v>
      </c>
      <c r="E119" s="366"/>
      <c r="F119" s="379"/>
      <c r="G119" s="1112"/>
      <c r="H119" s="1112"/>
      <c r="I119" s="1112"/>
      <c r="J119" s="484" t="s">
        <v>74</v>
      </c>
      <c r="K119" s="346">
        <v>1</v>
      </c>
      <c r="L119" s="295"/>
      <c r="M119" s="171"/>
      <c r="N119" s="435"/>
    </row>
    <row r="120" spans="1:15" ht="28.5" customHeight="1" x14ac:dyDescent="0.2">
      <c r="A120" s="1105"/>
      <c r="B120" s="1106"/>
      <c r="C120" s="60"/>
      <c r="D120" s="1385"/>
      <c r="E120" s="243"/>
      <c r="F120" s="380"/>
      <c r="G120" s="1113"/>
      <c r="H120" s="1113"/>
      <c r="I120" s="1113"/>
      <c r="J120" s="14" t="s">
        <v>263</v>
      </c>
      <c r="K120" s="367"/>
      <c r="L120" s="32">
        <v>50</v>
      </c>
      <c r="M120" s="16">
        <v>100</v>
      </c>
      <c r="O120" s="34"/>
    </row>
    <row r="121" spans="1:15" ht="16.5" customHeight="1" x14ac:dyDescent="0.2">
      <c r="A121" s="1105"/>
      <c r="B121" s="1106"/>
      <c r="C121" s="60"/>
      <c r="D121" s="1384" t="s">
        <v>264</v>
      </c>
      <c r="E121" s="366"/>
      <c r="F121" s="379"/>
      <c r="G121" s="1112"/>
      <c r="H121" s="54"/>
      <c r="I121" s="1112"/>
      <c r="J121" s="429" t="s">
        <v>265</v>
      </c>
      <c r="K121" s="552">
        <v>10</v>
      </c>
      <c r="L121" s="553">
        <v>10</v>
      </c>
      <c r="M121" s="554">
        <v>10</v>
      </c>
      <c r="O121" s="34"/>
    </row>
    <row r="122" spans="1:15" ht="12.75" customHeight="1" x14ac:dyDescent="0.2">
      <c r="A122" s="1105"/>
      <c r="B122" s="1106"/>
      <c r="C122" s="60"/>
      <c r="D122" s="1385"/>
      <c r="E122" s="243"/>
      <c r="F122" s="30"/>
      <c r="G122" s="1113"/>
      <c r="H122" s="93"/>
      <c r="I122" s="1113"/>
      <c r="J122" s="430"/>
      <c r="K122" s="15"/>
      <c r="L122" s="489"/>
      <c r="M122" s="349"/>
      <c r="O122" s="34"/>
    </row>
    <row r="123" spans="1:15" ht="14.25" customHeight="1" thickBot="1" x14ac:dyDescent="0.25">
      <c r="A123" s="1000"/>
      <c r="B123" s="1001"/>
      <c r="C123" s="999"/>
      <c r="D123" s="601"/>
      <c r="E123" s="602"/>
      <c r="F123" s="108" t="s">
        <v>5</v>
      </c>
      <c r="G123" s="56">
        <f>SUM(G16:G122)</f>
        <v>20210.099999999999</v>
      </c>
      <c r="H123" s="150">
        <f>SUM(H16:H122)</f>
        <v>28466.9</v>
      </c>
      <c r="I123" s="56">
        <f>SUM(I16:I122)</f>
        <v>24312.3</v>
      </c>
      <c r="J123" s="606"/>
      <c r="K123" s="289"/>
      <c r="L123" s="112"/>
      <c r="M123" s="250"/>
    </row>
    <row r="124" spans="1:15" ht="14.25" customHeight="1" thickBot="1" x14ac:dyDescent="0.25">
      <c r="A124" s="47" t="s">
        <v>4</v>
      </c>
      <c r="B124" s="149" t="s">
        <v>4</v>
      </c>
      <c r="C124" s="1430" t="s">
        <v>7</v>
      </c>
      <c r="D124" s="1431"/>
      <c r="E124" s="1431"/>
      <c r="F124" s="1431"/>
      <c r="G124" s="85">
        <f t="shared" ref="G124:I124" si="0">G123</f>
        <v>20210.099999999999</v>
      </c>
      <c r="H124" s="1004">
        <f t="shared" si="0"/>
        <v>28466.9</v>
      </c>
      <c r="I124" s="85">
        <f t="shared" si="0"/>
        <v>24312.3</v>
      </c>
      <c r="J124" s="1086"/>
      <c r="K124" s="965"/>
      <c r="L124" s="1086"/>
      <c r="M124" s="1087"/>
    </row>
    <row r="125" spans="1:15" ht="14.25" customHeight="1" thickBot="1" x14ac:dyDescent="0.25">
      <c r="A125" s="47" t="s">
        <v>4</v>
      </c>
      <c r="B125" s="149" t="s">
        <v>6</v>
      </c>
      <c r="C125" s="1432" t="s">
        <v>29</v>
      </c>
      <c r="D125" s="1432"/>
      <c r="E125" s="1432"/>
      <c r="F125" s="1432"/>
      <c r="G125" s="1433"/>
      <c r="H125" s="1433"/>
      <c r="I125" s="1433"/>
      <c r="J125" s="1432"/>
      <c r="K125" s="1434"/>
      <c r="L125" s="1434"/>
      <c r="M125" s="1435"/>
    </row>
    <row r="126" spans="1:15" ht="12.75" customHeight="1" x14ac:dyDescent="0.2">
      <c r="A126" s="1082" t="s">
        <v>4</v>
      </c>
      <c r="B126" s="148" t="s">
        <v>6</v>
      </c>
      <c r="C126" s="395" t="s">
        <v>4</v>
      </c>
      <c r="D126" s="1440" t="s">
        <v>50</v>
      </c>
      <c r="E126" s="1443" t="s">
        <v>343</v>
      </c>
      <c r="F126" s="111" t="s">
        <v>23</v>
      </c>
      <c r="G126" s="127">
        <v>3489.3</v>
      </c>
      <c r="H126" s="126">
        <v>5773.2</v>
      </c>
      <c r="I126" s="111">
        <v>5913.2</v>
      </c>
      <c r="J126" s="1272"/>
      <c r="K126" s="386"/>
      <c r="L126" s="1007"/>
      <c r="M126" s="387"/>
    </row>
    <row r="127" spans="1:15" ht="12.75" customHeight="1" x14ac:dyDescent="0.2">
      <c r="A127" s="1059"/>
      <c r="B127" s="1106"/>
      <c r="C127" s="1061"/>
      <c r="D127" s="1441"/>
      <c r="E127" s="1368"/>
      <c r="F127" s="41" t="s">
        <v>54</v>
      </c>
      <c r="G127" s="61">
        <v>2001.8</v>
      </c>
      <c r="H127" s="50">
        <v>0</v>
      </c>
      <c r="I127" s="41">
        <v>0</v>
      </c>
      <c r="J127" s="105"/>
      <c r="K127" s="104"/>
      <c r="L127" s="240"/>
      <c r="M127" s="252"/>
    </row>
    <row r="128" spans="1:15" ht="12" customHeight="1" x14ac:dyDescent="0.2">
      <c r="A128" s="1059"/>
      <c r="B128" s="1106"/>
      <c r="C128" s="1061"/>
      <c r="D128" s="1441"/>
      <c r="E128" s="1368"/>
      <c r="F128" s="41" t="s">
        <v>62</v>
      </c>
      <c r="G128" s="61">
        <v>635.70000000000005</v>
      </c>
      <c r="H128" s="50">
        <v>350</v>
      </c>
      <c r="I128" s="41">
        <v>600</v>
      </c>
      <c r="J128" s="105"/>
      <c r="K128" s="104"/>
      <c r="L128" s="240"/>
      <c r="M128" s="252"/>
    </row>
    <row r="129" spans="1:15" ht="9.75" customHeight="1" x14ac:dyDescent="0.2">
      <c r="A129" s="1059"/>
      <c r="B129" s="1106"/>
      <c r="C129" s="1061"/>
      <c r="D129" s="1442"/>
      <c r="E129" s="1209"/>
      <c r="F129" s="41"/>
      <c r="G129" s="61"/>
      <c r="H129" s="50"/>
      <c r="I129" s="41"/>
      <c r="J129" s="105"/>
      <c r="K129" s="104"/>
      <c r="L129" s="240"/>
      <c r="M129" s="252"/>
    </row>
    <row r="130" spans="1:15" ht="14.25" customHeight="1" x14ac:dyDescent="0.2">
      <c r="A130" s="1059"/>
      <c r="B130" s="1106"/>
      <c r="C130" s="1061"/>
      <c r="D130" s="1101" t="s">
        <v>46</v>
      </c>
      <c r="E130" s="1122"/>
      <c r="F130" s="238"/>
      <c r="G130" s="392"/>
      <c r="H130" s="172"/>
      <c r="I130" s="238"/>
      <c r="J130" s="1273"/>
      <c r="K130" s="480"/>
      <c r="L130" s="487"/>
      <c r="M130" s="482"/>
    </row>
    <row r="131" spans="1:15" ht="12.75" customHeight="1" x14ac:dyDescent="0.2">
      <c r="A131" s="1059"/>
      <c r="B131" s="1106"/>
      <c r="C131" s="1061"/>
      <c r="D131" s="1436" t="s">
        <v>67</v>
      </c>
      <c r="E131" s="1008" t="s">
        <v>291</v>
      </c>
      <c r="F131" s="41"/>
      <c r="G131" s="70"/>
      <c r="H131" s="41"/>
      <c r="I131" s="41"/>
      <c r="J131" s="1014" t="s">
        <v>38</v>
      </c>
      <c r="K131" s="132">
        <v>6</v>
      </c>
      <c r="L131" s="132">
        <v>6</v>
      </c>
      <c r="M131" s="26">
        <v>6</v>
      </c>
      <c r="N131" s="435"/>
    </row>
    <row r="132" spans="1:15" ht="14.25" customHeight="1" x14ac:dyDescent="0.2">
      <c r="A132" s="1059"/>
      <c r="B132" s="1106"/>
      <c r="C132" s="1061"/>
      <c r="D132" s="1436"/>
      <c r="E132" s="1068"/>
      <c r="F132" s="43"/>
      <c r="G132" s="415"/>
      <c r="H132" s="81"/>
      <c r="I132" s="43"/>
      <c r="J132" s="1254"/>
      <c r="K132" s="169"/>
      <c r="L132" s="191"/>
      <c r="M132" s="476"/>
    </row>
    <row r="133" spans="1:15" ht="14.25" customHeight="1" x14ac:dyDescent="0.2">
      <c r="A133" s="1059"/>
      <c r="B133" s="1106"/>
      <c r="C133" s="1061"/>
      <c r="D133" s="1444" t="s">
        <v>68</v>
      </c>
      <c r="E133" s="1068"/>
      <c r="F133" s="41"/>
      <c r="G133" s="70"/>
      <c r="H133" s="77"/>
      <c r="I133" s="41"/>
      <c r="J133" s="1253" t="s">
        <v>109</v>
      </c>
      <c r="K133" s="25">
        <v>3.2</v>
      </c>
      <c r="L133" s="25">
        <v>3.2</v>
      </c>
      <c r="M133" s="23">
        <v>3.2</v>
      </c>
    </row>
    <row r="134" spans="1:15" ht="27.75" customHeight="1" x14ac:dyDescent="0.2">
      <c r="A134" s="1059"/>
      <c r="B134" s="1106"/>
      <c r="C134" s="1061"/>
      <c r="D134" s="1445"/>
      <c r="E134" s="1068"/>
      <c r="F134" s="41"/>
      <c r="G134" s="70"/>
      <c r="H134" s="77"/>
      <c r="I134" s="41"/>
      <c r="J134" s="453" t="s">
        <v>225</v>
      </c>
      <c r="K134" s="413">
        <v>2</v>
      </c>
      <c r="L134" s="413">
        <v>2</v>
      </c>
      <c r="M134" s="498">
        <v>2</v>
      </c>
    </row>
    <row r="135" spans="1:15" ht="26.25" customHeight="1" x14ac:dyDescent="0.2">
      <c r="A135" s="1059"/>
      <c r="B135" s="1106"/>
      <c r="C135" s="1061"/>
      <c r="D135" s="156" t="s">
        <v>69</v>
      </c>
      <c r="E135" s="1129"/>
      <c r="F135" s="39"/>
      <c r="G135" s="417"/>
      <c r="H135" s="79"/>
      <c r="I135" s="39"/>
      <c r="J135" s="403" t="s">
        <v>110</v>
      </c>
      <c r="K135" s="74">
        <v>20.5</v>
      </c>
      <c r="L135" s="499">
        <v>20.5</v>
      </c>
      <c r="M135" s="1012">
        <v>20.5</v>
      </c>
    </row>
    <row r="136" spans="1:15" ht="26.25" customHeight="1" x14ac:dyDescent="0.2">
      <c r="A136" s="1247"/>
      <c r="B136" s="1256"/>
      <c r="C136" s="1248"/>
      <c r="D136" s="1255" t="s">
        <v>353</v>
      </c>
      <c r="E136" s="1249"/>
      <c r="F136" s="39"/>
      <c r="G136" s="417"/>
      <c r="H136" s="79"/>
      <c r="I136" s="39"/>
      <c r="J136" s="52" t="s">
        <v>354</v>
      </c>
      <c r="K136" s="341" t="s">
        <v>49</v>
      </c>
      <c r="L136" s="1280" t="s">
        <v>49</v>
      </c>
      <c r="M136" s="1274" t="s">
        <v>49</v>
      </c>
    </row>
    <row r="137" spans="1:15" ht="15.75" customHeight="1" x14ac:dyDescent="0.2">
      <c r="A137" s="1059"/>
      <c r="B137" s="1106"/>
      <c r="C137" s="1061"/>
      <c r="D137" s="1423" t="s">
        <v>102</v>
      </c>
      <c r="E137" s="1129"/>
      <c r="F137" s="41"/>
      <c r="G137" s="70"/>
      <c r="H137" s="77"/>
      <c r="I137" s="41"/>
      <c r="J137" s="1424" t="s">
        <v>211</v>
      </c>
      <c r="K137" s="246">
        <v>6</v>
      </c>
      <c r="L137" s="246">
        <v>6</v>
      </c>
      <c r="M137" s="120">
        <v>6</v>
      </c>
    </row>
    <row r="138" spans="1:15" ht="14.25" customHeight="1" x14ac:dyDescent="0.2">
      <c r="A138" s="1059"/>
      <c r="B138" s="1106"/>
      <c r="C138" s="1061"/>
      <c r="D138" s="1383"/>
      <c r="E138" s="1129"/>
      <c r="F138" s="41"/>
      <c r="G138" s="61"/>
      <c r="H138" s="50"/>
      <c r="I138" s="41"/>
      <c r="J138" s="1425"/>
      <c r="K138" s="1252"/>
      <c r="L138" s="1252"/>
      <c r="M138" s="1259"/>
    </row>
    <row r="139" spans="1:15" ht="9" customHeight="1" x14ac:dyDescent="0.2">
      <c r="A139" s="1059"/>
      <c r="B139" s="1106"/>
      <c r="C139" s="1061"/>
      <c r="D139" s="1406"/>
      <c r="E139" s="1130"/>
      <c r="F139" s="41"/>
      <c r="G139" s="61"/>
      <c r="H139" s="50"/>
      <c r="I139" s="41"/>
      <c r="J139" s="1426"/>
      <c r="K139" s="32"/>
      <c r="L139" s="32"/>
      <c r="M139" s="16"/>
    </row>
    <row r="140" spans="1:15" ht="14.25" customHeight="1" x14ac:dyDescent="0.2">
      <c r="A140" s="1059"/>
      <c r="B140" s="1106"/>
      <c r="C140" s="1061"/>
      <c r="D140" s="689" t="s">
        <v>122</v>
      </c>
      <c r="E140" s="1122"/>
      <c r="F140" s="1112"/>
      <c r="G140" s="217"/>
      <c r="H140" s="88"/>
      <c r="I140" s="385"/>
      <c r="J140" s="1063"/>
      <c r="K140" s="102"/>
      <c r="L140" s="102"/>
      <c r="M140" s="165"/>
      <c r="O140" s="34"/>
    </row>
    <row r="141" spans="1:15" ht="42.75" customHeight="1" x14ac:dyDescent="0.2">
      <c r="A141" s="1059"/>
      <c r="B141" s="1106"/>
      <c r="C141" s="1061"/>
      <c r="D141" s="154" t="s">
        <v>302</v>
      </c>
      <c r="E141" s="1122"/>
      <c r="F141" s="43"/>
      <c r="G141" s="415"/>
      <c r="H141" s="81"/>
      <c r="I141" s="43"/>
      <c r="J141" s="829" t="s">
        <v>119</v>
      </c>
      <c r="K141" s="191">
        <v>21</v>
      </c>
      <c r="L141" s="191">
        <v>21</v>
      </c>
      <c r="M141" s="309">
        <v>21</v>
      </c>
    </row>
    <row r="142" spans="1:15" ht="22.5" customHeight="1" x14ac:dyDescent="0.2">
      <c r="A142" s="1059"/>
      <c r="B142" s="1106"/>
      <c r="C142" s="1061"/>
      <c r="D142" s="1427" t="s">
        <v>123</v>
      </c>
      <c r="E142" s="1122"/>
      <c r="F142" s="41"/>
      <c r="G142" s="70"/>
      <c r="H142" s="77"/>
      <c r="I142" s="41"/>
      <c r="J142" s="1429" t="s">
        <v>161</v>
      </c>
      <c r="K142" s="166">
        <v>18</v>
      </c>
      <c r="L142" s="166">
        <v>18</v>
      </c>
      <c r="M142" s="511">
        <v>18</v>
      </c>
    </row>
    <row r="143" spans="1:15" ht="21" customHeight="1" x14ac:dyDescent="0.2">
      <c r="A143" s="1059"/>
      <c r="B143" s="1106"/>
      <c r="C143" s="1061"/>
      <c r="D143" s="1428"/>
      <c r="E143" s="1122"/>
      <c r="F143" s="1113"/>
      <c r="G143" s="71"/>
      <c r="H143" s="78"/>
      <c r="I143" s="1113"/>
      <c r="J143" s="1408"/>
      <c r="K143" s="32"/>
      <c r="L143" s="32"/>
      <c r="M143" s="16"/>
    </row>
    <row r="144" spans="1:15" ht="18" customHeight="1" x14ac:dyDescent="0.2">
      <c r="A144" s="1355"/>
      <c r="B144" s="1378"/>
      <c r="C144" s="1357"/>
      <c r="D144" s="1365" t="s">
        <v>39</v>
      </c>
      <c r="E144" s="1452"/>
      <c r="F144" s="41"/>
      <c r="G144" s="70"/>
      <c r="H144" s="77"/>
      <c r="I144" s="41"/>
      <c r="J144" s="1446" t="s">
        <v>48</v>
      </c>
      <c r="K144" s="1448">
        <v>7</v>
      </c>
      <c r="L144" s="1448" t="s">
        <v>247</v>
      </c>
      <c r="M144" s="1450" t="s">
        <v>248</v>
      </c>
    </row>
    <row r="145" spans="1:15" ht="13.5" customHeight="1" x14ac:dyDescent="0.2">
      <c r="A145" s="1355"/>
      <c r="B145" s="1378"/>
      <c r="C145" s="1357"/>
      <c r="D145" s="1367"/>
      <c r="E145" s="1453"/>
      <c r="F145" s="1113"/>
      <c r="G145" s="71"/>
      <c r="H145" s="78"/>
      <c r="I145" s="1113"/>
      <c r="J145" s="1447"/>
      <c r="K145" s="1449"/>
      <c r="L145" s="1449"/>
      <c r="M145" s="1451"/>
    </row>
    <row r="146" spans="1:15" ht="18" customHeight="1" x14ac:dyDescent="0.2">
      <c r="A146" s="1355"/>
      <c r="B146" s="1356"/>
      <c r="C146" s="1357"/>
      <c r="D146" s="1455" t="s">
        <v>206</v>
      </c>
      <c r="E146" s="1452"/>
      <c r="F146" s="1112"/>
      <c r="G146" s="72"/>
      <c r="H146" s="1112"/>
      <c r="I146" s="1112"/>
      <c r="J146" s="830" t="s">
        <v>134</v>
      </c>
      <c r="K146" s="295"/>
      <c r="L146" s="295"/>
      <c r="M146" s="171"/>
    </row>
    <row r="147" spans="1:15" ht="15.75" customHeight="1" x14ac:dyDescent="0.2">
      <c r="A147" s="1355"/>
      <c r="B147" s="1356"/>
      <c r="C147" s="1357"/>
      <c r="D147" s="1416"/>
      <c r="E147" s="1453"/>
      <c r="F147" s="41"/>
      <c r="G147" s="70"/>
      <c r="H147" s="41"/>
      <c r="I147" s="41"/>
      <c r="J147" s="828" t="s">
        <v>159</v>
      </c>
      <c r="K147" s="100">
        <v>1</v>
      </c>
      <c r="L147" s="100">
        <v>1</v>
      </c>
      <c r="M147" s="21">
        <v>1</v>
      </c>
    </row>
    <row r="148" spans="1:15" ht="25.5" customHeight="1" x14ac:dyDescent="0.2">
      <c r="A148" s="1355"/>
      <c r="B148" s="1356"/>
      <c r="C148" s="1357"/>
      <c r="D148" s="1416"/>
      <c r="E148" s="1453"/>
      <c r="F148" s="41"/>
      <c r="G148" s="61"/>
      <c r="H148" s="41"/>
      <c r="I148" s="41"/>
      <c r="J148" s="831" t="s">
        <v>118</v>
      </c>
      <c r="K148" s="246">
        <v>1</v>
      </c>
      <c r="L148" s="246">
        <v>1</v>
      </c>
      <c r="M148" s="382">
        <v>1</v>
      </c>
    </row>
    <row r="149" spans="1:15" ht="15" customHeight="1" x14ac:dyDescent="0.2">
      <c r="A149" s="1059"/>
      <c r="B149" s="1106"/>
      <c r="C149" s="1061"/>
      <c r="D149" s="1101"/>
      <c r="E149" s="1068"/>
      <c r="F149" s="41"/>
      <c r="G149" s="61"/>
      <c r="H149" s="41"/>
      <c r="I149" s="41"/>
      <c r="J149" s="828" t="s">
        <v>184</v>
      </c>
      <c r="K149" s="100">
        <v>1</v>
      </c>
      <c r="L149" s="100">
        <v>1</v>
      </c>
      <c r="M149" s="21">
        <v>1</v>
      </c>
    </row>
    <row r="150" spans="1:15" ht="15" customHeight="1" x14ac:dyDescent="0.2">
      <c r="A150" s="1059"/>
      <c r="B150" s="1106"/>
      <c r="C150" s="1061"/>
      <c r="D150" s="1101"/>
      <c r="E150" s="1013"/>
      <c r="F150" s="43"/>
      <c r="G150" s="74"/>
      <c r="H150" s="43"/>
      <c r="I150" s="41"/>
      <c r="J150" s="831" t="s">
        <v>183</v>
      </c>
      <c r="K150" s="246">
        <v>1</v>
      </c>
      <c r="L150" s="246">
        <v>1</v>
      </c>
      <c r="M150" s="120">
        <v>1</v>
      </c>
    </row>
    <row r="151" spans="1:15" ht="27" customHeight="1" x14ac:dyDescent="0.2">
      <c r="A151" s="1059"/>
      <c r="B151" s="1106"/>
      <c r="C151" s="1061"/>
      <c r="D151" s="1065"/>
      <c r="E151" s="1081" t="s">
        <v>291</v>
      </c>
      <c r="F151" s="41"/>
      <c r="G151" s="74"/>
      <c r="H151" s="43"/>
      <c r="I151" s="325"/>
      <c r="J151" s="1009" t="s">
        <v>294</v>
      </c>
      <c r="K151" s="367">
        <v>2</v>
      </c>
      <c r="L151" s="367">
        <v>2</v>
      </c>
      <c r="M151" s="350">
        <v>2</v>
      </c>
      <c r="N151" s="874"/>
      <c r="O151" s="977"/>
    </row>
    <row r="152" spans="1:15" ht="19.5" customHeight="1" x14ac:dyDescent="0.2">
      <c r="A152" s="1355"/>
      <c r="B152" s="1356"/>
      <c r="C152" s="1357"/>
      <c r="D152" s="1365" t="s">
        <v>100</v>
      </c>
      <c r="E152" s="1452" t="s">
        <v>210</v>
      </c>
      <c r="F152" s="1112"/>
      <c r="G152" s="73"/>
      <c r="H152" s="1112"/>
      <c r="I152" s="41"/>
      <c r="J152" s="1446" t="s">
        <v>185</v>
      </c>
      <c r="K152" s="515">
        <v>100</v>
      </c>
      <c r="L152" s="296"/>
      <c r="M152" s="264"/>
      <c r="O152" s="34"/>
    </row>
    <row r="153" spans="1:15" ht="20.25" customHeight="1" x14ac:dyDescent="0.2">
      <c r="A153" s="1355"/>
      <c r="B153" s="1356"/>
      <c r="C153" s="1357"/>
      <c r="D153" s="1367"/>
      <c r="E153" s="1454"/>
      <c r="F153" s="1113"/>
      <c r="G153" s="93"/>
      <c r="H153" s="1113"/>
      <c r="I153" s="1113"/>
      <c r="J153" s="1460"/>
      <c r="K153" s="384"/>
      <c r="L153" s="297"/>
      <c r="M153" s="265"/>
    </row>
    <row r="154" spans="1:15" ht="11.25" customHeight="1" x14ac:dyDescent="0.2">
      <c r="A154" s="1105"/>
      <c r="B154" s="1106"/>
      <c r="C154" s="128"/>
      <c r="D154" s="1365" t="s">
        <v>404</v>
      </c>
      <c r="E154" s="1084"/>
      <c r="F154" s="41"/>
      <c r="G154" s="61"/>
      <c r="H154" s="41"/>
      <c r="I154" s="1461"/>
      <c r="J154" s="1446" t="s">
        <v>249</v>
      </c>
      <c r="K154" s="394">
        <v>100</v>
      </c>
      <c r="L154" s="1117"/>
      <c r="M154" s="434"/>
    </row>
    <row r="155" spans="1:15" ht="15" customHeight="1" x14ac:dyDescent="0.2">
      <c r="A155" s="1105"/>
      <c r="B155" s="1106"/>
      <c r="C155" s="128"/>
      <c r="D155" s="1367"/>
      <c r="E155" s="1084"/>
      <c r="F155" s="1113"/>
      <c r="G155" s="71"/>
      <c r="H155" s="78"/>
      <c r="I155" s="1462"/>
      <c r="J155" s="1447"/>
      <c r="K155" s="164"/>
      <c r="L155" s="15"/>
      <c r="M155" s="16"/>
    </row>
    <row r="156" spans="1:15" ht="16.5" customHeight="1" x14ac:dyDescent="0.2">
      <c r="A156" s="1078"/>
      <c r="B156" s="1107"/>
      <c r="C156" s="1104"/>
      <c r="D156" s="1365" t="s">
        <v>94</v>
      </c>
      <c r="E156" s="1452" t="s">
        <v>172</v>
      </c>
      <c r="F156" s="46"/>
      <c r="G156" s="336"/>
      <c r="H156" s="46"/>
      <c r="I156" s="46"/>
      <c r="J156" s="1010" t="s">
        <v>186</v>
      </c>
      <c r="K156" s="170">
        <v>4</v>
      </c>
      <c r="L156" s="295">
        <v>7</v>
      </c>
      <c r="M156" s="171"/>
    </row>
    <row r="157" spans="1:15" ht="15" customHeight="1" x14ac:dyDescent="0.2">
      <c r="A157" s="1105"/>
      <c r="B157" s="1106"/>
      <c r="C157" s="128"/>
      <c r="D157" s="1366"/>
      <c r="E157" s="1453"/>
      <c r="F157" s="41"/>
      <c r="G157" s="40"/>
      <c r="H157" s="41"/>
      <c r="I157" s="41"/>
      <c r="J157" s="1063" t="s">
        <v>151</v>
      </c>
      <c r="K157" s="502">
        <v>8</v>
      </c>
      <c r="L157" s="1089">
        <v>7</v>
      </c>
      <c r="M157" s="1115"/>
    </row>
    <row r="158" spans="1:15" ht="14.25" customHeight="1" x14ac:dyDescent="0.2">
      <c r="A158" s="1105"/>
      <c r="B158" s="1106"/>
      <c r="C158" s="128"/>
      <c r="D158" s="1066"/>
      <c r="E158" s="66"/>
      <c r="F158" s="1113"/>
      <c r="G158" s="106"/>
      <c r="H158" s="1113"/>
      <c r="I158" s="1113"/>
      <c r="J158" s="1011" t="s">
        <v>95</v>
      </c>
      <c r="K158" s="597">
        <v>6</v>
      </c>
      <c r="L158" s="401"/>
      <c r="M158" s="350">
        <v>7</v>
      </c>
    </row>
    <row r="159" spans="1:15" ht="16.5" customHeight="1" x14ac:dyDescent="0.2">
      <c r="A159" s="1078"/>
      <c r="B159" s="1107"/>
      <c r="C159" s="1104"/>
      <c r="D159" s="1365" t="s">
        <v>192</v>
      </c>
      <c r="E159" s="426" t="s">
        <v>44</v>
      </c>
      <c r="F159" s="1112"/>
      <c r="G159" s="61"/>
      <c r="H159" s="41"/>
      <c r="I159" s="41"/>
      <c r="J159" s="1010" t="s">
        <v>43</v>
      </c>
      <c r="K159" s="674" t="s">
        <v>49</v>
      </c>
      <c r="L159" s="686"/>
      <c r="M159" s="687"/>
    </row>
    <row r="160" spans="1:15" ht="13.5" customHeight="1" x14ac:dyDescent="0.2">
      <c r="A160" s="176"/>
      <c r="B160" s="1107"/>
      <c r="C160" s="1104"/>
      <c r="D160" s="1326"/>
      <c r="E160" s="1068"/>
      <c r="F160" s="41"/>
      <c r="G160" s="61"/>
      <c r="H160" s="41"/>
      <c r="I160" s="41"/>
      <c r="J160" s="1456" t="s">
        <v>284</v>
      </c>
      <c r="K160" s="226" t="s">
        <v>298</v>
      </c>
      <c r="L160" s="226" t="s">
        <v>298</v>
      </c>
      <c r="M160" s="227" t="s">
        <v>40</v>
      </c>
    </row>
    <row r="161" spans="1:15" ht="12.75" customHeight="1" x14ac:dyDescent="0.2">
      <c r="A161" s="176"/>
      <c r="B161" s="1107"/>
      <c r="C161" s="1104"/>
      <c r="D161" s="1326"/>
      <c r="E161" s="1068"/>
      <c r="F161" s="41"/>
      <c r="G161" s="61"/>
      <c r="H161" s="41"/>
      <c r="I161" s="41"/>
      <c r="J161" s="1457"/>
      <c r="K161" s="291"/>
      <c r="L161" s="291"/>
      <c r="M161" s="249"/>
    </row>
    <row r="162" spans="1:15" ht="15.75" customHeight="1" x14ac:dyDescent="0.2">
      <c r="A162" s="176"/>
      <c r="B162" s="1107"/>
      <c r="C162" s="1104"/>
      <c r="D162" s="1458" t="s">
        <v>405</v>
      </c>
      <c r="E162" s="1068"/>
      <c r="F162" s="41"/>
      <c r="G162" s="61"/>
      <c r="H162" s="41"/>
      <c r="I162" s="41"/>
      <c r="J162" s="831" t="s">
        <v>193</v>
      </c>
      <c r="K162" s="226" t="s">
        <v>49</v>
      </c>
      <c r="L162" s="226"/>
      <c r="M162" s="227"/>
    </row>
    <row r="163" spans="1:15" ht="14.25" customHeight="1" x14ac:dyDescent="0.2">
      <c r="A163" s="176"/>
      <c r="B163" s="1107"/>
      <c r="C163" s="1104"/>
      <c r="D163" s="1459"/>
      <c r="E163" s="1081"/>
      <c r="F163" s="1113"/>
      <c r="G163" s="93"/>
      <c r="H163" s="1113"/>
      <c r="I163" s="1113"/>
      <c r="J163" s="294"/>
      <c r="K163" s="1125"/>
      <c r="L163" s="1125"/>
      <c r="M163" s="228"/>
      <c r="O163" s="34"/>
    </row>
    <row r="164" spans="1:15" ht="21.75" customHeight="1" x14ac:dyDescent="0.2">
      <c r="A164" s="1059"/>
      <c r="B164" s="1106"/>
      <c r="C164" s="1061"/>
      <c r="D164" s="1392" t="s">
        <v>310</v>
      </c>
      <c r="E164" s="1301" t="s">
        <v>314</v>
      </c>
      <c r="F164" s="41"/>
      <c r="G164" s="61"/>
      <c r="H164" s="41"/>
      <c r="I164" s="41"/>
      <c r="J164" s="1063" t="s">
        <v>309</v>
      </c>
      <c r="K164" s="1118">
        <v>1</v>
      </c>
      <c r="L164" s="1118"/>
      <c r="M164" s="1115"/>
      <c r="N164" s="1470"/>
      <c r="O164" s="1471"/>
    </row>
    <row r="165" spans="1:15" ht="27" customHeight="1" x14ac:dyDescent="0.2">
      <c r="A165" s="1059"/>
      <c r="B165" s="1106"/>
      <c r="C165" s="1061"/>
      <c r="D165" s="1385"/>
      <c r="E165" s="1081" t="s">
        <v>231</v>
      </c>
      <c r="F165" s="1113"/>
      <c r="G165" s="93"/>
      <c r="H165" s="1113"/>
      <c r="I165" s="1113"/>
      <c r="J165" s="1100" t="s">
        <v>313</v>
      </c>
      <c r="K165" s="15"/>
      <c r="L165" s="15">
        <v>4</v>
      </c>
      <c r="M165" s="16">
        <v>4</v>
      </c>
      <c r="N165" s="874"/>
      <c r="O165" s="977"/>
    </row>
    <row r="166" spans="1:15" ht="18" customHeight="1" thickBot="1" x14ac:dyDescent="0.25">
      <c r="A166" s="1000"/>
      <c r="B166" s="1001"/>
      <c r="C166" s="999"/>
      <c r="D166" s="601"/>
      <c r="E166" s="602"/>
      <c r="F166" s="56" t="s">
        <v>5</v>
      </c>
      <c r="G166" s="125">
        <f>SUM(G126:G165)</f>
        <v>6126.8</v>
      </c>
      <c r="H166" s="56">
        <f>SUM(H126:H165)</f>
        <v>6123.2</v>
      </c>
      <c r="I166" s="56">
        <f>SUM(I126:I165)</f>
        <v>6513.2</v>
      </c>
      <c r="J166" s="606"/>
      <c r="K166" s="289"/>
      <c r="L166" s="112"/>
      <c r="M166" s="250"/>
    </row>
    <row r="167" spans="1:15" ht="14.25" customHeight="1" thickBot="1" x14ac:dyDescent="0.25">
      <c r="A167" s="57" t="s">
        <v>4</v>
      </c>
      <c r="B167" s="149" t="s">
        <v>6</v>
      </c>
      <c r="C167" s="1430" t="s">
        <v>7</v>
      </c>
      <c r="D167" s="1431"/>
      <c r="E167" s="1431"/>
      <c r="F167" s="1431"/>
      <c r="G167" s="85">
        <f>G166</f>
        <v>6126.8</v>
      </c>
      <c r="H167" s="85">
        <f t="shared" ref="H167:I167" si="1">H166</f>
        <v>6123.2</v>
      </c>
      <c r="I167" s="85">
        <f t="shared" si="1"/>
        <v>6513.2</v>
      </c>
      <c r="J167" s="1464"/>
      <c r="K167" s="1464"/>
      <c r="L167" s="1464"/>
      <c r="M167" s="1465"/>
    </row>
    <row r="168" spans="1:15" ht="18" customHeight="1" thickBot="1" x14ac:dyDescent="0.25">
      <c r="A168" s="47" t="s">
        <v>4</v>
      </c>
      <c r="B168" s="149" t="s">
        <v>26</v>
      </c>
      <c r="C168" s="1434" t="s">
        <v>87</v>
      </c>
      <c r="D168" s="1466"/>
      <c r="E168" s="1466"/>
      <c r="F168" s="1466"/>
      <c r="G168" s="1466"/>
      <c r="H168" s="1466"/>
      <c r="I168" s="1466"/>
      <c r="J168" s="1466"/>
      <c r="K168" s="1466"/>
      <c r="L168" s="1466"/>
      <c r="M168" s="1467"/>
    </row>
    <row r="169" spans="1:15" ht="12.75" customHeight="1" x14ac:dyDescent="0.2">
      <c r="A169" s="1082" t="s">
        <v>4</v>
      </c>
      <c r="B169" s="148" t="s">
        <v>26</v>
      </c>
      <c r="C169" s="395" t="s">
        <v>4</v>
      </c>
      <c r="D169" s="1440" t="s">
        <v>84</v>
      </c>
      <c r="E169" s="1104" t="s">
        <v>173</v>
      </c>
      <c r="F169" s="111" t="s">
        <v>23</v>
      </c>
      <c r="G169" s="189">
        <v>332.3</v>
      </c>
      <c r="H169" s="189">
        <v>305.8</v>
      </c>
      <c r="I169" s="189">
        <v>305.8</v>
      </c>
      <c r="J169" s="183"/>
      <c r="K169" s="130"/>
      <c r="L169" s="130"/>
      <c r="M169" s="131"/>
    </row>
    <row r="170" spans="1:15" ht="12.75" customHeight="1" x14ac:dyDescent="0.2">
      <c r="A170" s="1059"/>
      <c r="B170" s="1106"/>
      <c r="C170" s="1061"/>
      <c r="D170" s="1441"/>
      <c r="E170" s="1104"/>
      <c r="F170" s="41" t="s">
        <v>79</v>
      </c>
      <c r="G170" s="50">
        <v>466.7</v>
      </c>
      <c r="H170" s="50">
        <v>370</v>
      </c>
      <c r="I170" s="41">
        <v>200</v>
      </c>
      <c r="J170" s="1014"/>
      <c r="K170" s="25"/>
      <c r="L170" s="25"/>
      <c r="M170" s="26"/>
    </row>
    <row r="171" spans="1:15" ht="12.75" customHeight="1" x14ac:dyDescent="0.2">
      <c r="A171" s="1059"/>
      <c r="B171" s="1106"/>
      <c r="C171" s="1061"/>
      <c r="D171" s="192"/>
      <c r="E171" s="1104"/>
      <c r="F171" s="41" t="s">
        <v>62</v>
      </c>
      <c r="G171" s="50">
        <v>817.1</v>
      </c>
      <c r="H171" s="50">
        <v>846</v>
      </c>
      <c r="I171" s="41">
        <v>861.6</v>
      </c>
      <c r="J171" s="1014"/>
      <c r="K171" s="25"/>
      <c r="L171" s="25"/>
      <c r="M171" s="26"/>
    </row>
    <row r="172" spans="1:15" ht="12.75" customHeight="1" x14ac:dyDescent="0.2">
      <c r="A172" s="1059"/>
      <c r="B172" s="1106"/>
      <c r="C172" s="1061"/>
      <c r="D172" s="192"/>
      <c r="E172" s="1104"/>
      <c r="F172" s="1113" t="s">
        <v>65</v>
      </c>
      <c r="G172" s="53">
        <v>31.3</v>
      </c>
      <c r="H172" s="53">
        <v>31.3</v>
      </c>
      <c r="I172" s="1113">
        <v>31.3</v>
      </c>
      <c r="J172" s="1108"/>
      <c r="K172" s="27"/>
      <c r="L172" s="27"/>
      <c r="M172" s="29"/>
    </row>
    <row r="173" spans="1:15" ht="15" customHeight="1" x14ac:dyDescent="0.2">
      <c r="A173" s="1059"/>
      <c r="B173" s="1106"/>
      <c r="C173" s="1061"/>
      <c r="D173" s="1384" t="s">
        <v>82</v>
      </c>
      <c r="E173" s="1379" t="s">
        <v>66</v>
      </c>
      <c r="F173" s="41"/>
      <c r="G173" s="41"/>
      <c r="H173" s="41"/>
      <c r="I173" s="41"/>
      <c r="J173" s="1111" t="s">
        <v>88</v>
      </c>
      <c r="K173" s="25">
        <v>14.5</v>
      </c>
      <c r="L173" s="25">
        <v>14.5</v>
      </c>
      <c r="M173" s="26">
        <v>14.5</v>
      </c>
    </row>
    <row r="174" spans="1:15" ht="12.75" customHeight="1" x14ac:dyDescent="0.2">
      <c r="A174" s="1059"/>
      <c r="B174" s="1106"/>
      <c r="C174" s="1061"/>
      <c r="D174" s="1392"/>
      <c r="E174" s="1380"/>
      <c r="F174" s="41"/>
      <c r="G174" s="41"/>
      <c r="H174" s="41"/>
      <c r="I174" s="41"/>
      <c r="J174" s="1111" t="s">
        <v>35</v>
      </c>
      <c r="K174" s="1089">
        <v>71</v>
      </c>
      <c r="L174" s="1089">
        <v>74</v>
      </c>
      <c r="M174" s="1115">
        <v>81</v>
      </c>
    </row>
    <row r="175" spans="1:15" ht="4.5" customHeight="1" x14ac:dyDescent="0.2">
      <c r="A175" s="1059"/>
      <c r="B175" s="1106"/>
      <c r="C175" s="1061"/>
      <c r="D175" s="1392"/>
      <c r="E175" s="1380"/>
      <c r="F175" s="41"/>
      <c r="G175" s="41"/>
      <c r="H175" s="41"/>
      <c r="I175" s="41"/>
      <c r="J175" s="1111"/>
      <c r="K175" s="25"/>
      <c r="L175" s="25"/>
      <c r="M175" s="26"/>
    </row>
    <row r="176" spans="1:15" ht="26.25" customHeight="1" x14ac:dyDescent="0.2">
      <c r="A176" s="1059"/>
      <c r="B176" s="1106"/>
      <c r="C176" s="1061"/>
      <c r="D176" s="1392"/>
      <c r="E176" s="1468"/>
      <c r="F176" s="41"/>
      <c r="G176" s="41"/>
      <c r="H176" s="41"/>
      <c r="I176" s="41"/>
      <c r="J176" s="388" t="s">
        <v>315</v>
      </c>
      <c r="K176" s="100">
        <v>7</v>
      </c>
      <c r="L176" s="100"/>
      <c r="M176" s="18"/>
    </row>
    <row r="177" spans="1:15" ht="16.5" customHeight="1" x14ac:dyDescent="0.2">
      <c r="A177" s="1059"/>
      <c r="B177" s="1106"/>
      <c r="C177" s="1061"/>
      <c r="D177" s="1392"/>
      <c r="E177" s="1469"/>
      <c r="F177" s="41"/>
      <c r="G177" s="41"/>
      <c r="H177" s="41"/>
      <c r="I177" s="41"/>
      <c r="J177" s="964" t="s">
        <v>205</v>
      </c>
      <c r="K177" s="100">
        <v>60</v>
      </c>
      <c r="L177" s="100">
        <v>60</v>
      </c>
      <c r="M177" s="18">
        <v>60</v>
      </c>
    </row>
    <row r="178" spans="1:15" ht="26.25" customHeight="1" x14ac:dyDescent="0.2">
      <c r="A178" s="1059"/>
      <c r="B178" s="1106"/>
      <c r="C178" s="1061"/>
      <c r="D178" s="1392"/>
      <c r="E178" s="1084"/>
      <c r="F178" s="41"/>
      <c r="G178" s="41"/>
      <c r="H178" s="41"/>
      <c r="I178" s="41"/>
      <c r="J178" s="388" t="s">
        <v>213</v>
      </c>
      <c r="K178" s="17">
        <v>100</v>
      </c>
      <c r="L178" s="354"/>
      <c r="M178" s="355"/>
      <c r="N178" s="435"/>
      <c r="O178" s="435"/>
    </row>
    <row r="179" spans="1:15" ht="16.5" customHeight="1" x14ac:dyDescent="0.2">
      <c r="A179" s="1059"/>
      <c r="B179" s="1106"/>
      <c r="C179" s="1061"/>
      <c r="D179" s="1392"/>
      <c r="E179" s="1084"/>
      <c r="F179" s="41"/>
      <c r="G179" s="41"/>
      <c r="H179" s="41"/>
      <c r="I179" s="41"/>
      <c r="J179" s="388" t="s">
        <v>250</v>
      </c>
      <c r="K179" s="17">
        <v>7</v>
      </c>
      <c r="L179" s="354"/>
      <c r="M179" s="355"/>
      <c r="N179" s="435"/>
      <c r="O179" s="435"/>
    </row>
    <row r="180" spans="1:15" ht="13.5" customHeight="1" x14ac:dyDescent="0.2">
      <c r="A180" s="1059"/>
      <c r="B180" s="1106"/>
      <c r="C180" s="1061"/>
      <c r="D180" s="1392"/>
      <c r="E180" s="1084"/>
      <c r="F180" s="1113"/>
      <c r="G180" s="1113"/>
      <c r="H180" s="1113"/>
      <c r="I180" s="432"/>
      <c r="J180" s="405" t="s">
        <v>251</v>
      </c>
      <c r="K180" s="1017">
        <v>3</v>
      </c>
      <c r="L180" s="1015"/>
      <c r="M180" s="1016"/>
      <c r="N180" s="435"/>
      <c r="O180" s="435"/>
    </row>
    <row r="181" spans="1:15" ht="12" customHeight="1" x14ac:dyDescent="0.2">
      <c r="A181" s="1059"/>
      <c r="B181" s="1106"/>
      <c r="C181" s="1061"/>
      <c r="D181" s="1064" t="s">
        <v>58</v>
      </c>
      <c r="E181" s="174"/>
      <c r="F181" s="41"/>
      <c r="G181" s="41"/>
      <c r="H181" s="41"/>
      <c r="I181" s="41"/>
      <c r="J181" s="1111" t="s">
        <v>70</v>
      </c>
      <c r="K181" s="1118">
        <v>1</v>
      </c>
      <c r="L181" s="1089">
        <v>1</v>
      </c>
      <c r="M181" s="1115">
        <v>1</v>
      </c>
      <c r="N181" s="435"/>
      <c r="O181" s="34"/>
    </row>
    <row r="182" spans="1:15" ht="5.25" customHeight="1" x14ac:dyDescent="0.2">
      <c r="A182" s="1059"/>
      <c r="B182" s="1106"/>
      <c r="C182" s="1061"/>
      <c r="D182" s="1065"/>
      <c r="E182" s="84"/>
      <c r="F182" s="1113"/>
      <c r="G182" s="53"/>
      <c r="H182" s="53"/>
      <c r="I182" s="53"/>
      <c r="J182" s="405"/>
      <c r="K182" s="15"/>
      <c r="L182" s="32"/>
      <c r="M182" s="16"/>
    </row>
    <row r="183" spans="1:15" ht="13.5" customHeight="1" x14ac:dyDescent="0.2">
      <c r="A183" s="1059"/>
      <c r="B183" s="1106"/>
      <c r="C183" s="1061"/>
      <c r="D183" s="1400" t="s">
        <v>90</v>
      </c>
      <c r="E183" s="324"/>
      <c r="F183" s="1112"/>
      <c r="G183" s="76"/>
      <c r="H183" s="76"/>
      <c r="I183" s="76"/>
      <c r="J183" s="1297" t="s">
        <v>165</v>
      </c>
      <c r="K183" s="1298">
        <v>14</v>
      </c>
      <c r="L183" s="1299">
        <v>14</v>
      </c>
      <c r="M183" s="1296">
        <v>14</v>
      </c>
    </row>
    <row r="184" spans="1:15" ht="12" customHeight="1" x14ac:dyDescent="0.2">
      <c r="A184" s="1059"/>
      <c r="B184" s="1106"/>
      <c r="C184" s="1061"/>
      <c r="D184" s="1401"/>
      <c r="E184" s="272"/>
      <c r="F184" s="1113"/>
      <c r="G184" s="53"/>
      <c r="H184" s="53"/>
      <c r="I184" s="53"/>
      <c r="J184" s="405"/>
      <c r="K184" s="15"/>
      <c r="L184" s="32"/>
      <c r="M184" s="16"/>
    </row>
    <row r="185" spans="1:15" ht="15" customHeight="1" x14ac:dyDescent="0.2">
      <c r="A185" s="1105"/>
      <c r="B185" s="1106"/>
      <c r="C185" s="128"/>
      <c r="D185" s="1416" t="s">
        <v>116</v>
      </c>
      <c r="E185" s="1093" t="s">
        <v>44</v>
      </c>
      <c r="F185" s="41"/>
      <c r="G185" s="50"/>
      <c r="H185" s="50"/>
      <c r="I185" s="50"/>
      <c r="J185" s="1475" t="s">
        <v>104</v>
      </c>
      <c r="K185" s="229">
        <v>15</v>
      </c>
      <c r="L185" s="117">
        <v>15</v>
      </c>
      <c r="M185" s="122">
        <v>15</v>
      </c>
      <c r="O185" s="34"/>
    </row>
    <row r="186" spans="1:15" ht="13.5" customHeight="1" x14ac:dyDescent="0.2">
      <c r="A186" s="1105"/>
      <c r="B186" s="1106"/>
      <c r="C186" s="60"/>
      <c r="D186" s="1463"/>
      <c r="E186" s="67"/>
      <c r="F186" s="1113"/>
      <c r="G186" s="78"/>
      <c r="H186" s="78"/>
      <c r="I186" s="78"/>
      <c r="J186" s="1476"/>
      <c r="K186" s="230"/>
      <c r="L186" s="488"/>
      <c r="M186" s="323"/>
    </row>
    <row r="187" spans="1:15" ht="13.5" customHeight="1" x14ac:dyDescent="0.2">
      <c r="A187" s="1059"/>
      <c r="B187" s="1106"/>
      <c r="C187" s="1061"/>
      <c r="D187" s="1365" t="s">
        <v>83</v>
      </c>
      <c r="E187" s="1214"/>
      <c r="F187" s="1218"/>
      <c r="G187" s="54"/>
      <c r="H187" s="54"/>
      <c r="I187" s="54"/>
      <c r="J187" s="1220" t="s">
        <v>107</v>
      </c>
      <c r="K187" s="1210">
        <v>172</v>
      </c>
      <c r="L187" s="396">
        <v>172</v>
      </c>
      <c r="M187" s="393">
        <v>172</v>
      </c>
    </row>
    <row r="188" spans="1:15" ht="12" customHeight="1" x14ac:dyDescent="0.2">
      <c r="A188" s="1105"/>
      <c r="B188" s="1106"/>
      <c r="C188" s="966"/>
      <c r="D188" s="1459"/>
      <c r="E188" s="1215"/>
      <c r="F188" s="1219"/>
      <c r="G188" s="53"/>
      <c r="H188" s="53"/>
      <c r="I188" s="53"/>
      <c r="J188" s="405"/>
      <c r="K188" s="1211"/>
      <c r="L188" s="99"/>
      <c r="M188" s="20"/>
    </row>
    <row r="189" spans="1:15" ht="14.25" customHeight="1" x14ac:dyDescent="0.2">
      <c r="A189" s="1217"/>
      <c r="B189" s="1216"/>
      <c r="C189" s="128"/>
      <c r="D189" s="1416" t="s">
        <v>407</v>
      </c>
      <c r="E189" s="1212"/>
      <c r="F189" s="41"/>
      <c r="G189" s="50"/>
      <c r="H189" s="50"/>
      <c r="I189" s="50"/>
      <c r="J189" s="1372" t="s">
        <v>385</v>
      </c>
      <c r="K189" s="229">
        <v>30</v>
      </c>
      <c r="L189" s="117"/>
      <c r="M189" s="122"/>
    </row>
    <row r="190" spans="1:15" ht="12.75" customHeight="1" x14ac:dyDescent="0.2">
      <c r="A190" s="1217"/>
      <c r="B190" s="1216"/>
      <c r="C190" s="60"/>
      <c r="D190" s="1463"/>
      <c r="E190" s="329"/>
      <c r="F190" s="1219"/>
      <c r="G190" s="78"/>
      <c r="H190" s="78"/>
      <c r="I190" s="78"/>
      <c r="J190" s="1402"/>
      <c r="K190" s="313"/>
      <c r="L190" s="488"/>
      <c r="M190" s="323"/>
    </row>
    <row r="191" spans="1:15" ht="26.25" customHeight="1" x14ac:dyDescent="0.2">
      <c r="A191" s="1105"/>
      <c r="B191" s="1106"/>
      <c r="C191" s="128"/>
      <c r="D191" s="1416" t="s">
        <v>338</v>
      </c>
      <c r="E191" s="1093"/>
      <c r="F191" s="41"/>
      <c r="G191" s="50"/>
      <c r="H191" s="50"/>
      <c r="I191" s="50"/>
      <c r="J191" s="1071" t="s">
        <v>252</v>
      </c>
      <c r="K191" s="229"/>
      <c r="L191" s="117">
        <v>10</v>
      </c>
      <c r="M191" s="122">
        <v>10</v>
      </c>
    </row>
    <row r="192" spans="1:15" ht="5.25" customHeight="1" x14ac:dyDescent="0.2">
      <c r="A192" s="1105"/>
      <c r="B192" s="1106"/>
      <c r="C192" s="60"/>
      <c r="D192" s="1463"/>
      <c r="E192" s="67"/>
      <c r="F192" s="1113"/>
      <c r="G192" s="78"/>
      <c r="H192" s="78"/>
      <c r="I192" s="78"/>
      <c r="J192" s="123"/>
      <c r="K192" s="313"/>
      <c r="L192" s="488"/>
      <c r="M192" s="323"/>
    </row>
    <row r="193" spans="1:13" ht="14.25" customHeight="1" x14ac:dyDescent="0.2">
      <c r="A193" s="1355"/>
      <c r="B193" s="1378"/>
      <c r="C193" s="1472"/>
      <c r="D193" s="1455" t="s">
        <v>207</v>
      </c>
      <c r="E193" s="1473" t="s">
        <v>173</v>
      </c>
      <c r="F193" s="38"/>
      <c r="G193" s="41"/>
      <c r="H193" s="50"/>
      <c r="I193" s="50"/>
      <c r="J193" s="1071" t="s">
        <v>61</v>
      </c>
      <c r="K193" s="223">
        <v>18</v>
      </c>
      <c r="L193" s="320">
        <v>18</v>
      </c>
      <c r="M193" s="434">
        <v>18</v>
      </c>
    </row>
    <row r="194" spans="1:13" ht="16.5" customHeight="1" x14ac:dyDescent="0.2">
      <c r="A194" s="1355"/>
      <c r="B194" s="1378"/>
      <c r="C194" s="1472"/>
      <c r="D194" s="1463"/>
      <c r="E194" s="1474"/>
      <c r="F194" s="45"/>
      <c r="G194" s="90"/>
      <c r="H194" s="37"/>
      <c r="I194" s="37"/>
      <c r="J194" s="123" t="s">
        <v>71</v>
      </c>
      <c r="K194" s="164">
        <v>7</v>
      </c>
      <c r="L194" s="32">
        <v>7</v>
      </c>
      <c r="M194" s="16">
        <v>7</v>
      </c>
    </row>
    <row r="195" spans="1:13" ht="18" customHeight="1" thickBot="1" x14ac:dyDescent="0.25">
      <c r="A195" s="1000"/>
      <c r="B195" s="1001"/>
      <c r="C195" s="999"/>
      <c r="D195" s="601"/>
      <c r="E195" s="602"/>
      <c r="F195" s="56" t="s">
        <v>5</v>
      </c>
      <c r="G195" s="125">
        <f>SUM(G169:G194)</f>
        <v>1647.4</v>
      </c>
      <c r="H195" s="125">
        <f>SUM(H169:H194)</f>
        <v>1553.1</v>
      </c>
      <c r="I195" s="125">
        <f>SUM(I169:I194)</f>
        <v>1398.7</v>
      </c>
      <c r="J195" s="606"/>
      <c r="K195" s="289"/>
      <c r="L195" s="112"/>
      <c r="M195" s="250"/>
    </row>
    <row r="196" spans="1:13" ht="11.25" customHeight="1" x14ac:dyDescent="0.2">
      <c r="A196" s="1077" t="s">
        <v>4</v>
      </c>
      <c r="B196" s="1079" t="s">
        <v>26</v>
      </c>
      <c r="C196" s="1074" t="s">
        <v>6</v>
      </c>
      <c r="D196" s="1483" t="s">
        <v>308</v>
      </c>
      <c r="E196" s="1485"/>
      <c r="F196" s="111" t="s">
        <v>23</v>
      </c>
      <c r="G196" s="126">
        <f>8.1-4.3</f>
        <v>3.8</v>
      </c>
      <c r="H196" s="126">
        <v>577.5</v>
      </c>
      <c r="I196" s="126">
        <v>1478.9</v>
      </c>
      <c r="J196" s="270"/>
      <c r="K196" s="127"/>
      <c r="L196" s="130"/>
      <c r="M196" s="131"/>
    </row>
    <row r="197" spans="1:13" ht="11.25" customHeight="1" x14ac:dyDescent="0.2">
      <c r="A197" s="1078"/>
      <c r="B197" s="1080"/>
      <c r="C197" s="1075"/>
      <c r="D197" s="1484"/>
      <c r="E197" s="1486"/>
      <c r="F197" s="41" t="s">
        <v>54</v>
      </c>
      <c r="G197" s="50">
        <v>233.3</v>
      </c>
      <c r="H197" s="50">
        <v>0</v>
      </c>
      <c r="I197" s="50">
        <v>0</v>
      </c>
      <c r="J197" s="1097"/>
      <c r="K197" s="61"/>
      <c r="L197" s="25"/>
      <c r="M197" s="26"/>
    </row>
    <row r="198" spans="1:13" ht="11.25" customHeight="1" x14ac:dyDescent="0.2">
      <c r="A198" s="1078"/>
      <c r="B198" s="1080"/>
      <c r="C198" s="1075"/>
      <c r="D198" s="1484"/>
      <c r="E198" s="1486"/>
      <c r="F198" s="41" t="s">
        <v>62</v>
      </c>
      <c r="G198" s="50">
        <v>447.2</v>
      </c>
      <c r="H198" s="50">
        <v>22</v>
      </c>
      <c r="I198" s="50">
        <v>22</v>
      </c>
      <c r="J198" s="1097"/>
      <c r="K198" s="61"/>
      <c r="L198" s="25"/>
      <c r="M198" s="26"/>
    </row>
    <row r="199" spans="1:13" ht="11.25" customHeight="1" x14ac:dyDescent="0.2">
      <c r="A199" s="1078"/>
      <c r="B199" s="1080"/>
      <c r="C199" s="1075"/>
      <c r="D199" s="1484"/>
      <c r="E199" s="1486"/>
      <c r="F199" s="41" t="s">
        <v>65</v>
      </c>
      <c r="G199" s="50">
        <v>155.30000000000001</v>
      </c>
      <c r="H199" s="41"/>
      <c r="I199" s="50"/>
      <c r="J199" s="1097"/>
      <c r="K199" s="61"/>
      <c r="L199" s="25"/>
      <c r="M199" s="26"/>
    </row>
    <row r="200" spans="1:13" ht="11.25" customHeight="1" x14ac:dyDescent="0.2">
      <c r="A200" s="1171"/>
      <c r="B200" s="1172"/>
      <c r="C200" s="1170"/>
      <c r="D200" s="1484"/>
      <c r="E200" s="1486"/>
      <c r="F200" s="41" t="s">
        <v>365</v>
      </c>
      <c r="G200" s="50">
        <v>4.3</v>
      </c>
      <c r="H200" s="50"/>
      <c r="I200" s="50"/>
      <c r="J200" s="1173"/>
      <c r="K200" s="61"/>
      <c r="L200" s="25"/>
      <c r="M200" s="26"/>
    </row>
    <row r="201" spans="1:13" ht="11.25" customHeight="1" x14ac:dyDescent="0.2">
      <c r="A201" s="1078"/>
      <c r="B201" s="1080"/>
      <c r="C201" s="1075"/>
      <c r="D201" s="1484"/>
      <c r="E201" s="1486"/>
      <c r="F201" s="41" t="s">
        <v>41</v>
      </c>
      <c r="G201" s="50">
        <v>997</v>
      </c>
      <c r="H201" s="50">
        <v>67.3</v>
      </c>
      <c r="I201" s="50">
        <f>I209+I213</f>
        <v>0</v>
      </c>
      <c r="J201" s="1097"/>
      <c r="K201" s="61"/>
      <c r="L201" s="25"/>
      <c r="M201" s="26"/>
    </row>
    <row r="202" spans="1:13" ht="15" customHeight="1" x14ac:dyDescent="0.2">
      <c r="A202" s="1481"/>
      <c r="B202" s="1482"/>
      <c r="C202" s="1472"/>
      <c r="D202" s="1455" t="s">
        <v>157</v>
      </c>
      <c r="E202" s="64" t="s">
        <v>331</v>
      </c>
      <c r="F202" s="1112"/>
      <c r="G202" s="54"/>
      <c r="H202" s="1112"/>
      <c r="I202" s="54"/>
      <c r="J202" s="1477" t="s">
        <v>147</v>
      </c>
      <c r="K202" s="1117">
        <v>1</v>
      </c>
      <c r="L202" s="1116"/>
      <c r="M202" s="1114"/>
    </row>
    <row r="203" spans="1:13" ht="14.25" customHeight="1" x14ac:dyDescent="0.2">
      <c r="A203" s="1481"/>
      <c r="B203" s="1482"/>
      <c r="C203" s="1472"/>
      <c r="D203" s="1416"/>
      <c r="E203" s="425" t="s">
        <v>173</v>
      </c>
      <c r="F203" s="41"/>
      <c r="G203" s="50"/>
      <c r="H203" s="41"/>
      <c r="I203" s="50"/>
      <c r="J203" s="1478"/>
      <c r="K203" s="600"/>
      <c r="L203" s="1089"/>
      <c r="M203" s="1115"/>
    </row>
    <row r="204" spans="1:13" ht="25.5" customHeight="1" x14ac:dyDescent="0.2">
      <c r="A204" s="1481"/>
      <c r="B204" s="1482"/>
      <c r="C204" s="1472"/>
      <c r="D204" s="1487"/>
      <c r="E204" s="1123" t="s">
        <v>343</v>
      </c>
      <c r="F204" s="1113"/>
      <c r="G204" s="53"/>
      <c r="H204" s="1113"/>
      <c r="I204" s="53"/>
      <c r="J204" s="14" t="s">
        <v>287</v>
      </c>
      <c r="K204" s="15">
        <v>100</v>
      </c>
      <c r="L204" s="32"/>
      <c r="M204" s="16"/>
    </row>
    <row r="205" spans="1:13" ht="24.75" customHeight="1" x14ac:dyDescent="0.2">
      <c r="A205" s="1078"/>
      <c r="B205" s="1080"/>
      <c r="C205" s="1075"/>
      <c r="D205" s="1479" t="s">
        <v>324</v>
      </c>
      <c r="E205" s="1018" t="s">
        <v>331</v>
      </c>
      <c r="F205" s="41"/>
      <c r="G205" s="50"/>
      <c r="H205" s="41"/>
      <c r="I205" s="50"/>
      <c r="J205" s="1085" t="s">
        <v>99</v>
      </c>
      <c r="K205" s="1088"/>
      <c r="L205" s="1089">
        <v>20</v>
      </c>
      <c r="M205" s="1115">
        <v>80</v>
      </c>
    </row>
    <row r="206" spans="1:13" ht="15" customHeight="1" x14ac:dyDescent="0.2">
      <c r="A206" s="1078"/>
      <c r="B206" s="1080"/>
      <c r="C206" s="1075"/>
      <c r="D206" s="1480"/>
      <c r="E206" s="1019"/>
      <c r="F206" s="1113"/>
      <c r="G206" s="53"/>
      <c r="H206" s="1113"/>
      <c r="I206" s="53"/>
      <c r="J206" s="1099"/>
      <c r="K206" s="32"/>
      <c r="L206" s="32"/>
      <c r="M206" s="16"/>
    </row>
    <row r="207" spans="1:13" ht="24.75" customHeight="1" x14ac:dyDescent="0.2">
      <c r="A207" s="1481"/>
      <c r="B207" s="1482"/>
      <c r="C207" s="1472"/>
      <c r="D207" s="1366" t="s">
        <v>144</v>
      </c>
      <c r="E207" s="64" t="s">
        <v>332</v>
      </c>
      <c r="F207" s="41"/>
      <c r="G207" s="50"/>
      <c r="H207" s="41"/>
      <c r="I207" s="50"/>
      <c r="J207" s="1477" t="s">
        <v>145</v>
      </c>
      <c r="K207" s="650"/>
      <c r="L207" s="1089">
        <v>1</v>
      </c>
      <c r="M207" s="1115"/>
    </row>
    <row r="208" spans="1:13" ht="15" customHeight="1" x14ac:dyDescent="0.2">
      <c r="A208" s="1481"/>
      <c r="B208" s="1482"/>
      <c r="C208" s="1472"/>
      <c r="D208" s="1366"/>
      <c r="E208" s="1020" t="s">
        <v>231</v>
      </c>
      <c r="F208" s="41"/>
      <c r="G208" s="50"/>
      <c r="H208" s="41"/>
      <c r="I208" s="50"/>
      <c r="J208" s="1478"/>
      <c r="K208" s="1089"/>
      <c r="L208" s="1089"/>
      <c r="M208" s="1115"/>
    </row>
    <row r="209" spans="1:13" ht="16.5" customHeight="1" x14ac:dyDescent="0.2">
      <c r="A209" s="1481"/>
      <c r="B209" s="1482"/>
      <c r="C209" s="1472"/>
      <c r="D209" s="1383"/>
      <c r="E209" s="239" t="s">
        <v>343</v>
      </c>
      <c r="F209" s="41"/>
      <c r="G209" s="50"/>
      <c r="H209" s="41"/>
      <c r="I209" s="50"/>
      <c r="J209" s="14" t="s">
        <v>124</v>
      </c>
      <c r="K209" s="15">
        <v>1</v>
      </c>
      <c r="L209" s="32"/>
      <c r="M209" s="16"/>
    </row>
    <row r="210" spans="1:13" ht="14.25" customHeight="1" x14ac:dyDescent="0.2">
      <c r="A210" s="1355"/>
      <c r="B210" s="1378"/>
      <c r="C210" s="1472"/>
      <c r="D210" s="1365" t="s">
        <v>226</v>
      </c>
      <c r="E210" s="1488" t="s">
        <v>347</v>
      </c>
      <c r="F210" s="1112"/>
      <c r="G210" s="54"/>
      <c r="H210" s="1112"/>
      <c r="I210" s="54"/>
      <c r="J210" s="1085" t="s">
        <v>236</v>
      </c>
      <c r="K210" s="119" t="s">
        <v>49</v>
      </c>
      <c r="L210" s="119"/>
      <c r="M210" s="187"/>
    </row>
    <row r="211" spans="1:13" ht="14.25" customHeight="1" x14ac:dyDescent="0.2">
      <c r="A211" s="1355"/>
      <c r="B211" s="1378"/>
      <c r="C211" s="1472"/>
      <c r="D211" s="1366"/>
      <c r="E211" s="1489"/>
      <c r="F211" s="41"/>
      <c r="G211" s="50"/>
      <c r="H211" s="41"/>
      <c r="I211" s="50"/>
      <c r="J211" s="1085"/>
      <c r="K211" s="320"/>
      <c r="L211" s="119"/>
      <c r="M211" s="187"/>
    </row>
    <row r="212" spans="1:13" ht="9.75" customHeight="1" x14ac:dyDescent="0.2">
      <c r="A212" s="1355"/>
      <c r="B212" s="1378"/>
      <c r="C212" s="1472"/>
      <c r="D212" s="1406"/>
      <c r="E212" s="1490"/>
      <c r="F212" s="1113"/>
      <c r="G212" s="53"/>
      <c r="H212" s="1113"/>
      <c r="I212" s="53"/>
      <c r="J212" s="14"/>
      <c r="K212" s="32"/>
      <c r="L212" s="32"/>
      <c r="M212" s="16"/>
    </row>
    <row r="213" spans="1:13" ht="14.25" customHeight="1" x14ac:dyDescent="0.2">
      <c r="A213" s="1355"/>
      <c r="B213" s="1378"/>
      <c r="C213" s="1472"/>
      <c r="D213" s="1365" t="s">
        <v>408</v>
      </c>
      <c r="E213" s="1488" t="s">
        <v>347</v>
      </c>
      <c r="F213" s="41"/>
      <c r="G213" s="54"/>
      <c r="H213" s="1112"/>
      <c r="I213" s="54"/>
      <c r="J213" s="1085" t="s">
        <v>229</v>
      </c>
      <c r="K213" s="320"/>
      <c r="L213" s="1124" t="s">
        <v>49</v>
      </c>
      <c r="M213" s="225"/>
    </row>
    <row r="214" spans="1:13" ht="13.5" customHeight="1" x14ac:dyDescent="0.2">
      <c r="A214" s="1355"/>
      <c r="B214" s="1378"/>
      <c r="C214" s="1472"/>
      <c r="D214" s="1366"/>
      <c r="E214" s="1489"/>
      <c r="F214" s="41"/>
      <c r="G214" s="50"/>
      <c r="H214" s="41"/>
      <c r="I214" s="50"/>
      <c r="J214" s="1085"/>
      <c r="K214" s="1089"/>
      <c r="L214" s="119"/>
      <c r="M214" s="187"/>
    </row>
    <row r="215" spans="1:13" ht="14.25" customHeight="1" x14ac:dyDescent="0.2">
      <c r="A215" s="1355"/>
      <c r="B215" s="1378"/>
      <c r="C215" s="1472"/>
      <c r="D215" s="1367"/>
      <c r="E215" s="1490"/>
      <c r="F215" s="1113"/>
      <c r="G215" s="53"/>
      <c r="H215" s="1113"/>
      <c r="I215" s="53"/>
      <c r="J215" s="14"/>
      <c r="K215" s="32"/>
      <c r="L215" s="32"/>
      <c r="M215" s="16"/>
    </row>
    <row r="216" spans="1:13" ht="29.25" customHeight="1" x14ac:dyDescent="0.2">
      <c r="A216" s="1355"/>
      <c r="B216" s="1378"/>
      <c r="C216" s="1472"/>
      <c r="D216" s="1365" t="s">
        <v>163</v>
      </c>
      <c r="E216" s="1452" t="s">
        <v>348</v>
      </c>
      <c r="F216" s="1112"/>
      <c r="G216" s="54"/>
      <c r="H216" s="1112"/>
      <c r="I216" s="54"/>
      <c r="J216" s="672" t="s">
        <v>170</v>
      </c>
      <c r="K216" s="295">
        <v>8</v>
      </c>
      <c r="L216" s="612">
        <v>8</v>
      </c>
      <c r="M216" s="171">
        <v>8</v>
      </c>
    </row>
    <row r="217" spans="1:13" ht="27.75" customHeight="1" x14ac:dyDescent="0.2">
      <c r="A217" s="1355"/>
      <c r="B217" s="1378"/>
      <c r="C217" s="1472"/>
      <c r="D217" s="1367"/>
      <c r="E217" s="1454"/>
      <c r="F217" s="1113"/>
      <c r="G217" s="53"/>
      <c r="H217" s="1113"/>
      <c r="I217" s="53"/>
      <c r="J217" s="14" t="s">
        <v>409</v>
      </c>
      <c r="K217" s="32">
        <v>6</v>
      </c>
      <c r="L217" s="15"/>
      <c r="M217" s="16"/>
    </row>
    <row r="218" spans="1:13" ht="18" customHeight="1" thickBot="1" x14ac:dyDescent="0.25">
      <c r="A218" s="1000"/>
      <c r="B218" s="1001"/>
      <c r="C218" s="999"/>
      <c r="D218" s="601"/>
      <c r="E218" s="602"/>
      <c r="F218" s="83" t="s">
        <v>5</v>
      </c>
      <c r="G218" s="125">
        <f>SUM(G196:G217)</f>
        <v>1840.9</v>
      </c>
      <c r="H218" s="125">
        <f>SUM(H196:H217)</f>
        <v>666.8</v>
      </c>
      <c r="I218" s="125">
        <f>SUM(I196:I217)</f>
        <v>1500.9</v>
      </c>
      <c r="J218" s="606"/>
      <c r="K218" s="289"/>
      <c r="L218" s="112"/>
      <c r="M218" s="250"/>
    </row>
    <row r="219" spans="1:13" ht="14.25" customHeight="1" thickBot="1" x14ac:dyDescent="0.25">
      <c r="A219" s="57" t="s">
        <v>4</v>
      </c>
      <c r="B219" s="48" t="s">
        <v>26</v>
      </c>
      <c r="C219" s="1431" t="s">
        <v>7</v>
      </c>
      <c r="D219" s="1431"/>
      <c r="E219" s="1431"/>
      <c r="F219" s="1494"/>
      <c r="G219" s="124">
        <f>G218+G195</f>
        <v>3488.3</v>
      </c>
      <c r="H219" s="124">
        <f>H218+H195</f>
        <v>2219.9</v>
      </c>
      <c r="I219" s="124">
        <f>I218+I195</f>
        <v>2899.6</v>
      </c>
      <c r="J219" s="1495"/>
      <c r="K219" s="1464"/>
      <c r="L219" s="1464"/>
      <c r="M219" s="1465"/>
    </row>
    <row r="220" spans="1:13" ht="14.25" customHeight="1" thickBot="1" x14ac:dyDescent="0.25">
      <c r="A220" s="57" t="s">
        <v>4</v>
      </c>
      <c r="B220" s="1496" t="s">
        <v>8</v>
      </c>
      <c r="C220" s="1497"/>
      <c r="D220" s="1497"/>
      <c r="E220" s="1497"/>
      <c r="F220" s="1498"/>
      <c r="G220" s="86">
        <f>G219+G167+G124</f>
        <v>29825.200000000001</v>
      </c>
      <c r="H220" s="86">
        <f>H219+H167+H124</f>
        <v>36810</v>
      </c>
      <c r="I220" s="86">
        <f>I219+I167+I124</f>
        <v>33725.1</v>
      </c>
      <c r="J220" s="1499"/>
      <c r="K220" s="1499"/>
      <c r="L220" s="1499"/>
      <c r="M220" s="1500"/>
    </row>
    <row r="221" spans="1:13" ht="14.25" customHeight="1" thickBot="1" x14ac:dyDescent="0.25">
      <c r="A221" s="62" t="s">
        <v>32</v>
      </c>
      <c r="B221" s="1501" t="s">
        <v>51</v>
      </c>
      <c r="C221" s="1502"/>
      <c r="D221" s="1502"/>
      <c r="E221" s="1502"/>
      <c r="F221" s="1503"/>
      <c r="G221" s="87">
        <f>SUM(G220)</f>
        <v>29825.200000000001</v>
      </c>
      <c r="H221" s="87">
        <f t="shared" ref="H221:I221" si="2">SUM(H220)</f>
        <v>36810</v>
      </c>
      <c r="I221" s="87">
        <f t="shared" si="2"/>
        <v>33725.1</v>
      </c>
      <c r="J221" s="1504"/>
      <c r="K221" s="1504"/>
      <c r="L221" s="1504"/>
      <c r="M221" s="1505"/>
    </row>
    <row r="222" spans="1:13" ht="14.25" customHeight="1" x14ac:dyDescent="0.2">
      <c r="A222" s="1536"/>
      <c r="B222" s="1536"/>
      <c r="C222" s="1536"/>
      <c r="D222" s="1536"/>
      <c r="E222" s="1536"/>
      <c r="F222" s="1536"/>
      <c r="G222" s="1536"/>
      <c r="H222" s="1536"/>
      <c r="I222" s="412"/>
      <c r="J222" s="63"/>
      <c r="K222" s="63"/>
      <c r="L222" s="63"/>
      <c r="M222" s="63"/>
    </row>
    <row r="223" spans="1:13" s="4" customFormat="1" ht="12" customHeight="1" x14ac:dyDescent="0.2">
      <c r="A223" s="331"/>
      <c r="B223" s="305"/>
      <c r="C223" s="305"/>
      <c r="D223" s="305"/>
      <c r="E223" s="773"/>
      <c r="F223" s="305"/>
      <c r="G223" s="305"/>
      <c r="H223" s="305"/>
      <c r="I223" s="305"/>
      <c r="J223" s="305"/>
      <c r="K223" s="331"/>
      <c r="L223" s="331"/>
      <c r="M223" s="331"/>
    </row>
    <row r="224" spans="1:13" s="5" customFormat="1" ht="15" customHeight="1" thickBot="1" x14ac:dyDescent="0.25">
      <c r="A224" s="1537" t="s">
        <v>12</v>
      </c>
      <c r="B224" s="1537"/>
      <c r="C224" s="1537"/>
      <c r="D224" s="1537"/>
      <c r="E224" s="1537"/>
      <c r="F224" s="1537"/>
      <c r="G224" s="94"/>
      <c r="H224" s="94"/>
      <c r="I224" s="94"/>
      <c r="J224" s="63"/>
      <c r="K224" s="63"/>
      <c r="L224" s="63"/>
      <c r="M224" s="63"/>
    </row>
    <row r="225" spans="1:13" ht="62.25" customHeight="1" thickBot="1" x14ac:dyDescent="0.25">
      <c r="A225" s="1538" t="s">
        <v>9</v>
      </c>
      <c r="B225" s="1539"/>
      <c r="C225" s="1539"/>
      <c r="D225" s="1539"/>
      <c r="E225" s="1539"/>
      <c r="F225" s="1540"/>
      <c r="G225" s="306" t="s">
        <v>243</v>
      </c>
      <c r="H225" s="318" t="s">
        <v>168</v>
      </c>
      <c r="I225" s="318" t="s">
        <v>244</v>
      </c>
      <c r="J225" s="10"/>
      <c r="K225" s="10"/>
      <c r="L225" s="10"/>
      <c r="M225" s="10"/>
    </row>
    <row r="226" spans="1:13" ht="14.25" customHeight="1" x14ac:dyDescent="0.2">
      <c r="A226" s="1541" t="s">
        <v>13</v>
      </c>
      <c r="B226" s="1542"/>
      <c r="C226" s="1542"/>
      <c r="D226" s="1542"/>
      <c r="E226" s="1542"/>
      <c r="F226" s="1543"/>
      <c r="G226" s="307">
        <f>G227+G235+G236+G237+G234</f>
        <v>25889.5</v>
      </c>
      <c r="H226" s="374">
        <f>H227+H235+H236+H237+H234</f>
        <v>28071.200000000001</v>
      </c>
      <c r="I226" s="374">
        <f>I227+I235+I236+I237+I234</f>
        <v>19310.400000000001</v>
      </c>
      <c r="J226" s="10"/>
      <c r="K226" s="10"/>
      <c r="L226" s="10"/>
      <c r="M226" s="10"/>
    </row>
    <row r="227" spans="1:13" ht="14.25" customHeight="1" x14ac:dyDescent="0.2">
      <c r="A227" s="1544" t="s">
        <v>73</v>
      </c>
      <c r="B227" s="1545"/>
      <c r="C227" s="1545"/>
      <c r="D227" s="1545"/>
      <c r="E227" s="1545"/>
      <c r="F227" s="1546"/>
      <c r="G227" s="308">
        <f>SUM(G228:G233)</f>
        <v>15233.7</v>
      </c>
      <c r="H227" s="308">
        <f t="shared" ref="H227:I227" si="3">SUM(H228:H233)</f>
        <v>22586.6</v>
      </c>
      <c r="I227" s="373">
        <f t="shared" si="3"/>
        <v>13511.2</v>
      </c>
      <c r="J227" s="10"/>
      <c r="K227" s="10"/>
      <c r="L227" s="10"/>
      <c r="M227" s="10"/>
    </row>
    <row r="228" spans="1:13" ht="14.25" customHeight="1" x14ac:dyDescent="0.2">
      <c r="A228" s="1491" t="s">
        <v>18</v>
      </c>
      <c r="B228" s="1492"/>
      <c r="C228" s="1492"/>
      <c r="D228" s="1492"/>
      <c r="E228" s="1492"/>
      <c r="F228" s="1493"/>
      <c r="G228" s="1174">
        <f>SUMIF(F16:F221,"SB",G16:G221)</f>
        <v>7325.7</v>
      </c>
      <c r="H228" s="1174">
        <f>SUMIF(F16:F221,"SB",H16:H221)</f>
        <v>15938.4</v>
      </c>
      <c r="I228" s="1174">
        <f>SUMIF(F16:F221,"SB",I16:I221)</f>
        <v>12027.6</v>
      </c>
      <c r="J228" s="34"/>
      <c r="K228" s="10"/>
      <c r="L228" s="10"/>
      <c r="M228" s="10"/>
    </row>
    <row r="229" spans="1:13" ht="14.25" customHeight="1" x14ac:dyDescent="0.2">
      <c r="A229" s="1506" t="s">
        <v>63</v>
      </c>
      <c r="B229" s="1507"/>
      <c r="C229" s="1507"/>
      <c r="D229" s="1507"/>
      <c r="E229" s="1507"/>
      <c r="F229" s="1508"/>
      <c r="G229" s="1174">
        <f>SUMIF(F16:F221,"SB(VR)",G16:G221)</f>
        <v>1900</v>
      </c>
      <c r="H229" s="1174">
        <f>SUMIF(F16:F221,"SB(VR)",H16:H221)</f>
        <v>1218</v>
      </c>
      <c r="I229" s="1174">
        <f>SUMIF(F16:F221,"SB(VR)",I16:I221)</f>
        <v>1483.6</v>
      </c>
      <c r="J229" s="10"/>
      <c r="K229" s="10"/>
      <c r="L229" s="10"/>
      <c r="M229" s="10"/>
    </row>
    <row r="230" spans="1:13" ht="29.25" customHeight="1" x14ac:dyDescent="0.2">
      <c r="A230" s="1525" t="s">
        <v>120</v>
      </c>
      <c r="B230" s="1526"/>
      <c r="C230" s="1526"/>
      <c r="D230" s="1526"/>
      <c r="E230" s="1526"/>
      <c r="F230" s="1527"/>
      <c r="G230" s="37">
        <f>SUMIF(F16:F219,"SB(ES)",G16:G219)</f>
        <v>1003.7</v>
      </c>
      <c r="H230" s="37">
        <f>SUMIF(F16:F219,"SB(ES)",H16:H219)</f>
        <v>430.2</v>
      </c>
      <c r="I230" s="37">
        <f>SUMIF(F16:F219,"SB(ES)",I16:I219)</f>
        <v>0</v>
      </c>
      <c r="J230" s="10"/>
      <c r="K230" s="10"/>
      <c r="L230" s="10"/>
      <c r="M230" s="10"/>
    </row>
    <row r="231" spans="1:13" ht="14.25" customHeight="1" x14ac:dyDescent="0.2">
      <c r="A231" s="1525" t="s">
        <v>181</v>
      </c>
      <c r="B231" s="1526"/>
      <c r="C231" s="1526"/>
      <c r="D231" s="1526"/>
      <c r="E231" s="1526"/>
      <c r="F231" s="1527"/>
      <c r="G231" s="37">
        <f>SUMIF(F16:F219,"SB(VB)",G16:G219)</f>
        <v>5000</v>
      </c>
      <c r="H231" s="37">
        <f>SUMIF(F16:F219,"SB(VB)",H16:H219)</f>
        <v>5000</v>
      </c>
      <c r="I231" s="37">
        <f>SUMIF(F16:F219,"SB(VB)",I16:I219)</f>
        <v>0</v>
      </c>
      <c r="J231" s="10"/>
      <c r="K231" s="10"/>
      <c r="L231" s="10"/>
      <c r="M231" s="10"/>
    </row>
    <row r="232" spans="1:13" ht="28.5" customHeight="1" x14ac:dyDescent="0.2">
      <c r="A232" s="1302" t="s">
        <v>208</v>
      </c>
      <c r="B232" s="1531"/>
      <c r="C232" s="1531"/>
      <c r="D232" s="1531"/>
      <c r="E232" s="1531"/>
      <c r="F232" s="1532"/>
      <c r="G232" s="37">
        <f>SUMIF(F16:F221,"SB(KP)",G16:G221)</f>
        <v>0</v>
      </c>
      <c r="H232" s="37">
        <f>SUMIF(F16:F221,"SB(KP)",H16:H221)</f>
        <v>0</v>
      </c>
      <c r="I232" s="37">
        <f>SUMIF(F16:F221,"SB(KP)",I16:I221)</f>
        <v>0</v>
      </c>
      <c r="J232" s="10"/>
      <c r="K232" s="10"/>
      <c r="L232" s="10"/>
      <c r="M232" s="10"/>
    </row>
    <row r="233" spans="1:13" ht="28.5" customHeight="1" x14ac:dyDescent="0.2">
      <c r="A233" s="1302" t="s">
        <v>366</v>
      </c>
      <c r="B233" s="1303"/>
      <c r="C233" s="1303"/>
      <c r="D233" s="1303"/>
      <c r="E233" s="1303"/>
      <c r="F233" s="1304"/>
      <c r="G233" s="37">
        <f>SUMIF(F17:F222,"SB(ESA)",G17:G222)</f>
        <v>4.3</v>
      </c>
      <c r="H233" s="37">
        <f>SUMIF(F17:F222,"SB(ESA)",H17:H222)</f>
        <v>0</v>
      </c>
      <c r="I233" s="37">
        <f>SUMIF(F17:F222,"SB(ESA)",I17:I222)</f>
        <v>0</v>
      </c>
      <c r="J233" s="10"/>
      <c r="K233" s="10"/>
      <c r="L233" s="10"/>
      <c r="M233" s="10"/>
    </row>
    <row r="234" spans="1:13" ht="15.75" customHeight="1" x14ac:dyDescent="0.2">
      <c r="A234" s="1516" t="s">
        <v>209</v>
      </c>
      <c r="B234" s="1533"/>
      <c r="C234" s="1533"/>
      <c r="D234" s="1533"/>
      <c r="E234" s="1533"/>
      <c r="F234" s="1534"/>
      <c r="G234" s="151">
        <f>SUMIF(F14:F221,"SB(KPP)",G14:G221)</f>
        <v>5583.2</v>
      </c>
      <c r="H234" s="151">
        <f>SUMIF(F14:F221,"SB(KPP)",H14:H221)</f>
        <v>5453.3</v>
      </c>
      <c r="I234" s="151">
        <f>SUMIF(F14:F221,"SB(KPP)",I14:I221)</f>
        <v>5767.9</v>
      </c>
      <c r="J234" s="10"/>
      <c r="K234" s="10"/>
      <c r="L234" s="10"/>
      <c r="M234" s="10"/>
    </row>
    <row r="235" spans="1:13" ht="14.25" customHeight="1" x14ac:dyDescent="0.2">
      <c r="A235" s="1535" t="s">
        <v>76</v>
      </c>
      <c r="B235" s="1517"/>
      <c r="C235" s="1517"/>
      <c r="D235" s="1517"/>
      <c r="E235" s="1517"/>
      <c r="F235" s="1518"/>
      <c r="G235" s="151">
        <f>SUMIF(F16:F220,"SB(VRL)",G16:G220)</f>
        <v>270.89999999999998</v>
      </c>
      <c r="H235" s="151">
        <f>SUMIF(F16:F220,"SB(VRL)",H16:H220)</f>
        <v>31.3</v>
      </c>
      <c r="I235" s="151">
        <f>SUMIF(F16:F220,"SB(VRL)",I16:I220)</f>
        <v>31.3</v>
      </c>
      <c r="J235" s="10"/>
      <c r="K235" s="10"/>
      <c r="L235" s="10"/>
      <c r="M235" s="10"/>
    </row>
    <row r="236" spans="1:13" ht="14.25" customHeight="1" x14ac:dyDescent="0.2">
      <c r="A236" s="1516" t="s">
        <v>77</v>
      </c>
      <c r="B236" s="1517"/>
      <c r="C236" s="1517"/>
      <c r="D236" s="1517"/>
      <c r="E236" s="1517"/>
      <c r="F236" s="1518"/>
      <c r="G236" s="151">
        <f>SUMIF(F16:F221,"SB(ŽPL)",G16:G221)</f>
        <v>744.1</v>
      </c>
      <c r="H236" s="151">
        <f>SUMIF(F16:F221,"SB(ŽPL)",H16:H221)</f>
        <v>0</v>
      </c>
      <c r="I236" s="151">
        <f>SUMIF(F16:F221,"SB(ŽPL)",I16:I221)</f>
        <v>0</v>
      </c>
      <c r="J236" s="10"/>
      <c r="K236" s="10"/>
      <c r="L236" s="10"/>
      <c r="M236" s="10"/>
    </row>
    <row r="237" spans="1:13" ht="14.25" customHeight="1" x14ac:dyDescent="0.2">
      <c r="A237" s="1519" t="s">
        <v>128</v>
      </c>
      <c r="B237" s="1520"/>
      <c r="C237" s="1520"/>
      <c r="D237" s="1520"/>
      <c r="E237" s="1520"/>
      <c r="F237" s="1521"/>
      <c r="G237" s="151">
        <f>SUMIF(F16:F221,"SB(L)",G16:G221)</f>
        <v>4057.6</v>
      </c>
      <c r="H237" s="151">
        <f>SUMIF(F16:F221,"SB(L)",H16:H221)</f>
        <v>0</v>
      </c>
      <c r="I237" s="151">
        <f>SUMIF(F16:F221,"SB(L)",I16:I221)</f>
        <v>0</v>
      </c>
      <c r="J237" s="10"/>
      <c r="K237" s="10"/>
      <c r="L237" s="10"/>
      <c r="M237" s="10"/>
    </row>
    <row r="238" spans="1:13" ht="14.25" customHeight="1" x14ac:dyDescent="0.2">
      <c r="A238" s="1522" t="s">
        <v>14</v>
      </c>
      <c r="B238" s="1523"/>
      <c r="C238" s="1523"/>
      <c r="D238" s="1523"/>
      <c r="E238" s="1523"/>
      <c r="F238" s="1524"/>
      <c r="G238" s="152">
        <f>G240+G241+G242+G239</f>
        <v>3935.7</v>
      </c>
      <c r="H238" s="152">
        <f t="shared" ref="H238:I238" si="4">H240+H241+H242+H239</f>
        <v>8738.7999999999993</v>
      </c>
      <c r="I238" s="152">
        <f t="shared" si="4"/>
        <v>14414.7</v>
      </c>
      <c r="J238" s="10"/>
      <c r="K238" s="10"/>
      <c r="L238" s="10"/>
      <c r="M238" s="10"/>
    </row>
    <row r="239" spans="1:13" ht="14.25" customHeight="1" x14ac:dyDescent="0.2">
      <c r="A239" s="1525" t="s">
        <v>19</v>
      </c>
      <c r="B239" s="1526"/>
      <c r="C239" s="1526"/>
      <c r="D239" s="1526"/>
      <c r="E239" s="1526"/>
      <c r="F239" s="1527"/>
      <c r="G239" s="37">
        <f>SUMIF(F16:F221,"ES",G16:G221)</f>
        <v>1288.5999999999999</v>
      </c>
      <c r="H239" s="37">
        <f>SUMIF(F16:F221,"ES",H16:H221)</f>
        <v>2274.6</v>
      </c>
      <c r="I239" s="37">
        <f>SUMIF(F16:F221,"ES",I16:I221)</f>
        <v>1339.6</v>
      </c>
      <c r="J239" s="10"/>
      <c r="K239" s="10"/>
      <c r="L239" s="10"/>
      <c r="M239" s="10"/>
    </row>
    <row r="240" spans="1:13" ht="14.25" customHeight="1" x14ac:dyDescent="0.2">
      <c r="A240" s="1528" t="s">
        <v>20</v>
      </c>
      <c r="B240" s="1529"/>
      <c r="C240" s="1529"/>
      <c r="D240" s="1529"/>
      <c r="E240" s="1529"/>
      <c r="F240" s="1530"/>
      <c r="G240" s="37">
        <f>SUMIF(F16:F221,"KVJUD",G16:G221)</f>
        <v>1542</v>
      </c>
      <c r="H240" s="37">
        <f>SUMIF(F16:F221,"KVJUD",H16:H221)</f>
        <v>0</v>
      </c>
      <c r="I240" s="37">
        <f>SUMIF(F16:F221,"KVJUD",I16:I221)</f>
        <v>0</v>
      </c>
      <c r="J240" s="34"/>
      <c r="K240" s="34"/>
      <c r="L240" s="34"/>
      <c r="M240" s="34"/>
    </row>
    <row r="241" spans="1:15" ht="14.25" customHeight="1" x14ac:dyDescent="0.2">
      <c r="A241" s="1506" t="s">
        <v>21</v>
      </c>
      <c r="B241" s="1507"/>
      <c r="C241" s="1507"/>
      <c r="D241" s="1507"/>
      <c r="E241" s="1507"/>
      <c r="F241" s="1508"/>
      <c r="G241" s="37">
        <f>SUMIF(F16:F221,"LRVB",G16:G221)</f>
        <v>1000</v>
      </c>
      <c r="H241" s="37">
        <f>SUMIF(F16:F221,"LRVB",H16:H221)</f>
        <v>6350</v>
      </c>
      <c r="I241" s="37">
        <f>SUMIF(F16:F221,"LRVB",I16:I221)</f>
        <v>13015.1</v>
      </c>
      <c r="J241" s="34"/>
      <c r="K241" s="34"/>
      <c r="L241" s="34"/>
      <c r="M241" s="34"/>
    </row>
    <row r="242" spans="1:15" ht="14.25" customHeight="1" x14ac:dyDescent="0.2">
      <c r="A242" s="1509" t="s">
        <v>22</v>
      </c>
      <c r="B242" s="1510"/>
      <c r="C242" s="1510"/>
      <c r="D242" s="1510"/>
      <c r="E242" s="1510"/>
      <c r="F242" s="1511"/>
      <c r="G242" s="37">
        <f>SUMIF(F16:F221,"Kt",G16:G221)</f>
        <v>105.1</v>
      </c>
      <c r="H242" s="37">
        <f>SUMIF(F16:F221,"Kt",H16:H221)</f>
        <v>114.2</v>
      </c>
      <c r="I242" s="37">
        <f>SUMIF(F16:F221,"Kt",I16:I221)</f>
        <v>60</v>
      </c>
      <c r="J242" s="34"/>
      <c r="K242" s="34"/>
      <c r="L242" s="34"/>
      <c r="M242" s="34"/>
    </row>
    <row r="243" spans="1:15" ht="14.25" customHeight="1" thickBot="1" x14ac:dyDescent="0.25">
      <c r="A243" s="1512" t="s">
        <v>15</v>
      </c>
      <c r="B243" s="1513"/>
      <c r="C243" s="1513"/>
      <c r="D243" s="1513"/>
      <c r="E243" s="1513"/>
      <c r="F243" s="1514"/>
      <c r="G243" s="153">
        <f>SUM(G226,G238)</f>
        <v>29825.200000000001</v>
      </c>
      <c r="H243" s="153">
        <f>SUM(H226,H238)</f>
        <v>36810</v>
      </c>
      <c r="I243" s="153">
        <f>SUM(I226,I238)</f>
        <v>33725.1</v>
      </c>
      <c r="J243" s="34"/>
      <c r="K243" s="34"/>
      <c r="L243" s="34"/>
      <c r="M243" s="34"/>
    </row>
    <row r="245" spans="1:15" s="2" customFormat="1" x14ac:dyDescent="0.2">
      <c r="E245" s="1244"/>
      <c r="F245" s="1245"/>
      <c r="G245" s="1246"/>
      <c r="H245" s="1246"/>
      <c r="I245" s="1246"/>
      <c r="N245" s="1"/>
      <c r="O245" s="1"/>
    </row>
    <row r="246" spans="1:15" s="2" customFormat="1" ht="9" customHeight="1" x14ac:dyDescent="0.2">
      <c r="E246" s="960"/>
      <c r="F246" s="3"/>
      <c r="G246" s="10"/>
      <c r="H246" s="10"/>
      <c r="I246" s="10"/>
      <c r="N246" s="1"/>
      <c r="O246" s="1"/>
    </row>
    <row r="247" spans="1:15" s="2" customFormat="1" hidden="1" x14ac:dyDescent="0.2">
      <c r="E247" s="960"/>
      <c r="F247" s="3"/>
      <c r="J247" s="10"/>
      <c r="N247" s="1"/>
      <c r="O247" s="1"/>
    </row>
    <row r="248" spans="1:15" s="2" customFormat="1" hidden="1" x14ac:dyDescent="0.2">
      <c r="E248" s="960"/>
      <c r="F248" s="3"/>
      <c r="I248" s="10"/>
      <c r="N248" s="1"/>
      <c r="O248" s="1"/>
    </row>
    <row r="249" spans="1:15" hidden="1" x14ac:dyDescent="0.2"/>
    <row r="250" spans="1:15" s="2" customFormat="1" hidden="1" x14ac:dyDescent="0.2">
      <c r="E250" s="960"/>
      <c r="F250" s="3"/>
      <c r="J250" s="10"/>
      <c r="N250" s="1"/>
      <c r="O250" s="1"/>
    </row>
    <row r="253" spans="1:15" s="2" customFormat="1" x14ac:dyDescent="0.2">
      <c r="E253" s="960"/>
      <c r="F253" s="3"/>
      <c r="J253" s="10"/>
      <c r="N253" s="1"/>
      <c r="O253" s="1"/>
    </row>
    <row r="256" spans="1:15" s="2" customFormat="1" x14ac:dyDescent="0.2">
      <c r="E256" s="960"/>
      <c r="F256" s="3"/>
      <c r="J256" s="10"/>
      <c r="N256" s="1"/>
      <c r="O256" s="1"/>
    </row>
  </sheetData>
  <mergeCells count="220">
    <mergeCell ref="A241:F241"/>
    <mergeCell ref="A242:F242"/>
    <mergeCell ref="A243:F243"/>
    <mergeCell ref="J1:M1"/>
    <mergeCell ref="D33:D35"/>
    <mergeCell ref="J47:J48"/>
    <mergeCell ref="J107:J108"/>
    <mergeCell ref="J52:J53"/>
    <mergeCell ref="A236:F236"/>
    <mergeCell ref="A237:F237"/>
    <mergeCell ref="A238:F238"/>
    <mergeCell ref="A239:F239"/>
    <mergeCell ref="A240:F240"/>
    <mergeCell ref="A229:F229"/>
    <mergeCell ref="A230:F230"/>
    <mergeCell ref="A231:F231"/>
    <mergeCell ref="A232:F232"/>
    <mergeCell ref="A234:F234"/>
    <mergeCell ref="A235:F235"/>
    <mergeCell ref="A222:H222"/>
    <mergeCell ref="A224:F224"/>
    <mergeCell ref="A225:F225"/>
    <mergeCell ref="A226:F226"/>
    <mergeCell ref="A227:F227"/>
    <mergeCell ref="A228:F228"/>
    <mergeCell ref="C219:F219"/>
    <mergeCell ref="J219:M219"/>
    <mergeCell ref="B220:F220"/>
    <mergeCell ref="J220:M220"/>
    <mergeCell ref="B221:F221"/>
    <mergeCell ref="J221:M221"/>
    <mergeCell ref="A216:A217"/>
    <mergeCell ref="B216:B217"/>
    <mergeCell ref="C216:C217"/>
    <mergeCell ref="D216:D217"/>
    <mergeCell ref="E216:E217"/>
    <mergeCell ref="A213:A215"/>
    <mergeCell ref="B213:B215"/>
    <mergeCell ref="C213:C215"/>
    <mergeCell ref="D213:D215"/>
    <mergeCell ref="E213:E215"/>
    <mergeCell ref="A210:A212"/>
    <mergeCell ref="B210:B212"/>
    <mergeCell ref="C210:C212"/>
    <mergeCell ref="D210:D212"/>
    <mergeCell ref="E210:E212"/>
    <mergeCell ref="J202:J203"/>
    <mergeCell ref="D205:D206"/>
    <mergeCell ref="A207:A209"/>
    <mergeCell ref="B207:B209"/>
    <mergeCell ref="C207:C209"/>
    <mergeCell ref="D207:D209"/>
    <mergeCell ref="J207:J208"/>
    <mergeCell ref="D196:D201"/>
    <mergeCell ref="E196:E201"/>
    <mergeCell ref="A202:A204"/>
    <mergeCell ref="B202:B204"/>
    <mergeCell ref="C202:C204"/>
    <mergeCell ref="D202:D204"/>
    <mergeCell ref="A193:A194"/>
    <mergeCell ref="B193:B194"/>
    <mergeCell ref="C193:C194"/>
    <mergeCell ref="D193:D194"/>
    <mergeCell ref="E193:E194"/>
    <mergeCell ref="D185:D186"/>
    <mergeCell ref="J185:J186"/>
    <mergeCell ref="D187:D188"/>
    <mergeCell ref="D191:D192"/>
    <mergeCell ref="D183:D184"/>
    <mergeCell ref="D189:D190"/>
    <mergeCell ref="J189:J190"/>
    <mergeCell ref="C167:F167"/>
    <mergeCell ref="J167:M167"/>
    <mergeCell ref="C168:M168"/>
    <mergeCell ref="D173:D180"/>
    <mergeCell ref="E173:E177"/>
    <mergeCell ref="N164:O164"/>
    <mergeCell ref="D159:D161"/>
    <mergeCell ref="J160:J161"/>
    <mergeCell ref="D162:D163"/>
    <mergeCell ref="D164:D165"/>
    <mergeCell ref="D169:D170"/>
    <mergeCell ref="J152:J153"/>
    <mergeCell ref="D154:D155"/>
    <mergeCell ref="I154:I155"/>
    <mergeCell ref="J154:J155"/>
    <mergeCell ref="D156:D157"/>
    <mergeCell ref="E156:E157"/>
    <mergeCell ref="A152:A153"/>
    <mergeCell ref="B152:B153"/>
    <mergeCell ref="C152:C153"/>
    <mergeCell ref="D152:D153"/>
    <mergeCell ref="E152:E153"/>
    <mergeCell ref="A146:A148"/>
    <mergeCell ref="B146:B148"/>
    <mergeCell ref="C146:C148"/>
    <mergeCell ref="D146:D148"/>
    <mergeCell ref="E146:E148"/>
    <mergeCell ref="J144:J145"/>
    <mergeCell ref="K144:K145"/>
    <mergeCell ref="L144:L145"/>
    <mergeCell ref="M144:M145"/>
    <mergeCell ref="A144:A145"/>
    <mergeCell ref="B144:B145"/>
    <mergeCell ref="C144:C145"/>
    <mergeCell ref="D144:D145"/>
    <mergeCell ref="E144:E145"/>
    <mergeCell ref="D137:D139"/>
    <mergeCell ref="J137:J139"/>
    <mergeCell ref="D142:D143"/>
    <mergeCell ref="J142:J143"/>
    <mergeCell ref="D121:D122"/>
    <mergeCell ref="C124:F124"/>
    <mergeCell ref="C125:M125"/>
    <mergeCell ref="D131:D132"/>
    <mergeCell ref="D113:D114"/>
    <mergeCell ref="E116:E118"/>
    <mergeCell ref="J116:J117"/>
    <mergeCell ref="D119:D120"/>
    <mergeCell ref="D126:D129"/>
    <mergeCell ref="E126:E128"/>
    <mergeCell ref="D133:D134"/>
    <mergeCell ref="D107:D108"/>
    <mergeCell ref="D109:D110"/>
    <mergeCell ref="D111:D112"/>
    <mergeCell ref="A104:A106"/>
    <mergeCell ref="B104:B106"/>
    <mergeCell ref="C104:C106"/>
    <mergeCell ref="D104:D106"/>
    <mergeCell ref="E104:E106"/>
    <mergeCell ref="D98:D101"/>
    <mergeCell ref="A102:A103"/>
    <mergeCell ref="B102:B103"/>
    <mergeCell ref="C102:C103"/>
    <mergeCell ref="D102:D103"/>
    <mergeCell ref="J102:J103"/>
    <mergeCell ref="C87:C94"/>
    <mergeCell ref="C95:C97"/>
    <mergeCell ref="D83:D85"/>
    <mergeCell ref="J75:J76"/>
    <mergeCell ref="D77:D78"/>
    <mergeCell ref="E77:E78"/>
    <mergeCell ref="D71:D72"/>
    <mergeCell ref="E71:E72"/>
    <mergeCell ref="J71:J72"/>
    <mergeCell ref="J83:J85"/>
    <mergeCell ref="D81:D82"/>
    <mergeCell ref="E81:E82"/>
    <mergeCell ref="J81:J82"/>
    <mergeCell ref="D79:D80"/>
    <mergeCell ref="E79:E80"/>
    <mergeCell ref="N71:N72"/>
    <mergeCell ref="A73:A76"/>
    <mergeCell ref="B73:B76"/>
    <mergeCell ref="C73:C76"/>
    <mergeCell ref="D73:D76"/>
    <mergeCell ref="E73:E76"/>
    <mergeCell ref="A69:A70"/>
    <mergeCell ref="B69:B70"/>
    <mergeCell ref="D69:D70"/>
    <mergeCell ref="E69:E70"/>
    <mergeCell ref="D61:D62"/>
    <mergeCell ref="A40:A41"/>
    <mergeCell ref="B40:B41"/>
    <mergeCell ref="C40:C41"/>
    <mergeCell ref="D40:D41"/>
    <mergeCell ref="J63:J64"/>
    <mergeCell ref="D67:D68"/>
    <mergeCell ref="E67:E68"/>
    <mergeCell ref="J69:J70"/>
    <mergeCell ref="D55:D56"/>
    <mergeCell ref="E55:E56"/>
    <mergeCell ref="J55:J56"/>
    <mergeCell ref="D58:D60"/>
    <mergeCell ref="D52:D54"/>
    <mergeCell ref="A33:A37"/>
    <mergeCell ref="B33:B37"/>
    <mergeCell ref="C33:C37"/>
    <mergeCell ref="J49:J50"/>
    <mergeCell ref="E50:E51"/>
    <mergeCell ref="H9:H11"/>
    <mergeCell ref="C42:C46"/>
    <mergeCell ref="D42:D44"/>
    <mergeCell ref="E43:E44"/>
    <mergeCell ref="D45:D46"/>
    <mergeCell ref="E45:E46"/>
    <mergeCell ref="J33:J34"/>
    <mergeCell ref="D38:D39"/>
    <mergeCell ref="J38:J39"/>
    <mergeCell ref="A47:A48"/>
    <mergeCell ref="B47:B48"/>
    <mergeCell ref="C47:C51"/>
    <mergeCell ref="D47:D48"/>
    <mergeCell ref="A49:A51"/>
    <mergeCell ref="B49:B51"/>
    <mergeCell ref="D49:D51"/>
    <mergeCell ref="A233:F233"/>
    <mergeCell ref="A5:M5"/>
    <mergeCell ref="A6:M6"/>
    <mergeCell ref="A7:M7"/>
    <mergeCell ref="J8:M8"/>
    <mergeCell ref="A9:A11"/>
    <mergeCell ref="B9:B11"/>
    <mergeCell ref="C9:C11"/>
    <mergeCell ref="D9:D11"/>
    <mergeCell ref="B14:M14"/>
    <mergeCell ref="C15:M15"/>
    <mergeCell ref="D16:D19"/>
    <mergeCell ref="D28:D30"/>
    <mergeCell ref="E28:E30"/>
    <mergeCell ref="J29:J30"/>
    <mergeCell ref="I9:I11"/>
    <mergeCell ref="J9:M9"/>
    <mergeCell ref="J10:J11"/>
    <mergeCell ref="K10:M10"/>
    <mergeCell ref="A12:M12"/>
    <mergeCell ref="A13:M13"/>
    <mergeCell ref="E9:E11"/>
    <mergeCell ref="F9:F11"/>
    <mergeCell ref="G9:G11"/>
  </mergeCells>
  <printOptions horizontalCentered="1"/>
  <pageMargins left="0.78740157480314965" right="0.39370078740157483" top="0.39370078740157483" bottom="0.39370078740157483" header="0" footer="0"/>
  <pageSetup paperSize="9" scale="64" orientation="portrait" r:id="rId1"/>
  <headerFooter alignWithMargins="0"/>
  <rowBreaks count="2" manualBreakCount="2">
    <brk id="68" max="12" man="1"/>
    <brk id="125"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0"/>
  <sheetViews>
    <sheetView topLeftCell="A22" zoomScaleNormal="100" zoomScaleSheetLayoutView="100" workbookViewId="0">
      <selection activeCell="Y25" sqref="Y25"/>
    </sheetView>
  </sheetViews>
  <sheetFormatPr defaultRowHeight="12.75" x14ac:dyDescent="0.2"/>
  <cols>
    <col min="1" max="3" width="2.7109375" style="2" customWidth="1"/>
    <col min="4" max="4" width="3.140625" style="780" customWidth="1"/>
    <col min="5" max="5" width="39.5703125" style="2" customWidth="1"/>
    <col min="6" max="6" width="4.42578125" style="750" customWidth="1"/>
    <col min="7" max="7" width="10.7109375" style="8" customWidth="1"/>
    <col min="8" max="8" width="8.85546875" style="3" customWidth="1"/>
    <col min="9" max="9" width="8.85546875" style="2" customWidth="1"/>
    <col min="10" max="12" width="9" style="2" customWidth="1"/>
    <col min="13" max="13" width="39.85546875" style="2" customWidth="1"/>
    <col min="14" max="14" width="5.7109375" style="2" customWidth="1"/>
    <col min="15" max="16" width="4.7109375" style="2" customWidth="1"/>
    <col min="17" max="17" width="5.28515625" style="2" customWidth="1"/>
    <col min="18" max="18" width="6.28515625" style="1" customWidth="1"/>
    <col min="19" max="16384" width="9.140625" style="1"/>
  </cols>
  <sheetData>
    <row r="1" spans="1:17" s="95" customFormat="1" ht="15.75" customHeight="1" x14ac:dyDescent="0.25">
      <c r="D1" s="776"/>
      <c r="F1" s="770"/>
      <c r="M1" s="1701" t="s">
        <v>91</v>
      </c>
      <c r="N1" s="1702"/>
      <c r="O1" s="1702"/>
      <c r="P1" s="1702"/>
      <c r="Q1" s="1702"/>
    </row>
    <row r="2" spans="1:17" s="24" customFormat="1" ht="15" x14ac:dyDescent="0.2">
      <c r="A2" s="1305" t="s">
        <v>245</v>
      </c>
      <c r="B2" s="1305"/>
      <c r="C2" s="1305"/>
      <c r="D2" s="1305"/>
      <c r="E2" s="1305"/>
      <c r="F2" s="1305"/>
      <c r="G2" s="1305"/>
      <c r="H2" s="1305"/>
      <c r="I2" s="1305"/>
      <c r="J2" s="1305"/>
      <c r="K2" s="1305"/>
      <c r="L2" s="1305"/>
      <c r="M2" s="1305"/>
      <c r="N2" s="1305"/>
      <c r="O2" s="1305"/>
      <c r="P2" s="1305"/>
      <c r="Q2" s="1305"/>
    </row>
    <row r="3" spans="1:17" ht="15.75" customHeight="1" x14ac:dyDescent="0.2">
      <c r="A3" s="1306" t="s">
        <v>27</v>
      </c>
      <c r="B3" s="1306"/>
      <c r="C3" s="1306"/>
      <c r="D3" s="1306"/>
      <c r="E3" s="1306"/>
      <c r="F3" s="1306"/>
      <c r="G3" s="1306"/>
      <c r="H3" s="1306"/>
      <c r="I3" s="1306"/>
      <c r="J3" s="1306"/>
      <c r="K3" s="1306"/>
      <c r="L3" s="1306"/>
      <c r="M3" s="1306"/>
      <c r="N3" s="1306"/>
      <c r="O3" s="1306"/>
      <c r="P3" s="1306"/>
      <c r="Q3" s="1306"/>
    </row>
    <row r="4" spans="1:17" ht="15" customHeight="1" x14ac:dyDescent="0.2">
      <c r="A4" s="1307" t="s">
        <v>16</v>
      </c>
      <c r="B4" s="1307"/>
      <c r="C4" s="1307"/>
      <c r="D4" s="1307"/>
      <c r="E4" s="1307"/>
      <c r="F4" s="1307"/>
      <c r="G4" s="1307"/>
      <c r="H4" s="1307"/>
      <c r="I4" s="1307"/>
      <c r="J4" s="1307"/>
      <c r="K4" s="1307"/>
      <c r="L4" s="1307"/>
      <c r="M4" s="1307"/>
      <c r="N4" s="1307"/>
      <c r="O4" s="1307"/>
      <c r="P4" s="1307"/>
      <c r="Q4" s="1307"/>
    </row>
    <row r="5" spans="1:17" ht="15" customHeight="1" thickBot="1" x14ac:dyDescent="0.25">
      <c r="A5" s="11"/>
      <c r="B5" s="11"/>
      <c r="C5" s="11"/>
      <c r="D5" s="777"/>
      <c r="E5" s="11"/>
      <c r="F5" s="771"/>
      <c r="G5" s="12"/>
      <c r="H5" s="137"/>
      <c r="I5" s="11"/>
      <c r="J5" s="11"/>
      <c r="K5" s="11"/>
      <c r="L5" s="11"/>
      <c r="M5" s="1308" t="s">
        <v>86</v>
      </c>
      <c r="N5" s="1308"/>
      <c r="O5" s="1308"/>
      <c r="P5" s="1308"/>
      <c r="Q5" s="1309"/>
    </row>
    <row r="6" spans="1:17" s="24" customFormat="1" ht="30" customHeight="1" x14ac:dyDescent="0.2">
      <c r="A6" s="1310" t="s">
        <v>17</v>
      </c>
      <c r="B6" s="1313" t="s">
        <v>0</v>
      </c>
      <c r="C6" s="1313" t="s">
        <v>1</v>
      </c>
      <c r="D6" s="1703" t="s">
        <v>25</v>
      </c>
      <c r="E6" s="1316" t="s">
        <v>11</v>
      </c>
      <c r="F6" s="1349" t="s">
        <v>2</v>
      </c>
      <c r="G6" s="1706" t="s">
        <v>56</v>
      </c>
      <c r="H6" s="1352" t="s">
        <v>3</v>
      </c>
      <c r="I6" s="1333" t="s">
        <v>303</v>
      </c>
      <c r="J6" s="1333" t="s">
        <v>243</v>
      </c>
      <c r="K6" s="1333" t="s">
        <v>168</v>
      </c>
      <c r="L6" s="1333" t="s">
        <v>244</v>
      </c>
      <c r="M6" s="1336" t="s">
        <v>10</v>
      </c>
      <c r="N6" s="1337"/>
      <c r="O6" s="1337"/>
      <c r="P6" s="1337"/>
      <c r="Q6" s="1338"/>
    </row>
    <row r="7" spans="1:17" s="24" customFormat="1" ht="18.75" customHeight="1" x14ac:dyDescent="0.2">
      <c r="A7" s="1311"/>
      <c r="B7" s="1314"/>
      <c r="C7" s="1314"/>
      <c r="D7" s="1704"/>
      <c r="E7" s="1317"/>
      <c r="F7" s="1350"/>
      <c r="G7" s="1707"/>
      <c r="H7" s="1353"/>
      <c r="I7" s="1334"/>
      <c r="J7" s="1334"/>
      <c r="K7" s="1334"/>
      <c r="L7" s="1334"/>
      <c r="M7" s="1339" t="s">
        <v>11</v>
      </c>
      <c r="N7" s="1341" t="s">
        <v>75</v>
      </c>
      <c r="O7" s="1341"/>
      <c r="P7" s="1341"/>
      <c r="Q7" s="1342"/>
    </row>
    <row r="8" spans="1:17" s="24" customFormat="1" ht="66" customHeight="1" thickBot="1" x14ac:dyDescent="0.25">
      <c r="A8" s="1312"/>
      <c r="B8" s="1315"/>
      <c r="C8" s="1315"/>
      <c r="D8" s="1705"/>
      <c r="E8" s="1318"/>
      <c r="F8" s="1351"/>
      <c r="G8" s="1708"/>
      <c r="H8" s="1354"/>
      <c r="I8" s="1335"/>
      <c r="J8" s="1335"/>
      <c r="K8" s="1335"/>
      <c r="L8" s="1335"/>
      <c r="M8" s="1340"/>
      <c r="N8" s="96" t="s">
        <v>92</v>
      </c>
      <c r="O8" s="96" t="s">
        <v>125</v>
      </c>
      <c r="P8" s="96" t="s">
        <v>169</v>
      </c>
      <c r="Q8" s="97" t="s">
        <v>242</v>
      </c>
    </row>
    <row r="9" spans="1:17" s="7" customFormat="1" ht="14.25" customHeight="1" x14ac:dyDescent="0.2">
      <c r="A9" s="1343" t="s">
        <v>55</v>
      </c>
      <c r="B9" s="1344"/>
      <c r="C9" s="1344"/>
      <c r="D9" s="1344"/>
      <c r="E9" s="1344"/>
      <c r="F9" s="1344"/>
      <c r="G9" s="1344"/>
      <c r="H9" s="1344"/>
      <c r="I9" s="1344"/>
      <c r="J9" s="1344"/>
      <c r="K9" s="1344"/>
      <c r="L9" s="1344"/>
      <c r="M9" s="1344"/>
      <c r="N9" s="1344"/>
      <c r="O9" s="1344"/>
      <c r="P9" s="1344"/>
      <c r="Q9" s="1345"/>
    </row>
    <row r="10" spans="1:17" s="7" customFormat="1" ht="14.25" customHeight="1" x14ac:dyDescent="0.2">
      <c r="A10" s="1346" t="s">
        <v>24</v>
      </c>
      <c r="B10" s="1347"/>
      <c r="C10" s="1347"/>
      <c r="D10" s="1347"/>
      <c r="E10" s="1347"/>
      <c r="F10" s="1347"/>
      <c r="G10" s="1347"/>
      <c r="H10" s="1347"/>
      <c r="I10" s="1347"/>
      <c r="J10" s="1347"/>
      <c r="K10" s="1347"/>
      <c r="L10" s="1347"/>
      <c r="M10" s="1347"/>
      <c r="N10" s="1347"/>
      <c r="O10" s="1347"/>
      <c r="P10" s="1347"/>
      <c r="Q10" s="1348"/>
    </row>
    <row r="11" spans="1:17" ht="16.5" customHeight="1" x14ac:dyDescent="0.2">
      <c r="A11" s="13" t="s">
        <v>4</v>
      </c>
      <c r="B11" s="1319" t="s">
        <v>28</v>
      </c>
      <c r="C11" s="1320"/>
      <c r="D11" s="1320"/>
      <c r="E11" s="1320"/>
      <c r="F11" s="1320"/>
      <c r="G11" s="1320"/>
      <c r="H11" s="1320"/>
      <c r="I11" s="1320"/>
      <c r="J11" s="1320"/>
      <c r="K11" s="1320"/>
      <c r="L11" s="1320"/>
      <c r="M11" s="1320"/>
      <c r="N11" s="1320"/>
      <c r="O11" s="1320"/>
      <c r="P11" s="1320"/>
      <c r="Q11" s="1321"/>
    </row>
    <row r="12" spans="1:17" ht="15" customHeight="1" x14ac:dyDescent="0.2">
      <c r="A12" s="136" t="s">
        <v>4</v>
      </c>
      <c r="B12" s="9" t="s">
        <v>4</v>
      </c>
      <c r="C12" s="1322" t="s">
        <v>322</v>
      </c>
      <c r="D12" s="1323"/>
      <c r="E12" s="1323"/>
      <c r="F12" s="1323"/>
      <c r="G12" s="1323"/>
      <c r="H12" s="1323"/>
      <c r="I12" s="1323"/>
      <c r="J12" s="1323"/>
      <c r="K12" s="1323"/>
      <c r="L12" s="1323"/>
      <c r="M12" s="1323"/>
      <c r="N12" s="1323"/>
      <c r="O12" s="1323"/>
      <c r="P12" s="1323"/>
      <c r="Q12" s="1324"/>
    </row>
    <row r="13" spans="1:17" ht="13.5" customHeight="1" x14ac:dyDescent="0.2">
      <c r="A13" s="563" t="s">
        <v>4</v>
      </c>
      <c r="B13" s="567" t="s">
        <v>4</v>
      </c>
      <c r="C13" s="578" t="s">
        <v>4</v>
      </c>
      <c r="D13" s="755"/>
      <c r="E13" s="1613" t="s">
        <v>266</v>
      </c>
      <c r="F13" s="714" t="s">
        <v>44</v>
      </c>
      <c r="G13" s="614"/>
      <c r="H13" s="614" t="s">
        <v>267</v>
      </c>
      <c r="I13" s="238">
        <f>SUMIF(H25:H170,"SB",I25:I170)</f>
        <v>4563.3</v>
      </c>
      <c r="J13" s="238">
        <f>SUMIF(H25:H170,"SB",J25:J170)</f>
        <v>3500.3</v>
      </c>
      <c r="K13" s="238">
        <f>SUMIF(H25:H170,"SB",K25:K170)</f>
        <v>9281.9</v>
      </c>
      <c r="L13" s="238">
        <f>SUMIF(H25:H170,"SB",L25:L170)</f>
        <v>4329.7</v>
      </c>
      <c r="M13" s="178"/>
      <c r="N13" s="180"/>
      <c r="O13" s="454"/>
      <c r="P13" s="455"/>
      <c r="Q13" s="618"/>
    </row>
    <row r="14" spans="1:17" ht="13.5" customHeight="1" x14ac:dyDescent="0.2">
      <c r="A14" s="563"/>
      <c r="B14" s="564"/>
      <c r="C14" s="578"/>
      <c r="D14" s="747"/>
      <c r="E14" s="1614"/>
      <c r="F14" s="714" t="s">
        <v>291</v>
      </c>
      <c r="G14" s="615"/>
      <c r="H14" s="622" t="s">
        <v>268</v>
      </c>
      <c r="I14" s="39">
        <f>SUMIF(H25:H161,"SB(L)",I25:I161)</f>
        <v>679.9</v>
      </c>
      <c r="J14" s="39">
        <f>SUMIF(H25:H161,"SB(L)",J25:J161)</f>
        <v>1822.5</v>
      </c>
      <c r="K14" s="39">
        <f>SUMIF(H34:H170,"SB(L)",K34:K170)</f>
        <v>0</v>
      </c>
      <c r="L14" s="39">
        <f>SUMIF(H34:H170,"SB(L)",L34:L170)</f>
        <v>0</v>
      </c>
      <c r="M14" s="178"/>
      <c r="N14" s="180"/>
      <c r="O14" s="179"/>
      <c r="P14" s="180"/>
      <c r="Q14" s="181"/>
    </row>
    <row r="15" spans="1:17" ht="13.5" customHeight="1" x14ac:dyDescent="0.2">
      <c r="A15" s="563"/>
      <c r="B15" s="564"/>
      <c r="C15" s="578"/>
      <c r="D15" s="747"/>
      <c r="E15" s="1614"/>
      <c r="F15" s="715"/>
      <c r="G15" s="615"/>
      <c r="H15" s="621" t="s">
        <v>269</v>
      </c>
      <c r="I15" s="41">
        <f>SUMIF(H34:H170,"SB(ŽPL)",I34:I170)</f>
        <v>480.6</v>
      </c>
      <c r="J15" s="41">
        <f>SUMIF(H34:H170,"SB(ŽPL)",J34:J170)</f>
        <v>744.1</v>
      </c>
      <c r="K15" s="41">
        <f>SUMIF(H34:H170,"SB(ŽPL)",K34:K170)</f>
        <v>0</v>
      </c>
      <c r="L15" s="41">
        <f>SUMIF(H34:H170,"SB(ŽPL)",L34:L170)</f>
        <v>0</v>
      </c>
      <c r="M15" s="178"/>
      <c r="N15" s="180"/>
      <c r="O15" s="179"/>
      <c r="P15" s="180"/>
      <c r="Q15" s="181"/>
    </row>
    <row r="16" spans="1:17" ht="13.5" customHeight="1" x14ac:dyDescent="0.2">
      <c r="A16" s="563"/>
      <c r="B16" s="564"/>
      <c r="C16" s="578"/>
      <c r="D16" s="747"/>
      <c r="E16" s="1614"/>
      <c r="F16" s="715"/>
      <c r="G16" s="615"/>
      <c r="H16" s="620" t="s">
        <v>270</v>
      </c>
      <c r="I16" s="39">
        <f>SUMIF(H25:H170,"SB(KPP)",I25:I170)</f>
        <v>4665.7</v>
      </c>
      <c r="J16" s="39">
        <f>SUMIF(H25:H170,"SB(KPP)",J25:J170)</f>
        <v>5116.5</v>
      </c>
      <c r="K16" s="39">
        <f>SUMIF(H25:H170,"SB(KPP)",K25:K170)</f>
        <v>5083.3</v>
      </c>
      <c r="L16" s="39">
        <f>SUMIF(H25:H170,"SB(KPP)",L25:L170)</f>
        <v>5567.9</v>
      </c>
      <c r="M16" s="178"/>
      <c r="N16" s="180"/>
      <c r="O16" s="179"/>
      <c r="P16" s="180"/>
      <c r="Q16" s="181"/>
    </row>
    <row r="17" spans="1:17" ht="13.5" customHeight="1" x14ac:dyDescent="0.2">
      <c r="A17" s="563"/>
      <c r="B17" s="564"/>
      <c r="C17" s="578"/>
      <c r="D17" s="747"/>
      <c r="E17" s="616"/>
      <c r="F17" s="619"/>
      <c r="G17" s="26"/>
      <c r="H17" s="355" t="s">
        <v>276</v>
      </c>
      <c r="I17" s="39">
        <f>SUMIF(H25:H164,"SB(VR)",I25:I164)</f>
        <v>222.6</v>
      </c>
      <c r="J17" s="39">
        <f>SUMIF(H25:H164,"SB(VR)",J25:J164)</f>
        <v>0</v>
      </c>
      <c r="K17" s="39">
        <f>SUMIF(H25:H164,"SB(VR)",K25:K164)</f>
        <v>0</v>
      </c>
      <c r="L17" s="39">
        <f>SUMIF(H25:H164,"SB(VR)",L25:L164)</f>
        <v>0</v>
      </c>
      <c r="M17" s="178"/>
      <c r="N17" s="180"/>
      <c r="O17" s="179"/>
      <c r="P17" s="180"/>
      <c r="Q17" s="181"/>
    </row>
    <row r="18" spans="1:17" ht="13.5" customHeight="1" x14ac:dyDescent="0.2">
      <c r="A18" s="563"/>
      <c r="B18" s="564"/>
      <c r="C18" s="578"/>
      <c r="D18" s="747"/>
      <c r="E18" s="616"/>
      <c r="F18" s="619"/>
      <c r="G18" s="26"/>
      <c r="H18" s="26" t="s">
        <v>277</v>
      </c>
      <c r="I18" s="43">
        <f>SUMIF(H34:H170,"SB(VRL)",I34:I170)</f>
        <v>292.60000000000002</v>
      </c>
      <c r="J18" s="43">
        <f>SUMIF(H25:H161,"SB(VRL)",J25:J161)</f>
        <v>84.3</v>
      </c>
      <c r="K18" s="43">
        <f>SUMIF(H25:H161,"SB(VRL)",K25:K161)</f>
        <v>0</v>
      </c>
      <c r="L18" s="43">
        <f>SUMIF(H25:H161,"SB(VRL)",L25:L161)</f>
        <v>0</v>
      </c>
      <c r="M18" s="178"/>
      <c r="N18" s="180"/>
      <c r="O18" s="179"/>
      <c r="P18" s="180"/>
      <c r="Q18" s="181"/>
    </row>
    <row r="19" spans="1:17" ht="13.5" customHeight="1" x14ac:dyDescent="0.2">
      <c r="A19" s="563"/>
      <c r="B19" s="564"/>
      <c r="C19" s="578"/>
      <c r="D19" s="747"/>
      <c r="E19" s="616"/>
      <c r="F19" s="619"/>
      <c r="G19" s="615"/>
      <c r="H19" s="620" t="s">
        <v>271</v>
      </c>
      <c r="I19" s="39">
        <f>SUMIF(H34:H168,"SB(ES)",I34:I168)</f>
        <v>250.2</v>
      </c>
      <c r="J19" s="39">
        <f>SUMIF(H25:H159,"SB(ES)",J25:J159)</f>
        <v>1003.7</v>
      </c>
      <c r="K19" s="39">
        <f>SUMIF(H25:H159,"SB(ES)",K25:K159)</f>
        <v>430.2</v>
      </c>
      <c r="L19" s="39">
        <f>SUMIF(H34:H168,"SB(ES)",L34:L168)</f>
        <v>0</v>
      </c>
      <c r="M19" s="178"/>
      <c r="N19" s="180"/>
      <c r="O19" s="179"/>
      <c r="P19" s="180"/>
      <c r="Q19" s="181"/>
    </row>
    <row r="20" spans="1:17" ht="13.5" customHeight="1" x14ac:dyDescent="0.2">
      <c r="A20" s="1180"/>
      <c r="B20" s="1182"/>
      <c r="C20" s="1181"/>
      <c r="D20" s="1179"/>
      <c r="E20" s="616"/>
      <c r="F20" s="619"/>
      <c r="G20" s="615"/>
      <c r="H20" s="620" t="s">
        <v>367</v>
      </c>
      <c r="I20" s="43"/>
      <c r="J20" s="39">
        <f>SUMIF(H26:H160,"SB(VB)",J26:J160)</f>
        <v>5000</v>
      </c>
      <c r="K20" s="39">
        <f>SUMIF(H26:H160,"SB(VB)",K26:K160)</f>
        <v>5000</v>
      </c>
      <c r="L20" s="39">
        <f>SUMIF(H26:H160,"SB(VB)",L26:L160)</f>
        <v>0</v>
      </c>
      <c r="M20" s="178"/>
      <c r="N20" s="180"/>
      <c r="O20" s="179"/>
      <c r="P20" s="180"/>
      <c r="Q20" s="181"/>
    </row>
    <row r="21" spans="1:17" ht="13.5" customHeight="1" x14ac:dyDescent="0.2">
      <c r="A21" s="563"/>
      <c r="B21" s="564"/>
      <c r="C21" s="578"/>
      <c r="D21" s="747"/>
      <c r="E21" s="616"/>
      <c r="F21" s="619"/>
      <c r="G21" s="615"/>
      <c r="H21" s="620" t="s">
        <v>274</v>
      </c>
      <c r="I21" s="43">
        <f>SUMIF(H34:H168,"ES",I34:I168)</f>
        <v>0</v>
      </c>
      <c r="J21" s="43">
        <f>SUMIF(H34:H168,"ES",J34:J168)</f>
        <v>291.60000000000002</v>
      </c>
      <c r="K21" s="43">
        <f>SUMIF(H34:H168,"ES",K34:K168)</f>
        <v>2207.3000000000002</v>
      </c>
      <c r="L21" s="43">
        <f>SUMIF(H34:H168,"ES",L34:L168)</f>
        <v>1339.6</v>
      </c>
      <c r="M21" s="178"/>
      <c r="N21" s="180"/>
      <c r="O21" s="179"/>
      <c r="P21" s="180"/>
      <c r="Q21" s="181"/>
    </row>
    <row r="22" spans="1:17" ht="13.5" customHeight="1" x14ac:dyDescent="0.2">
      <c r="A22" s="563"/>
      <c r="B22" s="564"/>
      <c r="C22" s="578"/>
      <c r="D22" s="747"/>
      <c r="E22" s="616"/>
      <c r="F22" s="619"/>
      <c r="G22" s="615"/>
      <c r="H22" s="622" t="s">
        <v>272</v>
      </c>
      <c r="I22" s="39">
        <f>SUMIF(H25:H170,"KVJUD",I25:I170)</f>
        <v>1662.4</v>
      </c>
      <c r="J22" s="39">
        <f>SUMIF(H25:H170,"KVJUD",J25:J170)</f>
        <v>1542</v>
      </c>
      <c r="K22" s="39">
        <f>SUMIF(H25:H170,"KVJUD",K25:K170)</f>
        <v>0</v>
      </c>
      <c r="L22" s="39">
        <f>SUMIF(H25:H170,"KVJUD",L25:L170)</f>
        <v>0</v>
      </c>
      <c r="M22" s="178"/>
      <c r="N22" s="180"/>
      <c r="O22" s="179"/>
      <c r="P22" s="180"/>
      <c r="Q22" s="181"/>
    </row>
    <row r="23" spans="1:17" ht="13.5" customHeight="1" x14ac:dyDescent="0.2">
      <c r="A23" s="588"/>
      <c r="B23" s="589"/>
      <c r="C23" s="590"/>
      <c r="D23" s="747"/>
      <c r="E23" s="616"/>
      <c r="F23" s="619"/>
      <c r="G23" s="615"/>
      <c r="H23" s="621" t="s">
        <v>273</v>
      </c>
      <c r="I23" s="41">
        <f>SUMIF(H25:H164,"LRVB",I25:I164)</f>
        <v>0</v>
      </c>
      <c r="J23" s="41">
        <f>SUMIF(H25:H164,"LRVB",J25:J164)</f>
        <v>1000</v>
      </c>
      <c r="K23" s="41">
        <f>SUMIF(H25:H164,"LRVB",K25:K164)</f>
        <v>6350</v>
      </c>
      <c r="L23" s="41">
        <f>SUMIF(H25:H164,"LRVB",L25:L164)</f>
        <v>13015.1</v>
      </c>
      <c r="M23" s="178"/>
      <c r="N23" s="180"/>
      <c r="O23" s="179"/>
      <c r="P23" s="180"/>
      <c r="Q23" s="181"/>
    </row>
    <row r="24" spans="1:17" ht="13.5" customHeight="1" x14ac:dyDescent="0.2">
      <c r="A24" s="563"/>
      <c r="B24" s="564"/>
      <c r="C24" s="578"/>
      <c r="D24" s="747"/>
      <c r="E24" s="616"/>
      <c r="F24" s="619"/>
      <c r="G24" s="623"/>
      <c r="H24" s="620" t="s">
        <v>275</v>
      </c>
      <c r="I24" s="39">
        <f>SUMIF(H34:H170,"Kt",I34:I170)</f>
        <v>126.4</v>
      </c>
      <c r="J24" s="39">
        <f>SUMIF(H34:H170,"Kt",J34:J170)</f>
        <v>105.1</v>
      </c>
      <c r="K24" s="325">
        <f>SUMIF(H34:H170,"Kt",K34:K170)</f>
        <v>114.2</v>
      </c>
      <c r="L24" s="325">
        <f>SUMIF(H34:H170,"Kt",L34:L170)</f>
        <v>60</v>
      </c>
      <c r="M24" s="661"/>
      <c r="N24" s="662"/>
      <c r="O24" s="663"/>
      <c r="P24" s="663"/>
      <c r="Q24" s="181"/>
    </row>
    <row r="25" spans="1:17" ht="13.5" customHeight="1" x14ac:dyDescent="0.2">
      <c r="A25" s="629"/>
      <c r="B25" s="630"/>
      <c r="C25" s="641"/>
      <c r="D25" s="757" t="s">
        <v>4</v>
      </c>
      <c r="E25" s="1592" t="s">
        <v>101</v>
      </c>
      <c r="F25" s="1566" t="s">
        <v>292</v>
      </c>
      <c r="G25" s="1596" t="s">
        <v>328</v>
      </c>
      <c r="H25" s="375" t="s">
        <v>23</v>
      </c>
      <c r="I25" s="954">
        <v>105</v>
      </c>
      <c r="J25" s="73">
        <v>99.7</v>
      </c>
      <c r="K25" s="41"/>
      <c r="L25" s="41"/>
      <c r="M25" s="442" t="s">
        <v>43</v>
      </c>
      <c r="N25" s="637"/>
      <c r="O25" s="645">
        <v>1</v>
      </c>
      <c r="P25" s="638"/>
      <c r="Q25" s="646"/>
    </row>
    <row r="26" spans="1:17" ht="13.5" customHeight="1" x14ac:dyDescent="0.2">
      <c r="A26" s="629"/>
      <c r="B26" s="630"/>
      <c r="C26" s="641"/>
      <c r="D26" s="758"/>
      <c r="E26" s="1593"/>
      <c r="F26" s="1567"/>
      <c r="G26" s="1584"/>
      <c r="H26" s="42" t="s">
        <v>79</v>
      </c>
      <c r="I26" s="41">
        <f>243.1-21.9</f>
        <v>221.2</v>
      </c>
      <c r="J26" s="61"/>
      <c r="K26" s="41">
        <v>1350</v>
      </c>
      <c r="L26" s="41">
        <v>2700</v>
      </c>
      <c r="M26" s="1585" t="s">
        <v>174</v>
      </c>
      <c r="N26" s="637"/>
      <c r="O26" s="638">
        <v>15</v>
      </c>
      <c r="P26" s="638">
        <v>45</v>
      </c>
      <c r="Q26" s="647">
        <v>85</v>
      </c>
    </row>
    <row r="27" spans="1:17" ht="13.5" customHeight="1" x14ac:dyDescent="0.2">
      <c r="A27" s="925"/>
      <c r="B27" s="926"/>
      <c r="C27" s="932"/>
      <c r="D27" s="758"/>
      <c r="E27" s="1593"/>
      <c r="F27" s="1567"/>
      <c r="G27" s="1584"/>
      <c r="H27" s="42" t="s">
        <v>54</v>
      </c>
      <c r="I27" s="41"/>
      <c r="J27" s="61">
        <v>450.3</v>
      </c>
      <c r="K27" s="41"/>
      <c r="L27" s="41"/>
      <c r="M27" s="1585"/>
      <c r="N27" s="928"/>
      <c r="O27" s="929"/>
      <c r="P27" s="929"/>
      <c r="Q27" s="933"/>
    </row>
    <row r="28" spans="1:17" ht="13.5" customHeight="1" x14ac:dyDescent="0.2">
      <c r="A28" s="629"/>
      <c r="B28" s="630"/>
      <c r="C28" s="641"/>
      <c r="D28" s="758"/>
      <c r="E28" s="1593"/>
      <c r="F28" s="1567"/>
      <c r="G28" s="1597"/>
      <c r="H28" s="42" t="s">
        <v>367</v>
      </c>
      <c r="I28" s="41"/>
      <c r="J28" s="61">
        <v>5000</v>
      </c>
      <c r="K28" s="41">
        <v>5000</v>
      </c>
      <c r="L28" s="41"/>
      <c r="M28" s="1585"/>
      <c r="N28" s="637"/>
      <c r="O28" s="638"/>
      <c r="P28" s="638"/>
      <c r="Q28" s="647"/>
    </row>
    <row r="29" spans="1:17" ht="13.5" customHeight="1" x14ac:dyDescent="0.2">
      <c r="A29" s="629"/>
      <c r="B29" s="630"/>
      <c r="C29" s="641"/>
      <c r="D29" s="758"/>
      <c r="E29" s="1593"/>
      <c r="F29" s="1567"/>
      <c r="G29" s="1597"/>
      <c r="H29" s="725" t="s">
        <v>45</v>
      </c>
      <c r="I29" s="41"/>
      <c r="J29" s="61">
        <f>495+47</f>
        <v>542</v>
      </c>
      <c r="K29" s="41"/>
      <c r="L29" s="41"/>
      <c r="M29" s="1585"/>
      <c r="N29" s="637"/>
      <c r="O29" s="638"/>
      <c r="P29" s="638"/>
      <c r="Q29" s="647"/>
    </row>
    <row r="30" spans="1:17" ht="13.5" customHeight="1" x14ac:dyDescent="0.2">
      <c r="A30" s="629"/>
      <c r="B30" s="630"/>
      <c r="C30" s="641"/>
      <c r="D30" s="758"/>
      <c r="E30" s="1593"/>
      <c r="F30" s="1567"/>
      <c r="G30" s="1597"/>
      <c r="H30" s="50" t="s">
        <v>178</v>
      </c>
      <c r="I30" s="41"/>
      <c r="J30" s="40"/>
      <c r="K30" s="41">
        <v>3650</v>
      </c>
      <c r="L30" s="41">
        <v>12000</v>
      </c>
      <c r="M30" s="1586"/>
      <c r="N30" s="637"/>
      <c r="O30" s="645"/>
      <c r="P30" s="638"/>
      <c r="Q30" s="647"/>
    </row>
    <row r="31" spans="1:17" ht="27" customHeight="1" x14ac:dyDescent="0.2">
      <c r="A31" s="629"/>
      <c r="B31" s="630"/>
      <c r="C31" s="641"/>
      <c r="D31" s="758"/>
      <c r="E31" s="690" t="s">
        <v>293</v>
      </c>
      <c r="F31" s="734"/>
      <c r="G31" s="1597"/>
      <c r="H31" s="334" t="s">
        <v>23</v>
      </c>
      <c r="I31" s="46"/>
      <c r="J31" s="360"/>
      <c r="K31" s="46">
        <v>1100</v>
      </c>
      <c r="L31" s="46"/>
      <c r="M31" s="635" t="s">
        <v>351</v>
      </c>
      <c r="N31" s="372"/>
      <c r="O31" s="245">
        <v>50</v>
      </c>
      <c r="P31" s="246">
        <v>100</v>
      </c>
      <c r="Q31" s="120"/>
    </row>
    <row r="32" spans="1:17" ht="27" customHeight="1" x14ac:dyDescent="0.2">
      <c r="A32" s="629"/>
      <c r="B32" s="630"/>
      <c r="C32" s="641"/>
      <c r="D32" s="758"/>
      <c r="E32" s="691"/>
      <c r="F32" s="734"/>
      <c r="G32" s="69"/>
      <c r="H32" s="89" t="s">
        <v>79</v>
      </c>
      <c r="I32" s="43"/>
      <c r="J32" s="74">
        <v>500</v>
      </c>
      <c r="K32" s="43"/>
      <c r="L32" s="43"/>
      <c r="M32" s="389" t="s">
        <v>281</v>
      </c>
      <c r="N32" s="169"/>
      <c r="O32" s="301">
        <v>100</v>
      </c>
      <c r="P32" s="191"/>
      <c r="Q32" s="309"/>
    </row>
    <row r="33" spans="1:17" ht="46.5" customHeight="1" x14ac:dyDescent="0.2">
      <c r="A33" s="629"/>
      <c r="B33" s="630"/>
      <c r="C33" s="641"/>
      <c r="D33" s="758"/>
      <c r="E33" s="627"/>
      <c r="F33" s="734"/>
      <c r="G33" s="69"/>
      <c r="H33" s="50" t="s">
        <v>178</v>
      </c>
      <c r="I33" s="41"/>
      <c r="J33" s="61">
        <v>1000</v>
      </c>
      <c r="K33" s="46">
        <v>2700</v>
      </c>
      <c r="L33" s="41">
        <v>1000</v>
      </c>
      <c r="M33" s="626" t="s">
        <v>282</v>
      </c>
      <c r="N33" s="637"/>
      <c r="O33" s="645"/>
      <c r="P33" s="638"/>
      <c r="Q33" s="647"/>
    </row>
    <row r="34" spans="1:17" ht="15" customHeight="1" x14ac:dyDescent="0.2">
      <c r="A34" s="1355"/>
      <c r="B34" s="1356"/>
      <c r="C34" s="1623"/>
      <c r="D34" s="1611" t="s">
        <v>6</v>
      </c>
      <c r="E34" s="1600" t="s">
        <v>196</v>
      </c>
      <c r="F34" s="714" t="s">
        <v>291</v>
      </c>
      <c r="G34" s="1602" t="s">
        <v>329</v>
      </c>
      <c r="H34" s="54" t="s">
        <v>79</v>
      </c>
      <c r="I34" s="375">
        <f>755.4-236.1-378-116.2+224.9</f>
        <v>250</v>
      </c>
      <c r="J34" s="73">
        <v>950.9</v>
      </c>
      <c r="K34" s="766">
        <v>311.89999999999998</v>
      </c>
      <c r="L34" s="377"/>
      <c r="M34" s="1372"/>
      <c r="N34" s="581"/>
      <c r="O34" s="583"/>
      <c r="P34" s="581"/>
      <c r="Q34" s="579"/>
    </row>
    <row r="35" spans="1:17" ht="15" customHeight="1" x14ac:dyDescent="0.2">
      <c r="A35" s="1355"/>
      <c r="B35" s="1356"/>
      <c r="C35" s="1623"/>
      <c r="D35" s="1472"/>
      <c r="E35" s="1601"/>
      <c r="F35" s="720"/>
      <c r="G35" s="1603"/>
      <c r="H35" s="50" t="s">
        <v>23</v>
      </c>
      <c r="I35" s="42">
        <v>875.5</v>
      </c>
      <c r="J35" s="184"/>
      <c r="K35" s="443">
        <v>876.7</v>
      </c>
      <c r="L35" s="42"/>
      <c r="M35" s="1373"/>
      <c r="N35" s="571"/>
      <c r="O35" s="571"/>
      <c r="P35" s="571"/>
      <c r="Q35" s="580"/>
    </row>
    <row r="36" spans="1:17" ht="15" customHeight="1" x14ac:dyDescent="0.2">
      <c r="A36" s="1355"/>
      <c r="B36" s="1356"/>
      <c r="C36" s="1623"/>
      <c r="D36" s="1472"/>
      <c r="E36" s="1601"/>
      <c r="F36" s="720"/>
      <c r="G36" s="1603"/>
      <c r="H36" s="50" t="s">
        <v>167</v>
      </c>
      <c r="I36" s="41">
        <f>1482.2-1232</f>
        <v>250.2</v>
      </c>
      <c r="J36" s="61">
        <v>1003.7</v>
      </c>
      <c r="K36" s="767">
        <v>430.2</v>
      </c>
      <c r="L36" s="41"/>
      <c r="M36" s="558"/>
      <c r="N36" s="571"/>
      <c r="O36" s="571"/>
      <c r="P36" s="571"/>
      <c r="Q36" s="580"/>
    </row>
    <row r="37" spans="1:17" ht="15" customHeight="1" x14ac:dyDescent="0.2">
      <c r="A37" s="1355"/>
      <c r="B37" s="1356"/>
      <c r="C37" s="1623"/>
      <c r="D37" s="1472"/>
      <c r="E37" s="759"/>
      <c r="F37" s="720"/>
      <c r="G37" s="1603"/>
      <c r="H37" s="724" t="s">
        <v>45</v>
      </c>
      <c r="I37" s="41">
        <v>200</v>
      </c>
      <c r="J37" s="61">
        <v>500</v>
      </c>
      <c r="K37" s="767"/>
      <c r="L37" s="41"/>
      <c r="M37" s="558"/>
      <c r="N37" s="571"/>
      <c r="O37" s="571"/>
      <c r="P37" s="571"/>
      <c r="Q37" s="580"/>
    </row>
    <row r="38" spans="1:17" ht="15" customHeight="1" x14ac:dyDescent="0.2">
      <c r="A38" s="1355"/>
      <c r="B38" s="1356"/>
      <c r="C38" s="1623"/>
      <c r="D38" s="1472"/>
      <c r="E38" s="759"/>
      <c r="F38" s="720"/>
      <c r="G38" s="1603"/>
      <c r="H38" s="50" t="s">
        <v>42</v>
      </c>
      <c r="I38" s="41">
        <v>104.9</v>
      </c>
      <c r="J38" s="61">
        <v>27.7</v>
      </c>
      <c r="K38" s="767">
        <v>74.2</v>
      </c>
      <c r="L38" s="41"/>
      <c r="M38" s="558"/>
      <c r="N38" s="571"/>
      <c r="O38" s="571"/>
      <c r="P38" s="571"/>
      <c r="Q38" s="580"/>
    </row>
    <row r="39" spans="1:17" ht="15" customHeight="1" x14ac:dyDescent="0.2">
      <c r="A39" s="1355"/>
      <c r="B39" s="1356"/>
      <c r="C39" s="1623"/>
      <c r="D39" s="1472"/>
      <c r="E39" s="931"/>
      <c r="F39" s="720"/>
      <c r="G39" s="1603"/>
      <c r="H39" s="50" t="s">
        <v>23</v>
      </c>
      <c r="I39" s="41"/>
      <c r="J39" s="61">
        <v>400</v>
      </c>
      <c r="K39" s="767"/>
      <c r="L39" s="41"/>
      <c r="M39" s="924"/>
      <c r="N39" s="929"/>
      <c r="O39" s="929"/>
      <c r="P39" s="929"/>
      <c r="Q39" s="933"/>
    </row>
    <row r="40" spans="1:17" ht="15" customHeight="1" x14ac:dyDescent="0.2">
      <c r="A40" s="1355"/>
      <c r="B40" s="1356"/>
      <c r="C40" s="1623"/>
      <c r="D40" s="1472"/>
      <c r="E40" s="759"/>
      <c r="F40" s="720"/>
      <c r="G40" s="1603"/>
      <c r="H40" s="50" t="s">
        <v>54</v>
      </c>
      <c r="I40" s="41">
        <v>186.9</v>
      </c>
      <c r="J40" s="61">
        <v>560.20000000000005</v>
      </c>
      <c r="K40" s="41"/>
      <c r="L40" s="41"/>
      <c r="M40" s="558"/>
      <c r="N40" s="571"/>
      <c r="O40" s="571"/>
      <c r="P40" s="571"/>
      <c r="Q40" s="580"/>
    </row>
    <row r="41" spans="1:17" ht="25.5" customHeight="1" x14ac:dyDescent="0.2">
      <c r="A41" s="1355"/>
      <c r="B41" s="1356"/>
      <c r="C41" s="1623"/>
      <c r="D41" s="1472"/>
      <c r="E41" s="763" t="s">
        <v>115</v>
      </c>
      <c r="F41" s="764"/>
      <c r="G41" s="1603"/>
      <c r="H41" s="82"/>
      <c r="I41" s="39"/>
      <c r="J41" s="114"/>
      <c r="K41" s="39"/>
      <c r="L41" s="39"/>
      <c r="M41" s="52" t="s">
        <v>138</v>
      </c>
      <c r="N41" s="613" t="s">
        <v>246</v>
      </c>
      <c r="O41" s="100">
        <v>100</v>
      </c>
      <c r="P41" s="100"/>
      <c r="Q41" s="18"/>
    </row>
    <row r="42" spans="1:17" ht="27" customHeight="1" x14ac:dyDescent="0.2">
      <c r="A42" s="1355"/>
      <c r="B42" s="1356"/>
      <c r="C42" s="1623"/>
      <c r="D42" s="1472"/>
      <c r="E42" s="761" t="s">
        <v>97</v>
      </c>
      <c r="F42" s="718"/>
      <c r="G42" s="158"/>
      <c r="H42" s="53"/>
      <c r="I42" s="955"/>
      <c r="J42" s="93"/>
      <c r="K42" s="1176"/>
      <c r="L42" s="378"/>
      <c r="M42" s="234" t="s">
        <v>139</v>
      </c>
      <c r="N42" s="469" t="s">
        <v>142</v>
      </c>
      <c r="O42" s="32">
        <v>50</v>
      </c>
      <c r="P42" s="32">
        <v>100</v>
      </c>
      <c r="Q42" s="16"/>
    </row>
    <row r="43" spans="1:17" ht="18" customHeight="1" x14ac:dyDescent="0.2">
      <c r="A43" s="629"/>
      <c r="B43" s="630"/>
      <c r="C43" s="641"/>
      <c r="D43" s="755" t="s">
        <v>26</v>
      </c>
      <c r="E43" s="1327" t="s">
        <v>156</v>
      </c>
      <c r="F43" s="425"/>
      <c r="G43" s="1596" t="s">
        <v>328</v>
      </c>
      <c r="H43" s="50" t="s">
        <v>23</v>
      </c>
      <c r="I43" s="41">
        <f>43.3+100</f>
        <v>143.30000000000001</v>
      </c>
      <c r="J43" s="61">
        <v>99</v>
      </c>
      <c r="K43" s="41">
        <v>200.7</v>
      </c>
      <c r="L43" s="41"/>
      <c r="M43" s="1375" t="s">
        <v>160</v>
      </c>
      <c r="N43" s="431">
        <v>30</v>
      </c>
      <c r="O43" s="310">
        <v>85</v>
      </c>
      <c r="P43" s="485">
        <v>100</v>
      </c>
      <c r="Q43" s="317"/>
    </row>
    <row r="44" spans="1:17" ht="18" customHeight="1" x14ac:dyDescent="0.2">
      <c r="A44" s="739"/>
      <c r="B44" s="740"/>
      <c r="C44" s="760"/>
      <c r="D44" s="747"/>
      <c r="E44" s="1328"/>
      <c r="F44" s="425"/>
      <c r="G44" s="1569"/>
      <c r="H44" s="50" t="s">
        <v>54</v>
      </c>
      <c r="I44" s="41"/>
      <c r="J44" s="61">
        <v>143.69999999999999</v>
      </c>
      <c r="K44" s="41"/>
      <c r="L44" s="41"/>
      <c r="M44" s="1375"/>
      <c r="N44" s="753"/>
      <c r="O44" s="768"/>
      <c r="P44" s="440"/>
      <c r="Q44" s="769"/>
    </row>
    <row r="45" spans="1:17" ht="18" customHeight="1" x14ac:dyDescent="0.2">
      <c r="A45" s="925"/>
      <c r="B45" s="926"/>
      <c r="C45" s="932"/>
      <c r="D45" s="927"/>
      <c r="E45" s="1328"/>
      <c r="F45" s="425"/>
      <c r="G45" s="1569"/>
      <c r="H45" s="50" t="s">
        <v>78</v>
      </c>
      <c r="I45" s="41"/>
      <c r="J45" s="61">
        <v>115.4</v>
      </c>
      <c r="K45" s="41"/>
      <c r="L45" s="41"/>
      <c r="M45" s="1375"/>
      <c r="N45" s="930"/>
      <c r="O45" s="768"/>
      <c r="P45" s="440"/>
      <c r="Q45" s="769"/>
    </row>
    <row r="46" spans="1:17" ht="19.5" customHeight="1" x14ac:dyDescent="0.2">
      <c r="A46" s="629"/>
      <c r="B46" s="630"/>
      <c r="C46" s="641"/>
      <c r="D46" s="756"/>
      <c r="E46" s="1374"/>
      <c r="F46" s="303"/>
      <c r="G46" s="1604"/>
      <c r="H46" s="955" t="s">
        <v>79</v>
      </c>
      <c r="I46" s="955">
        <f>57.4+630.3-224.9</f>
        <v>462.8</v>
      </c>
      <c r="J46" s="93">
        <v>928.8</v>
      </c>
      <c r="K46" s="1176">
        <v>564.20000000000005</v>
      </c>
      <c r="L46" s="378"/>
      <c r="M46" s="1587"/>
      <c r="N46" s="628"/>
      <c r="O46" s="286"/>
      <c r="P46" s="99"/>
      <c r="Q46" s="20"/>
    </row>
    <row r="47" spans="1:17" ht="15.75" customHeight="1" x14ac:dyDescent="0.2">
      <c r="A47" s="1355"/>
      <c r="B47" s="1378"/>
      <c r="C47" s="1623"/>
      <c r="D47" s="1611" t="s">
        <v>30</v>
      </c>
      <c r="E47" s="1600" t="s">
        <v>153</v>
      </c>
      <c r="F47" s="714" t="s">
        <v>291</v>
      </c>
      <c r="G47" s="1605"/>
      <c r="H47" s="54" t="s">
        <v>23</v>
      </c>
      <c r="I47" s="954">
        <f>814.8+100</f>
        <v>914.8</v>
      </c>
      <c r="J47" s="73">
        <v>47</v>
      </c>
      <c r="K47" s="1175"/>
      <c r="L47" s="377"/>
      <c r="M47" s="556" t="s">
        <v>126</v>
      </c>
      <c r="N47" s="231">
        <v>70</v>
      </c>
      <c r="O47" s="292">
        <v>100</v>
      </c>
      <c r="P47" s="292"/>
      <c r="Q47" s="232"/>
    </row>
    <row r="48" spans="1:17" ht="15" customHeight="1" x14ac:dyDescent="0.2">
      <c r="A48" s="1355"/>
      <c r="B48" s="1378"/>
      <c r="C48" s="1623"/>
      <c r="D48" s="1472"/>
      <c r="E48" s="1608"/>
      <c r="F48" s="720"/>
      <c r="G48" s="1605"/>
      <c r="H48" s="50" t="s">
        <v>79</v>
      </c>
      <c r="I48" s="41">
        <f>1100-221.2</f>
        <v>878.8</v>
      </c>
      <c r="J48" s="61">
        <v>221</v>
      </c>
      <c r="K48" s="41"/>
      <c r="L48" s="41"/>
      <c r="M48" s="556"/>
      <c r="N48" s="231"/>
      <c r="O48" s="117"/>
      <c r="P48" s="117"/>
      <c r="Q48" s="122"/>
    </row>
    <row r="49" spans="1:17" ht="15" customHeight="1" x14ac:dyDescent="0.2">
      <c r="A49" s="1355"/>
      <c r="B49" s="1378"/>
      <c r="C49" s="1623"/>
      <c r="D49" s="1472"/>
      <c r="E49" s="1608"/>
      <c r="F49" s="720"/>
      <c r="G49" s="1605"/>
      <c r="H49" s="724" t="s">
        <v>45</v>
      </c>
      <c r="I49" s="41">
        <v>162.4</v>
      </c>
      <c r="J49" s="61"/>
      <c r="K49" s="41"/>
      <c r="L49" s="41"/>
      <c r="M49" s="556"/>
      <c r="N49" s="231"/>
      <c r="O49" s="117"/>
      <c r="P49" s="117"/>
      <c r="Q49" s="122"/>
    </row>
    <row r="50" spans="1:17" ht="15" customHeight="1" x14ac:dyDescent="0.2">
      <c r="A50" s="1355"/>
      <c r="B50" s="1378"/>
      <c r="C50" s="1623"/>
      <c r="D50" s="1472"/>
      <c r="E50" s="1608"/>
      <c r="F50" s="720"/>
      <c r="G50" s="1605"/>
      <c r="H50" s="50" t="s">
        <v>78</v>
      </c>
      <c r="I50" s="41">
        <v>151.9</v>
      </c>
      <c r="J50" s="61"/>
      <c r="K50" s="41"/>
      <c r="L50" s="41"/>
      <c r="M50" s="556"/>
      <c r="N50" s="231"/>
      <c r="O50" s="117"/>
      <c r="P50" s="117"/>
      <c r="Q50" s="122"/>
    </row>
    <row r="51" spans="1:17" ht="16.5" customHeight="1" x14ac:dyDescent="0.2">
      <c r="A51" s="1355"/>
      <c r="B51" s="1378"/>
      <c r="C51" s="1623"/>
      <c r="D51" s="1612"/>
      <c r="E51" s="1609"/>
      <c r="F51" s="726"/>
      <c r="G51" s="1605"/>
      <c r="H51" s="75" t="s">
        <v>54</v>
      </c>
      <c r="I51" s="955">
        <v>100</v>
      </c>
      <c r="J51" s="93">
        <f>165+207.3</f>
        <v>372.3</v>
      </c>
      <c r="K51" s="1166"/>
      <c r="L51" s="378"/>
      <c r="M51" s="220"/>
      <c r="N51" s="161"/>
      <c r="O51" s="293"/>
      <c r="P51" s="293"/>
      <c r="Q51" s="162"/>
    </row>
    <row r="52" spans="1:17" ht="38.25" customHeight="1" x14ac:dyDescent="0.2">
      <c r="A52" s="563"/>
      <c r="B52" s="567"/>
      <c r="C52" s="1709" t="s">
        <v>241</v>
      </c>
      <c r="D52" s="972" t="s">
        <v>31</v>
      </c>
      <c r="E52" s="1589" t="s">
        <v>164</v>
      </c>
      <c r="F52" s="975" t="s">
        <v>291</v>
      </c>
      <c r="G52" s="1596" t="s">
        <v>329</v>
      </c>
      <c r="H52" s="377" t="s">
        <v>23</v>
      </c>
      <c r="I52" s="377">
        <v>100</v>
      </c>
      <c r="J52" s="54">
        <v>10</v>
      </c>
      <c r="K52" s="1165">
        <v>235.8</v>
      </c>
      <c r="L52" s="377">
        <v>235.8</v>
      </c>
      <c r="M52" s="746" t="s">
        <v>285</v>
      </c>
      <c r="N52" s="468"/>
      <c r="O52" s="465" t="s">
        <v>49</v>
      </c>
      <c r="P52" s="468"/>
      <c r="Q52" s="225"/>
    </row>
    <row r="53" spans="1:17" ht="26.25" customHeight="1" x14ac:dyDescent="0.2">
      <c r="A53" s="563"/>
      <c r="B53" s="567"/>
      <c r="C53" s="1710"/>
      <c r="D53" s="968"/>
      <c r="E53" s="1590"/>
      <c r="F53" s="1606" t="s">
        <v>304</v>
      </c>
      <c r="G53" s="1569"/>
      <c r="H53" s="41" t="s">
        <v>54</v>
      </c>
      <c r="I53" s="41"/>
      <c r="J53" s="50">
        <v>59.2</v>
      </c>
      <c r="K53" s="41"/>
      <c r="L53" s="41"/>
      <c r="M53" s="675" t="s">
        <v>286</v>
      </c>
      <c r="N53" s="116"/>
      <c r="O53" s="420" t="s">
        <v>49</v>
      </c>
      <c r="P53" s="613"/>
      <c r="Q53" s="402"/>
    </row>
    <row r="54" spans="1:17" ht="28.5" customHeight="1" x14ac:dyDescent="0.2">
      <c r="A54" s="633"/>
      <c r="B54" s="634"/>
      <c r="C54" s="1710"/>
      <c r="D54" s="974"/>
      <c r="E54" s="1591"/>
      <c r="F54" s="1607"/>
      <c r="G54" s="1569"/>
      <c r="H54" s="43" t="s">
        <v>41</v>
      </c>
      <c r="I54" s="43"/>
      <c r="J54" s="89">
        <v>40</v>
      </c>
      <c r="K54" s="43">
        <v>1044.4000000000001</v>
      </c>
      <c r="L54" s="43">
        <v>1044.4000000000001</v>
      </c>
      <c r="M54" s="453" t="s">
        <v>176</v>
      </c>
      <c r="N54" s="340"/>
      <c r="O54" s="341" t="s">
        <v>40</v>
      </c>
      <c r="P54" s="291" t="s">
        <v>234</v>
      </c>
      <c r="Q54" s="249" t="s">
        <v>235</v>
      </c>
    </row>
    <row r="55" spans="1:17" ht="15" customHeight="1" x14ac:dyDescent="0.2">
      <c r="A55" s="559"/>
      <c r="B55" s="560"/>
      <c r="C55" s="1710"/>
      <c r="D55" s="968" t="s">
        <v>32</v>
      </c>
      <c r="E55" s="1590" t="s">
        <v>240</v>
      </c>
      <c r="F55" s="1617" t="s">
        <v>291</v>
      </c>
      <c r="G55" s="1569"/>
      <c r="H55" s="50" t="s">
        <v>23</v>
      </c>
      <c r="I55" s="41"/>
      <c r="J55" s="132"/>
      <c r="K55" s="41">
        <v>432</v>
      </c>
      <c r="L55" s="41">
        <v>432</v>
      </c>
      <c r="M55" s="438" t="s">
        <v>111</v>
      </c>
      <c r="N55" s="774"/>
      <c r="O55" s="774"/>
      <c r="P55" s="775" t="s">
        <v>234</v>
      </c>
      <c r="Q55" s="765" t="s">
        <v>235</v>
      </c>
    </row>
    <row r="56" spans="1:17" ht="14.25" customHeight="1" x14ac:dyDescent="0.2">
      <c r="A56" s="559"/>
      <c r="B56" s="560"/>
      <c r="C56" s="1711"/>
      <c r="D56" s="974"/>
      <c r="E56" s="1590"/>
      <c r="F56" s="1618"/>
      <c r="G56" s="1599"/>
      <c r="H56" s="53" t="s">
        <v>41</v>
      </c>
      <c r="I56" s="378"/>
      <c r="J56" s="28"/>
      <c r="K56" s="378">
        <v>250</v>
      </c>
      <c r="L56" s="378">
        <v>250</v>
      </c>
      <c r="M56" s="441"/>
      <c r="N56" s="436"/>
      <c r="O56" s="436"/>
      <c r="P56" s="437"/>
      <c r="Q56" s="490"/>
    </row>
    <row r="57" spans="1:17" ht="15" customHeight="1" x14ac:dyDescent="0.2">
      <c r="A57" s="1377"/>
      <c r="B57" s="1378"/>
      <c r="C57" s="1647" t="s">
        <v>306</v>
      </c>
      <c r="D57" s="1611" t="s">
        <v>33</v>
      </c>
      <c r="E57" s="1592" t="s">
        <v>52</v>
      </c>
      <c r="F57" s="714" t="s">
        <v>291</v>
      </c>
      <c r="G57" s="752"/>
      <c r="H57" s="54" t="s">
        <v>23</v>
      </c>
      <c r="I57" s="377">
        <v>50</v>
      </c>
      <c r="J57" s="73">
        <v>258.39999999999998</v>
      </c>
      <c r="K57" s="859">
        <f>2259.9+300-300</f>
        <v>2259.9</v>
      </c>
      <c r="L57" s="859">
        <v>300</v>
      </c>
      <c r="M57" s="1372" t="s">
        <v>112</v>
      </c>
      <c r="N57" s="737">
        <v>5</v>
      </c>
      <c r="O57" s="285">
        <v>35</v>
      </c>
      <c r="P57" s="396">
        <v>90</v>
      </c>
      <c r="Q57" s="393">
        <v>100</v>
      </c>
    </row>
    <row r="58" spans="1:17" ht="17.25" customHeight="1" x14ac:dyDescent="0.2">
      <c r="A58" s="1377"/>
      <c r="B58" s="1378"/>
      <c r="C58" s="1648"/>
      <c r="D58" s="1472"/>
      <c r="E58" s="1593"/>
      <c r="F58" s="715"/>
      <c r="G58" s="497"/>
      <c r="H58" s="50" t="s">
        <v>23</v>
      </c>
      <c r="I58" s="41"/>
      <c r="J58" s="61">
        <v>494.8</v>
      </c>
      <c r="K58" s="41"/>
      <c r="L58" s="41"/>
      <c r="M58" s="1375"/>
      <c r="N58" s="930"/>
      <c r="O58" s="287"/>
      <c r="P58" s="207"/>
      <c r="Q58" s="177"/>
    </row>
    <row r="59" spans="1:17" ht="12" customHeight="1" x14ac:dyDescent="0.2">
      <c r="A59" s="1377"/>
      <c r="B59" s="1378"/>
      <c r="C59" s="1648"/>
      <c r="D59" s="1472"/>
      <c r="E59" s="1593"/>
      <c r="F59" s="719"/>
      <c r="G59" s="754"/>
      <c r="H59" s="50" t="s">
        <v>54</v>
      </c>
      <c r="I59" s="41"/>
      <c r="J59" s="61">
        <v>46.8</v>
      </c>
      <c r="K59" s="41"/>
      <c r="L59" s="41"/>
      <c r="M59" s="1373"/>
      <c r="N59" s="753"/>
      <c r="O59" s="287"/>
      <c r="P59" s="207"/>
      <c r="Q59" s="177"/>
    </row>
    <row r="60" spans="1:17" ht="17.25" customHeight="1" x14ac:dyDescent="0.2">
      <c r="A60" s="1377"/>
      <c r="B60" s="1378"/>
      <c r="C60" s="1648"/>
      <c r="D60" s="1612"/>
      <c r="E60" s="1593"/>
      <c r="F60" s="719"/>
      <c r="G60" s="754"/>
      <c r="H60" s="53" t="s">
        <v>79</v>
      </c>
      <c r="I60" s="378"/>
      <c r="J60" s="106">
        <v>200</v>
      </c>
      <c r="K60" s="378">
        <v>200</v>
      </c>
      <c r="L60" s="378"/>
      <c r="M60" s="142"/>
      <c r="N60" s="738"/>
      <c r="O60" s="286"/>
      <c r="P60" s="99"/>
      <c r="Q60" s="20"/>
    </row>
    <row r="61" spans="1:17" ht="14.25" customHeight="1" x14ac:dyDescent="0.2">
      <c r="A61" s="1377"/>
      <c r="B61" s="1378"/>
      <c r="C61" s="1648"/>
      <c r="D61" s="803" t="s">
        <v>143</v>
      </c>
      <c r="E61" s="1589" t="s">
        <v>152</v>
      </c>
      <c r="F61" s="825" t="s">
        <v>291</v>
      </c>
      <c r="G61" s="1569" t="s">
        <v>328</v>
      </c>
      <c r="H61" s="54" t="s">
        <v>79</v>
      </c>
      <c r="I61" s="377">
        <f>200+200-200</f>
        <v>200</v>
      </c>
      <c r="J61" s="73">
        <v>400</v>
      </c>
      <c r="K61" s="910">
        <v>400</v>
      </c>
      <c r="L61" s="910">
        <v>400</v>
      </c>
      <c r="M61" s="1358" t="s">
        <v>136</v>
      </c>
      <c r="N61" s="433"/>
      <c r="O61" s="368">
        <v>40</v>
      </c>
      <c r="P61" s="427">
        <v>100</v>
      </c>
      <c r="Q61" s="369"/>
    </row>
    <row r="62" spans="1:17" ht="15.75" customHeight="1" x14ac:dyDescent="0.2">
      <c r="A62" s="1377"/>
      <c r="B62" s="1378"/>
      <c r="C62" s="1648"/>
      <c r="D62" s="803"/>
      <c r="E62" s="1590"/>
      <c r="F62" s="976"/>
      <c r="G62" s="1569"/>
      <c r="H62" s="50" t="s">
        <v>23</v>
      </c>
      <c r="I62" s="41">
        <f>500-143.4</f>
        <v>356.6</v>
      </c>
      <c r="J62" s="61">
        <v>0</v>
      </c>
      <c r="K62" s="41">
        <v>700</v>
      </c>
      <c r="L62" s="41">
        <v>1000</v>
      </c>
      <c r="M62" s="1583"/>
      <c r="N62" s="283"/>
      <c r="O62" s="284"/>
      <c r="P62" s="397"/>
      <c r="Q62" s="332"/>
    </row>
    <row r="63" spans="1:17" ht="51" customHeight="1" x14ac:dyDescent="0.2">
      <c r="A63" s="1377"/>
      <c r="B63" s="1378"/>
      <c r="C63" s="1648"/>
      <c r="D63" s="803"/>
      <c r="E63" s="1590"/>
      <c r="F63" s="826"/>
      <c r="G63" s="1569"/>
      <c r="H63" s="956" t="s">
        <v>78</v>
      </c>
      <c r="I63" s="41"/>
      <c r="J63" s="61">
        <v>300</v>
      </c>
      <c r="K63" s="41"/>
      <c r="L63" s="41"/>
      <c r="M63" s="19" t="s">
        <v>137</v>
      </c>
      <c r="N63" s="418"/>
      <c r="O63" s="410"/>
      <c r="P63" s="410"/>
      <c r="Q63" s="411" t="s">
        <v>175</v>
      </c>
    </row>
    <row r="64" spans="1:17" ht="42" customHeight="1" x14ac:dyDescent="0.2">
      <c r="A64" s="971"/>
      <c r="B64" s="967"/>
      <c r="C64" s="1648"/>
      <c r="D64" s="970"/>
      <c r="E64" s="1590"/>
      <c r="F64" s="826"/>
      <c r="G64" s="1569"/>
      <c r="H64" s="50"/>
      <c r="I64" s="41"/>
      <c r="J64" s="61"/>
      <c r="K64" s="41"/>
      <c r="L64" s="41"/>
      <c r="M64" s="994" t="s">
        <v>117</v>
      </c>
      <c r="N64" s="995" t="s">
        <v>49</v>
      </c>
      <c r="O64" s="410"/>
      <c r="P64" s="418"/>
      <c r="Q64" s="411"/>
    </row>
    <row r="65" spans="1:17" ht="42" customHeight="1" x14ac:dyDescent="0.2">
      <c r="A65" s="742"/>
      <c r="B65" s="740"/>
      <c r="C65" s="1649"/>
      <c r="D65" s="804"/>
      <c r="E65" s="1591"/>
      <c r="F65" s="827"/>
      <c r="G65" s="1569"/>
      <c r="H65" s="53"/>
      <c r="I65" s="378"/>
      <c r="J65" s="93"/>
      <c r="K65" s="911"/>
      <c r="L65" s="911"/>
      <c r="M65" s="651" t="s">
        <v>135</v>
      </c>
      <c r="N65" s="658" t="s">
        <v>235</v>
      </c>
      <c r="O65" s="659"/>
      <c r="P65" s="656"/>
      <c r="Q65" s="657"/>
    </row>
    <row r="66" spans="1:17" ht="15" customHeight="1" x14ac:dyDescent="0.2">
      <c r="A66" s="559"/>
      <c r="B66" s="560"/>
      <c r="C66" s="218"/>
      <c r="D66" s="1611" t="s">
        <v>305</v>
      </c>
      <c r="E66" s="1608" t="s">
        <v>279</v>
      </c>
      <c r="F66" s="715" t="s">
        <v>291</v>
      </c>
      <c r="G66" s="1651"/>
      <c r="H66" s="50" t="s">
        <v>79</v>
      </c>
      <c r="I66" s="41"/>
      <c r="J66" s="61">
        <v>332.8</v>
      </c>
      <c r="K66" s="41">
        <v>113.5</v>
      </c>
      <c r="L66" s="41"/>
      <c r="M66" s="902" t="s">
        <v>43</v>
      </c>
      <c r="N66" s="915">
        <v>1</v>
      </c>
      <c r="O66" s="394"/>
      <c r="P66" s="914"/>
      <c r="Q66" s="912"/>
    </row>
    <row r="67" spans="1:17" ht="13.5" customHeight="1" x14ac:dyDescent="0.2">
      <c r="A67" s="559"/>
      <c r="B67" s="560"/>
      <c r="C67" s="218"/>
      <c r="D67" s="1472"/>
      <c r="E67" s="1608"/>
      <c r="F67" s="717"/>
      <c r="G67" s="1584"/>
      <c r="H67" s="50" t="s">
        <v>54</v>
      </c>
      <c r="I67" s="41">
        <v>11.8</v>
      </c>
      <c r="J67" s="61"/>
      <c r="K67" s="41"/>
      <c r="L67" s="41"/>
      <c r="M67" s="903" t="s">
        <v>111</v>
      </c>
      <c r="N67" s="916"/>
      <c r="O67" s="1161">
        <v>75</v>
      </c>
      <c r="P67" s="1162">
        <v>10</v>
      </c>
      <c r="Q67" s="913"/>
    </row>
    <row r="68" spans="1:17" ht="12.75" customHeight="1" x14ac:dyDescent="0.2">
      <c r="A68" s="559"/>
      <c r="B68" s="560"/>
      <c r="C68" s="218"/>
      <c r="D68" s="1472"/>
      <c r="E68" s="1608"/>
      <c r="F68" s="717"/>
      <c r="G68" s="1584"/>
      <c r="H68" s="50" t="s">
        <v>23</v>
      </c>
      <c r="I68" s="41"/>
      <c r="J68" s="61">
        <v>241.1</v>
      </c>
      <c r="K68" s="41">
        <v>429</v>
      </c>
      <c r="L68" s="41"/>
      <c r="M68" s="903"/>
      <c r="N68" s="916"/>
      <c r="O68" s="907"/>
      <c r="P68" s="908"/>
      <c r="Q68" s="913"/>
    </row>
    <row r="69" spans="1:17" ht="12.75" customHeight="1" x14ac:dyDescent="0.2">
      <c r="A69" s="559"/>
      <c r="B69" s="560"/>
      <c r="C69" s="218"/>
      <c r="D69" s="1472"/>
      <c r="E69" s="1608"/>
      <c r="F69" s="717"/>
      <c r="G69" s="1584"/>
      <c r="H69" s="50" t="s">
        <v>41</v>
      </c>
      <c r="I69" s="41"/>
      <c r="J69" s="61">
        <v>251.6</v>
      </c>
      <c r="K69" s="41">
        <v>912.9</v>
      </c>
      <c r="L69" s="41"/>
      <c r="M69" s="903"/>
      <c r="N69" s="916"/>
      <c r="O69" s="907"/>
      <c r="P69" s="908"/>
      <c r="Q69" s="913"/>
    </row>
    <row r="70" spans="1:17" ht="12.75" customHeight="1" x14ac:dyDescent="0.2">
      <c r="A70" s="629"/>
      <c r="B70" s="630"/>
      <c r="C70" s="218"/>
      <c r="D70" s="1472"/>
      <c r="E70" s="1608"/>
      <c r="F70" s="717"/>
      <c r="G70" s="1584"/>
      <c r="H70" s="50" t="s">
        <v>45</v>
      </c>
      <c r="I70" s="41"/>
      <c r="J70" s="61">
        <v>500</v>
      </c>
      <c r="K70" s="41"/>
      <c r="L70" s="41"/>
      <c r="M70" s="903"/>
      <c r="N70" s="916"/>
      <c r="O70" s="907"/>
      <c r="P70" s="908"/>
      <c r="Q70" s="913"/>
    </row>
    <row r="71" spans="1:17" ht="15.75" customHeight="1" x14ac:dyDescent="0.2">
      <c r="A71" s="559"/>
      <c r="B71" s="560"/>
      <c r="C71" s="878"/>
      <c r="D71" s="1612"/>
      <c r="E71" s="1650"/>
      <c r="F71" s="718"/>
      <c r="G71" s="1652"/>
      <c r="H71" s="75" t="s">
        <v>42</v>
      </c>
      <c r="I71" s="876"/>
      <c r="J71" s="93"/>
      <c r="K71" s="911">
        <v>40</v>
      </c>
      <c r="L71" s="911"/>
      <c r="M71" s="906"/>
      <c r="N71" s="15"/>
      <c r="O71" s="164"/>
      <c r="P71" s="32"/>
      <c r="Q71" s="16"/>
    </row>
    <row r="72" spans="1:17" ht="15" customHeight="1" x14ac:dyDescent="0.2">
      <c r="A72" s="629"/>
      <c r="B72" s="632"/>
      <c r="C72" s="199"/>
      <c r="D72" s="875" t="s">
        <v>142</v>
      </c>
      <c r="E72" s="1328" t="s">
        <v>278</v>
      </c>
      <c r="F72" s="1594"/>
      <c r="G72" s="1569"/>
      <c r="H72" s="50" t="s">
        <v>23</v>
      </c>
      <c r="I72" s="41"/>
      <c r="J72" s="61"/>
      <c r="K72" s="41">
        <v>52</v>
      </c>
      <c r="L72" s="41"/>
      <c r="M72" s="1375" t="s">
        <v>230</v>
      </c>
      <c r="N72" s="260"/>
      <c r="O72" s="260"/>
      <c r="P72" s="428">
        <v>1</v>
      </c>
      <c r="Q72" s="177"/>
    </row>
    <row r="73" spans="1:17" ht="14.25" customHeight="1" x14ac:dyDescent="0.2">
      <c r="A73" s="629"/>
      <c r="B73" s="632"/>
      <c r="C73" s="199"/>
      <c r="D73" s="875"/>
      <c r="E73" s="1328"/>
      <c r="F73" s="1595"/>
      <c r="G73" s="1569"/>
      <c r="H73" s="50" t="s">
        <v>54</v>
      </c>
      <c r="I73" s="41">
        <v>1.5</v>
      </c>
      <c r="J73" s="61"/>
      <c r="K73" s="41"/>
      <c r="L73" s="41"/>
      <c r="M73" s="1588"/>
      <c r="N73" s="260"/>
      <c r="O73" s="260"/>
      <c r="P73" s="260"/>
      <c r="Q73" s="177"/>
    </row>
    <row r="74" spans="1:17" ht="12" customHeight="1" x14ac:dyDescent="0.2">
      <c r="A74" s="888"/>
      <c r="B74" s="889"/>
      <c r="C74" s="893"/>
      <c r="D74" s="891"/>
      <c r="E74" s="887"/>
      <c r="F74" s="890"/>
      <c r="G74" s="892"/>
      <c r="H74" s="31"/>
      <c r="I74" s="41"/>
      <c r="J74" s="61"/>
      <c r="K74" s="41"/>
      <c r="L74" s="41"/>
      <c r="M74" s="894"/>
      <c r="N74" s="15"/>
      <c r="O74" s="164"/>
      <c r="P74" s="32"/>
      <c r="Q74" s="16"/>
    </row>
    <row r="75" spans="1:17" ht="14.25" customHeight="1" x14ac:dyDescent="0.2">
      <c r="A75" s="559"/>
      <c r="B75" s="560"/>
      <c r="C75" s="574"/>
      <c r="D75" s="747" t="s">
        <v>316</v>
      </c>
      <c r="E75" s="1608" t="s">
        <v>237</v>
      </c>
      <c r="F75" s="715" t="s">
        <v>291</v>
      </c>
      <c r="G75" s="1569" t="s">
        <v>328</v>
      </c>
      <c r="H75" s="54" t="s">
        <v>54</v>
      </c>
      <c r="I75" s="377">
        <v>10</v>
      </c>
      <c r="J75" s="483">
        <v>17</v>
      </c>
      <c r="K75" s="377"/>
      <c r="L75" s="377"/>
      <c r="M75" s="895" t="s">
        <v>74</v>
      </c>
      <c r="N75" s="445"/>
      <c r="O75" s="446">
        <v>1</v>
      </c>
      <c r="P75" s="571"/>
      <c r="Q75" s="580"/>
    </row>
    <row r="76" spans="1:17" ht="14.25" customHeight="1" x14ac:dyDescent="0.2">
      <c r="A76" s="559"/>
      <c r="B76" s="560"/>
      <c r="C76" s="574"/>
      <c r="D76" s="747"/>
      <c r="E76" s="1608"/>
      <c r="F76" s="717"/>
      <c r="G76" s="1569"/>
      <c r="H76" s="182" t="s">
        <v>23</v>
      </c>
      <c r="I76" s="41"/>
      <c r="J76" s="132">
        <v>53.6</v>
      </c>
      <c r="K76" s="41">
        <v>50.6</v>
      </c>
      <c r="L76" s="41">
        <v>53.8</v>
      </c>
      <c r="M76" s="625" t="s">
        <v>288</v>
      </c>
      <c r="N76" s="584"/>
      <c r="O76" s="570">
        <v>30</v>
      </c>
      <c r="P76" s="571">
        <v>60</v>
      </c>
      <c r="Q76" s="580">
        <v>100</v>
      </c>
    </row>
    <row r="77" spans="1:17" ht="14.25" customHeight="1" x14ac:dyDescent="0.2">
      <c r="A77" s="629"/>
      <c r="B77" s="630"/>
      <c r="C77" s="641"/>
      <c r="D77" s="756"/>
      <c r="E77" s="1608"/>
      <c r="F77" s="717"/>
      <c r="G77" s="1569"/>
      <c r="H77" s="75" t="s">
        <v>79</v>
      </c>
      <c r="I77" s="378"/>
      <c r="J77" s="93">
        <v>100</v>
      </c>
      <c r="K77" s="378">
        <v>100</v>
      </c>
      <c r="L77" s="378">
        <v>100</v>
      </c>
      <c r="M77" s="14"/>
      <c r="N77" s="15"/>
      <c r="O77" s="164"/>
      <c r="P77" s="32"/>
      <c r="Q77" s="16"/>
    </row>
    <row r="78" spans="1:17" ht="28.5" customHeight="1" x14ac:dyDescent="0.2">
      <c r="A78" s="631"/>
      <c r="B78" s="632"/>
      <c r="C78" s="200"/>
      <c r="D78" s="1472" t="s">
        <v>317</v>
      </c>
      <c r="E78" s="1382" t="s">
        <v>387</v>
      </c>
      <c r="F78" s="617"/>
      <c r="G78" s="1569"/>
      <c r="H78" s="865" t="s">
        <v>23</v>
      </c>
      <c r="I78" s="865"/>
      <c r="J78" s="865">
        <v>174.6</v>
      </c>
      <c r="K78" s="865">
        <v>105.9</v>
      </c>
      <c r="L78" s="865"/>
      <c r="M78" s="135" t="s">
        <v>290</v>
      </c>
      <c r="N78" s="612"/>
      <c r="O78" s="170">
        <v>70</v>
      </c>
      <c r="P78" s="295">
        <v>100</v>
      </c>
      <c r="Q78" s="171"/>
    </row>
    <row r="79" spans="1:17" ht="29.25" customHeight="1" x14ac:dyDescent="0.2">
      <c r="A79" s="631"/>
      <c r="B79" s="632"/>
      <c r="C79" s="200"/>
      <c r="D79" s="1472"/>
      <c r="E79" s="1383"/>
      <c r="F79" s="141"/>
      <c r="G79" s="1569"/>
      <c r="H79" s="43" t="s">
        <v>42</v>
      </c>
      <c r="I79" s="43"/>
      <c r="J79" s="43">
        <v>72.5</v>
      </c>
      <c r="K79" s="867"/>
      <c r="L79" s="867"/>
      <c r="M79" s="676" t="s">
        <v>289</v>
      </c>
      <c r="N79" s="116"/>
      <c r="O79" s="168">
        <v>70</v>
      </c>
      <c r="P79" s="100">
        <v>100</v>
      </c>
      <c r="Q79" s="18"/>
    </row>
    <row r="80" spans="1:17" ht="15.75" customHeight="1" x14ac:dyDescent="0.2">
      <c r="A80" s="863"/>
      <c r="B80" s="860"/>
      <c r="C80" s="200"/>
      <c r="D80" s="861"/>
      <c r="E80" s="862"/>
      <c r="F80" s="141"/>
      <c r="G80" s="864"/>
      <c r="H80" s="41" t="s">
        <v>23</v>
      </c>
      <c r="I80" s="41"/>
      <c r="J80" s="41"/>
      <c r="K80" s="241"/>
      <c r="L80" s="41">
        <v>160</v>
      </c>
      <c r="M80" s="1375" t="s">
        <v>336</v>
      </c>
      <c r="N80" s="245"/>
      <c r="O80" s="372"/>
      <c r="P80" s="246"/>
      <c r="Q80" s="120">
        <v>50</v>
      </c>
    </row>
    <row r="81" spans="1:18" ht="15" customHeight="1" x14ac:dyDescent="0.2">
      <c r="A81" s="631"/>
      <c r="B81" s="632"/>
      <c r="C81" s="200"/>
      <c r="D81" s="974"/>
      <c r="E81" s="684"/>
      <c r="F81" s="141"/>
      <c r="G81" s="611"/>
      <c r="H81" s="378" t="s">
        <v>42</v>
      </c>
      <c r="I81" s="378"/>
      <c r="J81" s="378"/>
      <c r="K81" s="858"/>
      <c r="L81" s="866">
        <v>60</v>
      </c>
      <c r="M81" s="1610"/>
      <c r="N81" s="15"/>
      <c r="O81" s="164"/>
      <c r="P81" s="32"/>
      <c r="Q81" s="16"/>
    </row>
    <row r="82" spans="1:18" ht="16.5" customHeight="1" x14ac:dyDescent="0.2">
      <c r="A82" s="629"/>
      <c r="B82" s="630"/>
      <c r="C82" s="641"/>
      <c r="D82" s="972" t="s">
        <v>318</v>
      </c>
      <c r="E82" s="1384" t="s">
        <v>166</v>
      </c>
      <c r="F82" s="64"/>
      <c r="G82" s="640"/>
      <c r="H82" s="50" t="s">
        <v>23</v>
      </c>
      <c r="I82" s="41"/>
      <c r="J82" s="61">
        <v>25</v>
      </c>
      <c r="K82" s="41"/>
      <c r="L82" s="41"/>
      <c r="M82" s="672" t="s">
        <v>43</v>
      </c>
      <c r="N82" s="1266"/>
      <c r="O82" s="1289">
        <v>1</v>
      </c>
      <c r="P82" s="901"/>
      <c r="Q82" s="1267"/>
    </row>
    <row r="83" spans="1:18" ht="25.5" customHeight="1" x14ac:dyDescent="0.2">
      <c r="A83" s="629"/>
      <c r="B83" s="630"/>
      <c r="C83" s="641"/>
      <c r="D83" s="974"/>
      <c r="E83" s="1549"/>
      <c r="F83" s="253"/>
      <c r="G83" s="640"/>
      <c r="H83" s="53" t="s">
        <v>79</v>
      </c>
      <c r="I83" s="378"/>
      <c r="J83" s="919"/>
      <c r="K83" s="319"/>
      <c r="L83" s="319">
        <v>100</v>
      </c>
      <c r="M83" s="1258" t="s">
        <v>411</v>
      </c>
      <c r="N83" s="628"/>
      <c r="O83" s="1262"/>
      <c r="P83" s="99"/>
      <c r="Q83" s="1281">
        <v>10</v>
      </c>
    </row>
    <row r="84" spans="1:18" ht="17.25" customHeight="1" x14ac:dyDescent="0.2">
      <c r="A84" s="904"/>
      <c r="B84" s="905"/>
      <c r="C84" s="909"/>
      <c r="D84" s="968" t="s">
        <v>319</v>
      </c>
      <c r="E84" s="1384" t="s">
        <v>388</v>
      </c>
      <c r="F84" s="1572"/>
      <c r="G84" s="1569" t="s">
        <v>328</v>
      </c>
      <c r="H84" s="54" t="s">
        <v>23</v>
      </c>
      <c r="I84" s="910"/>
      <c r="J84" s="483">
        <v>25</v>
      </c>
      <c r="K84" s="921">
        <v>125</v>
      </c>
      <c r="L84" s="409"/>
      <c r="M84" s="429" t="s">
        <v>74</v>
      </c>
      <c r="N84" s="445"/>
      <c r="O84" s="446">
        <v>1</v>
      </c>
      <c r="P84" s="908"/>
      <c r="Q84" s="899"/>
    </row>
    <row r="85" spans="1:18" ht="17.25" customHeight="1" x14ac:dyDescent="0.2">
      <c r="A85" s="904"/>
      <c r="B85" s="905"/>
      <c r="C85" s="909"/>
      <c r="D85" s="974"/>
      <c r="E85" s="1385"/>
      <c r="F85" s="1573"/>
      <c r="G85" s="1569"/>
      <c r="H85" s="315"/>
      <c r="I85" s="911"/>
      <c r="J85" s="28"/>
      <c r="K85" s="911"/>
      <c r="L85" s="911"/>
      <c r="M85" s="917" t="s">
        <v>323</v>
      </c>
      <c r="N85" s="15"/>
      <c r="O85" s="164"/>
      <c r="P85" s="32">
        <v>100</v>
      </c>
      <c r="Q85" s="16"/>
    </row>
    <row r="86" spans="1:18" ht="24" customHeight="1" x14ac:dyDescent="0.2">
      <c r="A86" s="1355"/>
      <c r="B86" s="1378"/>
      <c r="C86" s="839"/>
      <c r="D86" s="1611" t="s">
        <v>368</v>
      </c>
      <c r="E86" s="1400" t="s">
        <v>325</v>
      </c>
      <c r="F86" s="1653" t="s">
        <v>85</v>
      </c>
      <c r="G86" s="1569"/>
      <c r="H86" s="160" t="s">
        <v>78</v>
      </c>
      <c r="I86" s="375">
        <v>328.7</v>
      </c>
      <c r="J86" s="73">
        <v>328.7</v>
      </c>
      <c r="K86" s="837"/>
      <c r="L86" s="837"/>
      <c r="M86" s="834" t="s">
        <v>171</v>
      </c>
      <c r="N86" s="835">
        <v>1</v>
      </c>
      <c r="O86" s="468" t="s">
        <v>49</v>
      </c>
      <c r="P86" s="468"/>
      <c r="Q86" s="225"/>
    </row>
    <row r="87" spans="1:18" ht="15.75" customHeight="1" x14ac:dyDescent="0.2">
      <c r="A87" s="1355"/>
      <c r="B87" s="1378"/>
      <c r="C87" s="839"/>
      <c r="D87" s="1612"/>
      <c r="E87" s="1401"/>
      <c r="F87" s="1654"/>
      <c r="G87" s="1569"/>
      <c r="H87" s="30"/>
      <c r="I87" s="376"/>
      <c r="J87" s="93"/>
      <c r="K87" s="838"/>
      <c r="L87" s="838"/>
      <c r="M87" s="234"/>
      <c r="N87" s="15"/>
      <c r="O87" s="469"/>
      <c r="P87" s="469"/>
      <c r="Q87" s="228"/>
    </row>
    <row r="88" spans="1:18" ht="21.75" customHeight="1" x14ac:dyDescent="0.2">
      <c r="A88" s="937"/>
      <c r="B88" s="938"/>
      <c r="C88" s="218"/>
      <c r="D88" s="972" t="s">
        <v>369</v>
      </c>
      <c r="E88" s="1328" t="s">
        <v>194</v>
      </c>
      <c r="F88" s="1658" t="s">
        <v>173</v>
      </c>
      <c r="G88" s="371"/>
      <c r="H88" s="182" t="s">
        <v>54</v>
      </c>
      <c r="I88" s="41">
        <v>100</v>
      </c>
      <c r="J88" s="61">
        <v>1.6</v>
      </c>
      <c r="K88" s="143"/>
      <c r="L88" s="143"/>
      <c r="M88" s="1412" t="s">
        <v>43</v>
      </c>
      <c r="N88" s="1024">
        <v>1</v>
      </c>
      <c r="O88" s="1021">
        <v>1</v>
      </c>
      <c r="P88" s="1022"/>
      <c r="Q88" s="1023"/>
      <c r="R88" s="1547"/>
    </row>
    <row r="89" spans="1:18" ht="17.25" customHeight="1" x14ac:dyDescent="0.2">
      <c r="A89" s="937"/>
      <c r="B89" s="938"/>
      <c r="C89" s="218"/>
      <c r="D89" s="974"/>
      <c r="E89" s="1396"/>
      <c r="F89" s="1573"/>
      <c r="G89" s="942"/>
      <c r="H89" s="75" t="s">
        <v>23</v>
      </c>
      <c r="I89" s="941">
        <f>10-10</f>
        <v>0</v>
      </c>
      <c r="J89" s="93"/>
      <c r="K89" s="432"/>
      <c r="L89" s="432"/>
      <c r="M89" s="1564"/>
      <c r="N89" s="15"/>
      <c r="O89" s="164"/>
      <c r="P89" s="32"/>
      <c r="Q89" s="16"/>
      <c r="R89" s="1548"/>
    </row>
    <row r="90" spans="1:18" ht="40.5" customHeight="1" x14ac:dyDescent="0.2">
      <c r="A90" s="1355"/>
      <c r="B90" s="1356"/>
      <c r="C90" s="1623"/>
      <c r="D90" s="972" t="s">
        <v>370</v>
      </c>
      <c r="E90" s="1327" t="s">
        <v>177</v>
      </c>
      <c r="F90" s="1655"/>
      <c r="G90" s="857" t="s">
        <v>327</v>
      </c>
      <c r="H90" s="665"/>
      <c r="I90" s="238"/>
      <c r="J90" s="392"/>
      <c r="K90" s="238"/>
      <c r="L90" s="238"/>
      <c r="M90" s="900" t="s">
        <v>283</v>
      </c>
      <c r="N90" s="844"/>
      <c r="O90" s="664">
        <v>1</v>
      </c>
      <c r="P90" s="846"/>
      <c r="Q90" s="848"/>
    </row>
    <row r="91" spans="1:18" ht="19.5" customHeight="1" x14ac:dyDescent="0.2">
      <c r="A91" s="1355"/>
      <c r="B91" s="1356"/>
      <c r="C91" s="1623"/>
      <c r="D91" s="934"/>
      <c r="E91" s="1328"/>
      <c r="F91" s="1656"/>
      <c r="G91" s="1598" t="s">
        <v>326</v>
      </c>
      <c r="H91" s="31" t="s">
        <v>23</v>
      </c>
      <c r="I91" s="41">
        <v>10</v>
      </c>
      <c r="J91" s="61"/>
      <c r="K91" s="41">
        <v>13.3</v>
      </c>
      <c r="L91" s="41">
        <v>3.2</v>
      </c>
      <c r="M91" s="828" t="s">
        <v>43</v>
      </c>
      <c r="N91" s="17"/>
      <c r="O91" s="168"/>
      <c r="P91" s="100">
        <v>1</v>
      </c>
      <c r="Q91" s="18"/>
    </row>
    <row r="92" spans="1:18" ht="21" customHeight="1" x14ac:dyDescent="0.2">
      <c r="A92" s="1355"/>
      <c r="B92" s="1356"/>
      <c r="C92" s="1623"/>
      <c r="D92" s="934"/>
      <c r="E92" s="1328"/>
      <c r="F92" s="1656"/>
      <c r="G92" s="1569"/>
      <c r="H92" s="50" t="s">
        <v>41</v>
      </c>
      <c r="I92" s="41"/>
      <c r="J92" s="61"/>
      <c r="K92" s="41"/>
      <c r="L92" s="41">
        <v>45.2</v>
      </c>
      <c r="M92" s="1407" t="s">
        <v>108</v>
      </c>
      <c r="N92" s="845"/>
      <c r="O92" s="842"/>
      <c r="P92" s="843"/>
      <c r="Q92" s="849">
        <v>50</v>
      </c>
    </row>
    <row r="93" spans="1:18" ht="18.75" customHeight="1" x14ac:dyDescent="0.2">
      <c r="A93" s="1355"/>
      <c r="B93" s="1356"/>
      <c r="C93" s="1623"/>
      <c r="D93" s="935"/>
      <c r="E93" s="1396"/>
      <c r="F93" s="1657"/>
      <c r="G93" s="1599"/>
      <c r="H93" s="75" t="s">
        <v>178</v>
      </c>
      <c r="I93" s="847"/>
      <c r="J93" s="93"/>
      <c r="K93" s="1166"/>
      <c r="L93" s="1166">
        <v>15.1</v>
      </c>
      <c r="M93" s="1408"/>
      <c r="N93" s="15"/>
      <c r="O93" s="164"/>
      <c r="P93" s="32"/>
      <c r="Q93" s="16"/>
    </row>
    <row r="94" spans="1:18" ht="23.25" customHeight="1" x14ac:dyDescent="0.2">
      <c r="A94" s="953"/>
      <c r="B94" s="952"/>
      <c r="C94" s="200"/>
      <c r="D94" s="968" t="s">
        <v>233</v>
      </c>
      <c r="E94" s="1392" t="s">
        <v>105</v>
      </c>
      <c r="F94" s="1656" t="s">
        <v>44</v>
      </c>
      <c r="G94" s="1565"/>
      <c r="H94" s="41" t="s">
        <v>54</v>
      </c>
      <c r="I94" s="1048">
        <v>83.9</v>
      </c>
      <c r="J94" s="1165">
        <v>10.7</v>
      </c>
      <c r="K94" s="1165"/>
      <c r="L94" s="1165"/>
      <c r="M94" s="1034" t="s">
        <v>349</v>
      </c>
      <c r="N94" s="1045">
        <v>1</v>
      </c>
      <c r="O94" s="1045">
        <v>1</v>
      </c>
      <c r="P94" s="666"/>
      <c r="Q94" s="957"/>
      <c r="R94" s="877"/>
    </row>
    <row r="95" spans="1:18" ht="12" customHeight="1" x14ac:dyDescent="0.2">
      <c r="A95" s="953"/>
      <c r="B95" s="951"/>
      <c r="C95" s="200"/>
      <c r="D95" s="934"/>
      <c r="E95" s="1392"/>
      <c r="F95" s="1656"/>
      <c r="G95" s="1565"/>
      <c r="H95" s="41"/>
      <c r="I95" s="1049"/>
      <c r="J95" s="1166"/>
      <c r="K95" s="1166"/>
      <c r="L95" s="1166"/>
      <c r="M95" s="1041"/>
      <c r="N95" s="32"/>
      <c r="O95" s="32"/>
      <c r="P95" s="1058"/>
      <c r="Q95" s="958"/>
    </row>
    <row r="96" spans="1:18" ht="17.25" customHeight="1" x14ac:dyDescent="0.2">
      <c r="A96" s="1036"/>
      <c r="B96" s="1037"/>
      <c r="C96" s="200"/>
      <c r="D96" s="1055" t="s">
        <v>371</v>
      </c>
      <c r="E96" s="1365" t="s">
        <v>158</v>
      </c>
      <c r="F96" s="426" t="s">
        <v>173</v>
      </c>
      <c r="G96" s="1056"/>
      <c r="H96" s="54" t="s">
        <v>42</v>
      </c>
      <c r="I96" s="41">
        <v>21.5</v>
      </c>
      <c r="J96" s="61">
        <v>4.9000000000000004</v>
      </c>
      <c r="K96" s="103"/>
      <c r="L96" s="103"/>
      <c r="M96" s="1042" t="s">
        <v>43</v>
      </c>
      <c r="N96" s="1040">
        <v>1</v>
      </c>
      <c r="O96" s="1040">
        <v>1</v>
      </c>
      <c r="P96" s="1040"/>
      <c r="Q96" s="1044"/>
    </row>
    <row r="97" spans="1:17" ht="18" customHeight="1" x14ac:dyDescent="0.2">
      <c r="A97" s="1036"/>
      <c r="B97" s="1037"/>
      <c r="C97" s="199"/>
      <c r="D97" s="935"/>
      <c r="E97" s="1367"/>
      <c r="F97" s="333"/>
      <c r="G97" s="1057"/>
      <c r="H97" s="53"/>
      <c r="I97" s="35"/>
      <c r="J97" s="247"/>
      <c r="K97" s="35"/>
      <c r="L97" s="35"/>
      <c r="M97" s="123"/>
      <c r="N97" s="32"/>
      <c r="O97" s="32"/>
      <c r="P97" s="32"/>
      <c r="Q97" s="16"/>
    </row>
    <row r="98" spans="1:17" ht="54" customHeight="1" x14ac:dyDescent="0.2">
      <c r="A98" s="1026"/>
      <c r="B98" s="1025"/>
      <c r="C98" s="200"/>
      <c r="D98" s="1027" t="s">
        <v>372</v>
      </c>
      <c r="E98" s="1033" t="s">
        <v>352</v>
      </c>
      <c r="F98" s="1028"/>
      <c r="G98" s="1029"/>
      <c r="H98" s="275" t="s">
        <v>23</v>
      </c>
      <c r="I98" s="1030"/>
      <c r="J98" s="353"/>
      <c r="K98" s="1030">
        <v>125</v>
      </c>
      <c r="L98" s="1030"/>
      <c r="M98" s="274" t="s">
        <v>393</v>
      </c>
      <c r="N98" s="1031"/>
      <c r="O98" s="1031"/>
      <c r="P98" s="473">
        <v>100</v>
      </c>
      <c r="Q98" s="1032"/>
    </row>
    <row r="99" spans="1:17" ht="13.5" customHeight="1" x14ac:dyDescent="0.2">
      <c r="A99" s="1036"/>
      <c r="B99" s="1051"/>
      <c r="C99" s="199"/>
      <c r="D99" s="1038" t="s">
        <v>373</v>
      </c>
      <c r="E99" s="1366" t="s">
        <v>232</v>
      </c>
      <c r="F99" s="1035"/>
      <c r="G99" s="1054"/>
      <c r="H99" s="50" t="s">
        <v>23</v>
      </c>
      <c r="I99" s="41">
        <v>28</v>
      </c>
      <c r="J99" s="61">
        <v>28</v>
      </c>
      <c r="K99" s="41">
        <v>28</v>
      </c>
      <c r="L99" s="41">
        <v>28</v>
      </c>
      <c r="M99" s="1372" t="s">
        <v>106</v>
      </c>
      <c r="N99" s="1046">
        <v>100</v>
      </c>
      <c r="O99" s="394">
        <v>100</v>
      </c>
      <c r="P99" s="1045">
        <v>100</v>
      </c>
      <c r="Q99" s="1043">
        <v>100</v>
      </c>
    </row>
    <row r="100" spans="1:17" ht="16.5" customHeight="1" x14ac:dyDescent="0.2">
      <c r="A100" s="1036"/>
      <c r="B100" s="1051"/>
      <c r="C100" s="199"/>
      <c r="D100" s="1038"/>
      <c r="E100" s="1383"/>
      <c r="F100" s="1035"/>
      <c r="G100" s="1053"/>
      <c r="H100" s="50"/>
      <c r="I100" s="41"/>
      <c r="J100" s="61"/>
      <c r="K100" s="41"/>
      <c r="L100" s="41"/>
      <c r="M100" s="1375"/>
      <c r="N100" s="1047"/>
      <c r="O100" s="1039"/>
      <c r="P100" s="1040"/>
      <c r="Q100" s="1044"/>
    </row>
    <row r="101" spans="1:17" s="6" customFormat="1" ht="27" customHeight="1" x14ac:dyDescent="0.2">
      <c r="A101" s="1036"/>
      <c r="B101" s="1051"/>
      <c r="C101" s="1050"/>
      <c r="D101" s="1052"/>
      <c r="E101" s="1406"/>
      <c r="F101" s="949"/>
      <c r="G101" s="611"/>
      <c r="H101" s="316"/>
      <c r="I101" s="186"/>
      <c r="J101" s="185"/>
      <c r="K101" s="186"/>
      <c r="L101" s="186"/>
      <c r="M101" s="1413"/>
      <c r="N101" s="450"/>
      <c r="O101" s="451"/>
      <c r="P101" s="685"/>
      <c r="Q101" s="452"/>
    </row>
    <row r="102" spans="1:17" ht="15" customHeight="1" x14ac:dyDescent="0.2">
      <c r="A102" s="1355"/>
      <c r="B102" s="1378"/>
      <c r="C102" s="840"/>
      <c r="D102" s="934"/>
      <c r="E102" s="1571" t="s">
        <v>114</v>
      </c>
      <c r="F102" s="1559" t="s">
        <v>85</v>
      </c>
      <c r="G102" s="652"/>
      <c r="H102" s="398" t="s">
        <v>23</v>
      </c>
      <c r="I102" s="143"/>
      <c r="J102" s="599"/>
      <c r="K102" s="143"/>
      <c r="L102" s="143"/>
      <c r="M102" s="1562" t="s">
        <v>74</v>
      </c>
      <c r="N102" s="653"/>
      <c r="O102" s="653"/>
      <c r="P102" s="428"/>
      <c r="Q102" s="261"/>
    </row>
    <row r="103" spans="1:17" ht="13.5" customHeight="1" x14ac:dyDescent="0.2">
      <c r="A103" s="1355"/>
      <c r="B103" s="1378"/>
      <c r="C103" s="840"/>
      <c r="D103" s="934"/>
      <c r="E103" s="1571"/>
      <c r="F103" s="1560"/>
      <c r="G103" s="652"/>
      <c r="H103" s="398"/>
      <c r="I103" s="143"/>
      <c r="J103" s="599"/>
      <c r="K103" s="143"/>
      <c r="L103" s="143"/>
      <c r="M103" s="1563"/>
      <c r="N103" s="653"/>
      <c r="O103" s="653"/>
      <c r="P103" s="428"/>
      <c r="Q103" s="261"/>
    </row>
    <row r="104" spans="1:17" ht="10.5" customHeight="1" x14ac:dyDescent="0.2">
      <c r="A104" s="1355"/>
      <c r="B104" s="1378"/>
      <c r="C104" s="840"/>
      <c r="D104" s="934"/>
      <c r="E104" s="1616"/>
      <c r="F104" s="1561"/>
      <c r="G104" s="652"/>
      <c r="H104" s="424"/>
      <c r="I104" s="654"/>
      <c r="J104" s="655"/>
      <c r="K104" s="654"/>
      <c r="L104" s="654"/>
      <c r="M104" s="1194"/>
      <c r="N104" s="381"/>
      <c r="O104" s="536"/>
      <c r="P104" s="948"/>
      <c r="Q104" s="20"/>
    </row>
    <row r="105" spans="1:17" ht="15" customHeight="1" x14ac:dyDescent="0.2">
      <c r="A105" s="629"/>
      <c r="B105" s="632"/>
      <c r="C105" s="836"/>
      <c r="D105" s="934"/>
      <c r="E105" s="1557" t="s">
        <v>154</v>
      </c>
      <c r="F105" s="733"/>
      <c r="G105" s="338"/>
      <c r="H105" s="50" t="s">
        <v>23</v>
      </c>
      <c r="I105" s="41"/>
      <c r="J105" s="61"/>
      <c r="K105" s="41"/>
      <c r="L105" s="41"/>
      <c r="M105" s="1195" t="s">
        <v>43</v>
      </c>
      <c r="N105" s="650"/>
      <c r="O105" s="650"/>
      <c r="P105" s="600"/>
      <c r="Q105" s="647"/>
    </row>
    <row r="106" spans="1:17" ht="12" customHeight="1" x14ac:dyDescent="0.2">
      <c r="A106" s="629"/>
      <c r="B106" s="632"/>
      <c r="C106" s="836"/>
      <c r="D106" s="934"/>
      <c r="E106" s="1558"/>
      <c r="F106" s="736"/>
      <c r="G106" s="338"/>
      <c r="H106" s="53"/>
      <c r="I106" s="378"/>
      <c r="J106" s="93"/>
      <c r="K106" s="378"/>
      <c r="L106" s="378"/>
      <c r="M106" s="220"/>
      <c r="N106" s="1058"/>
      <c r="O106" s="660"/>
      <c r="P106" s="381"/>
      <c r="Q106" s="16"/>
    </row>
    <row r="107" spans="1:17" ht="17.25" customHeight="1" x14ac:dyDescent="0.2">
      <c r="A107" s="629"/>
      <c r="B107" s="632"/>
      <c r="C107" s="201"/>
      <c r="D107" s="934"/>
      <c r="E107" s="1570" t="s">
        <v>155</v>
      </c>
      <c r="F107" s="1572"/>
      <c r="G107" s="1574"/>
      <c r="H107" s="54" t="s">
        <v>54</v>
      </c>
      <c r="I107" s="375">
        <v>0.8</v>
      </c>
      <c r="J107" s="206"/>
      <c r="K107" s="375"/>
      <c r="L107" s="375"/>
      <c r="M107" s="1193" t="s">
        <v>74</v>
      </c>
      <c r="N107" s="666">
        <v>1</v>
      </c>
      <c r="O107" s="1196"/>
      <c r="P107" s="1197"/>
      <c r="Q107" s="646"/>
    </row>
    <row r="108" spans="1:17" ht="24" customHeight="1" x14ac:dyDescent="0.2">
      <c r="A108" s="629"/>
      <c r="B108" s="632"/>
      <c r="C108" s="201"/>
      <c r="D108" s="934"/>
      <c r="E108" s="1571"/>
      <c r="F108" s="1573"/>
      <c r="G108" s="1574"/>
      <c r="H108" s="53" t="s">
        <v>23</v>
      </c>
      <c r="I108" s="370"/>
      <c r="J108" s="304"/>
      <c r="K108" s="370"/>
      <c r="L108" s="370"/>
      <c r="M108" s="1194"/>
      <c r="N108" s="1058"/>
      <c r="O108" s="660"/>
      <c r="P108" s="381"/>
      <c r="Q108" s="16"/>
    </row>
    <row r="109" spans="1:17" ht="16.5" customHeight="1" x14ac:dyDescent="0.2">
      <c r="A109" s="629"/>
      <c r="B109" s="630"/>
      <c r="C109" s="641"/>
      <c r="D109" s="934"/>
      <c r="E109" s="1580" t="s">
        <v>103</v>
      </c>
      <c r="F109" s="1566" t="s">
        <v>292</v>
      </c>
      <c r="G109" s="1569"/>
      <c r="H109" s="50" t="s">
        <v>54</v>
      </c>
      <c r="I109" s="41">
        <v>18.2</v>
      </c>
      <c r="J109" s="73"/>
      <c r="K109" s="377"/>
      <c r="L109" s="377"/>
      <c r="M109" s="1198" t="s">
        <v>43</v>
      </c>
      <c r="N109" s="670">
        <v>1</v>
      </c>
      <c r="O109" s="1199"/>
      <c r="P109" s="1200"/>
      <c r="Q109" s="393"/>
    </row>
    <row r="110" spans="1:17" ht="21" customHeight="1" x14ac:dyDescent="0.2">
      <c r="A110" s="629"/>
      <c r="B110" s="630"/>
      <c r="C110" s="218"/>
      <c r="D110" s="934"/>
      <c r="E110" s="1581"/>
      <c r="F110" s="1567"/>
      <c r="G110" s="1569"/>
      <c r="H110" s="50"/>
      <c r="I110" s="41"/>
      <c r="J110" s="61"/>
      <c r="K110" s="41"/>
      <c r="L110" s="41"/>
      <c r="M110" s="1195"/>
      <c r="N110" s="667"/>
      <c r="O110" s="1201"/>
      <c r="P110" s="535"/>
      <c r="Q110" s="177"/>
    </row>
    <row r="111" spans="1:17" ht="16.5" customHeight="1" x14ac:dyDescent="0.2">
      <c r="A111" s="629"/>
      <c r="B111" s="630"/>
      <c r="C111" s="218"/>
      <c r="D111" s="934"/>
      <c r="E111" s="1582"/>
      <c r="F111" s="1568"/>
      <c r="G111" s="1569"/>
      <c r="H111" s="53"/>
      <c r="I111" s="378"/>
      <c r="J111" s="93"/>
      <c r="K111" s="378"/>
      <c r="L111" s="378"/>
      <c r="M111" s="220"/>
      <c r="N111" s="1058"/>
      <c r="O111" s="660"/>
      <c r="P111" s="381"/>
      <c r="Q111" s="16"/>
    </row>
    <row r="112" spans="1:17" ht="15" customHeight="1" x14ac:dyDescent="0.2">
      <c r="A112" s="629"/>
      <c r="B112" s="630"/>
      <c r="C112" s="641"/>
      <c r="D112" s="934"/>
      <c r="E112" s="1550" t="s">
        <v>53</v>
      </c>
      <c r="F112" s="714" t="s">
        <v>291</v>
      </c>
      <c r="G112" s="652"/>
      <c r="H112" s="533" t="s">
        <v>79</v>
      </c>
      <c r="I112" s="533">
        <v>0</v>
      </c>
      <c r="J112" s="648"/>
      <c r="K112" s="533"/>
      <c r="L112" s="533"/>
      <c r="M112" s="1555" t="s">
        <v>140</v>
      </c>
      <c r="N112" s="666">
        <v>100</v>
      </c>
      <c r="O112" s="1196"/>
      <c r="P112" s="1197"/>
      <c r="Q112" s="646"/>
    </row>
    <row r="113" spans="1:18" ht="15" customHeight="1" x14ac:dyDescent="0.2">
      <c r="A113" s="629"/>
      <c r="B113" s="630"/>
      <c r="C113" s="641"/>
      <c r="D113" s="934"/>
      <c r="E113" s="1551"/>
      <c r="F113" s="716"/>
      <c r="G113" s="652"/>
      <c r="H113" s="432" t="s">
        <v>45</v>
      </c>
      <c r="I113" s="432">
        <v>1300</v>
      </c>
      <c r="J113" s="944"/>
      <c r="K113" s="432"/>
      <c r="L113" s="432"/>
      <c r="M113" s="1556"/>
      <c r="N113" s="600"/>
      <c r="O113" s="1202"/>
      <c r="P113" s="650"/>
      <c r="Q113" s="647"/>
    </row>
    <row r="114" spans="1:18" ht="14.25" customHeight="1" x14ac:dyDescent="0.2">
      <c r="A114" s="629"/>
      <c r="B114" s="630"/>
      <c r="C114" s="641"/>
      <c r="D114" s="934"/>
      <c r="E114" s="1550" t="s">
        <v>394</v>
      </c>
      <c r="F114" s="714" t="s">
        <v>291</v>
      </c>
      <c r="G114" s="1552"/>
      <c r="H114" s="423" t="s">
        <v>79</v>
      </c>
      <c r="I114" s="533">
        <f>845.7+10-200+320.6-71</f>
        <v>905.3</v>
      </c>
      <c r="J114" s="648"/>
      <c r="K114" s="533"/>
      <c r="L114" s="533"/>
      <c r="M114" s="1553" t="s">
        <v>141</v>
      </c>
      <c r="N114" s="670">
        <v>100</v>
      </c>
      <c r="O114" s="1199"/>
      <c r="P114" s="1200"/>
      <c r="Q114" s="393"/>
    </row>
    <row r="115" spans="1:18" ht="12.75" customHeight="1" x14ac:dyDescent="0.2">
      <c r="A115" s="629"/>
      <c r="B115" s="630"/>
      <c r="C115" s="641"/>
      <c r="D115" s="934"/>
      <c r="E115" s="1551"/>
      <c r="F115" s="1615"/>
      <c r="G115" s="1552"/>
      <c r="H115" s="669" t="s">
        <v>23</v>
      </c>
      <c r="I115" s="668">
        <f>81.9-7.9</f>
        <v>74</v>
      </c>
      <c r="J115" s="599"/>
      <c r="K115" s="143"/>
      <c r="L115" s="143"/>
      <c r="M115" s="1554"/>
      <c r="N115" s="667"/>
      <c r="O115" s="1201"/>
      <c r="P115" s="535"/>
      <c r="Q115" s="177"/>
    </row>
    <row r="116" spans="1:18" ht="9" customHeight="1" x14ac:dyDescent="0.2">
      <c r="A116" s="629"/>
      <c r="B116" s="630"/>
      <c r="C116" s="641"/>
      <c r="D116" s="934"/>
      <c r="E116" s="1551"/>
      <c r="F116" s="1615"/>
      <c r="G116" s="1552"/>
      <c r="H116" s="945"/>
      <c r="I116" s="946"/>
      <c r="J116" s="944"/>
      <c r="K116" s="432"/>
      <c r="L116" s="432"/>
      <c r="M116" s="947"/>
      <c r="N116" s="948"/>
      <c r="O116" s="286"/>
      <c r="P116" s="99"/>
      <c r="Q116" s="20"/>
      <c r="R116" s="435"/>
    </row>
    <row r="117" spans="1:18" ht="16.5" customHeight="1" x14ac:dyDescent="0.2">
      <c r="A117" s="559"/>
      <c r="B117" s="562"/>
      <c r="C117" s="201"/>
      <c r="D117" s="934"/>
      <c r="E117" s="1570" t="s">
        <v>402</v>
      </c>
      <c r="F117" s="1572" t="s">
        <v>44</v>
      </c>
      <c r="G117" s="1574"/>
      <c r="H117" s="50"/>
      <c r="I117" s="42"/>
      <c r="J117" s="184"/>
      <c r="K117" s="42"/>
      <c r="L117" s="42"/>
      <c r="M117" s="337"/>
      <c r="N117" s="584"/>
      <c r="O117" s="570"/>
      <c r="P117" s="571"/>
      <c r="Q117" s="580"/>
    </row>
    <row r="118" spans="1:18" ht="17.25" customHeight="1" x14ac:dyDescent="0.2">
      <c r="A118" s="559"/>
      <c r="B118" s="560"/>
      <c r="C118" s="897"/>
      <c r="D118" s="934"/>
      <c r="E118" s="1616"/>
      <c r="F118" s="1573"/>
      <c r="G118" s="1575"/>
      <c r="H118" s="315"/>
      <c r="I118" s="378"/>
      <c r="J118" s="93"/>
      <c r="K118" s="378"/>
      <c r="L118" s="378"/>
      <c r="M118" s="14"/>
      <c r="N118" s="15"/>
      <c r="O118" s="164"/>
      <c r="P118" s="32"/>
      <c r="Q118" s="16"/>
    </row>
    <row r="119" spans="1:18" ht="15.75" customHeight="1" x14ac:dyDescent="0.2">
      <c r="A119" s="559"/>
      <c r="B119" s="562"/>
      <c r="C119" s="200"/>
      <c r="D119" s="677" t="s">
        <v>374</v>
      </c>
      <c r="E119" s="959" t="s">
        <v>337</v>
      </c>
      <c r="F119" s="678"/>
      <c r="G119" s="679"/>
      <c r="H119" s="680"/>
      <c r="I119" s="680"/>
      <c r="J119" s="680"/>
      <c r="K119" s="680"/>
      <c r="L119" s="680"/>
      <c r="M119" s="681"/>
      <c r="N119" s="419"/>
      <c r="O119" s="682"/>
      <c r="P119" s="419"/>
      <c r="Q119" s="683"/>
    </row>
    <row r="120" spans="1:18" ht="26.25" customHeight="1" x14ac:dyDescent="0.2">
      <c r="A120" s="1184"/>
      <c r="B120" s="1185"/>
      <c r="C120" s="200"/>
      <c r="D120" s="116" t="s">
        <v>49</v>
      </c>
      <c r="E120" s="390" t="s">
        <v>390</v>
      </c>
      <c r="F120" s="1189"/>
      <c r="G120" s="1192"/>
      <c r="H120" s="41" t="s">
        <v>79</v>
      </c>
      <c r="I120" s="40"/>
      <c r="J120" s="41">
        <f>1000-250</f>
        <v>750</v>
      </c>
      <c r="K120" s="41"/>
      <c r="L120" s="41"/>
      <c r="M120" s="1187" t="s">
        <v>60</v>
      </c>
      <c r="N120" s="132"/>
      <c r="O120" s="61">
        <v>3.6</v>
      </c>
      <c r="P120" s="132"/>
      <c r="Q120" s="26"/>
      <c r="R120" s="1191"/>
    </row>
    <row r="121" spans="1:18" ht="15" customHeight="1" x14ac:dyDescent="0.2">
      <c r="A121" s="1184"/>
      <c r="B121" s="1185"/>
      <c r="C121" s="200"/>
      <c r="D121" s="116" t="s">
        <v>298</v>
      </c>
      <c r="E121" s="390" t="s">
        <v>214</v>
      </c>
      <c r="F121" s="1189"/>
      <c r="G121" s="1192"/>
      <c r="H121" s="41"/>
      <c r="I121" s="41"/>
      <c r="J121" s="41"/>
      <c r="K121" s="41"/>
      <c r="L121" s="41"/>
      <c r="M121" s="1187"/>
      <c r="N121" s="132"/>
      <c r="O121" s="61"/>
      <c r="P121" s="132"/>
      <c r="Q121" s="26"/>
      <c r="R121" s="870"/>
    </row>
    <row r="122" spans="1:18" ht="26.25" customHeight="1" x14ac:dyDescent="0.2">
      <c r="A122" s="1184"/>
      <c r="B122" s="1185"/>
      <c r="C122" s="200"/>
      <c r="D122" s="116" t="s">
        <v>339</v>
      </c>
      <c r="E122" s="134" t="s">
        <v>215</v>
      </c>
      <c r="F122" s="1189"/>
      <c r="G122" s="1192"/>
      <c r="H122" s="41"/>
      <c r="I122" s="41"/>
      <c r="J122" s="41"/>
      <c r="K122" s="41"/>
      <c r="L122" s="41"/>
      <c r="M122" s="1187"/>
      <c r="N122" s="132"/>
      <c r="O122" s="61"/>
      <c r="P122" s="132"/>
      <c r="Q122" s="26"/>
    </row>
    <row r="123" spans="1:18" ht="15.75" customHeight="1" x14ac:dyDescent="0.2">
      <c r="A123" s="1184"/>
      <c r="B123" s="1185"/>
      <c r="C123" s="218"/>
      <c r="D123" s="116" t="s">
        <v>340</v>
      </c>
      <c r="E123" s="134" t="s">
        <v>255</v>
      </c>
      <c r="F123" s="1189"/>
      <c r="G123" s="1192"/>
      <c r="H123" s="41"/>
      <c r="I123" s="41"/>
      <c r="J123" s="41"/>
      <c r="K123" s="41"/>
      <c r="L123" s="41"/>
      <c r="M123" s="1187"/>
      <c r="N123" s="132"/>
      <c r="O123" s="61"/>
      <c r="P123" s="132"/>
      <c r="Q123" s="26"/>
    </row>
    <row r="124" spans="1:18" ht="14.25" customHeight="1" x14ac:dyDescent="0.2">
      <c r="A124" s="1184"/>
      <c r="B124" s="1185"/>
      <c r="C124" s="218"/>
      <c r="D124" s="116" t="s">
        <v>40</v>
      </c>
      <c r="E124" s="1186" t="s">
        <v>395</v>
      </c>
      <c r="F124" s="1189"/>
      <c r="G124" s="1192"/>
      <c r="H124" s="41"/>
      <c r="I124" s="41"/>
      <c r="J124" s="41"/>
      <c r="K124" s="41"/>
      <c r="L124" s="41"/>
      <c r="M124" s="1187"/>
      <c r="N124" s="132"/>
      <c r="O124" s="61"/>
      <c r="P124" s="132"/>
      <c r="Q124" s="26"/>
    </row>
    <row r="125" spans="1:18" ht="15" customHeight="1" x14ac:dyDescent="0.2">
      <c r="A125" s="559"/>
      <c r="B125" s="562"/>
      <c r="C125" s="1635" t="s">
        <v>131</v>
      </c>
      <c r="D125" s="116" t="s">
        <v>34</v>
      </c>
      <c r="E125" s="179" t="s">
        <v>392</v>
      </c>
      <c r="F125" s="744"/>
      <c r="G125" s="1569" t="s">
        <v>330</v>
      </c>
      <c r="H125" s="41" t="s">
        <v>79</v>
      </c>
      <c r="I125" s="40"/>
      <c r="J125" s="41">
        <v>17</v>
      </c>
      <c r="K125" s="41"/>
      <c r="L125" s="41"/>
      <c r="M125" s="1187" t="s">
        <v>256</v>
      </c>
      <c r="N125" s="132"/>
      <c r="O125" s="61">
        <v>1</v>
      </c>
      <c r="P125" s="132"/>
      <c r="Q125" s="26"/>
      <c r="R125" s="868"/>
    </row>
    <row r="126" spans="1:18" ht="27.75" customHeight="1" x14ac:dyDescent="0.2">
      <c r="A126" s="559"/>
      <c r="B126" s="562"/>
      <c r="C126" s="1635"/>
      <c r="D126" s="116" t="s">
        <v>341</v>
      </c>
      <c r="E126" s="390" t="s">
        <v>295</v>
      </c>
      <c r="F126" s="744"/>
      <c r="G126" s="1584"/>
      <c r="H126" s="41" t="s">
        <v>54</v>
      </c>
      <c r="I126" s="40"/>
      <c r="J126" s="41">
        <v>40</v>
      </c>
      <c r="K126" s="41"/>
      <c r="L126" s="41"/>
      <c r="M126" s="1187"/>
      <c r="N126" s="132"/>
      <c r="O126" s="61"/>
      <c r="P126" s="132"/>
      <c r="Q126" s="26"/>
      <c r="R126" s="870"/>
    </row>
    <row r="127" spans="1:18" ht="15" customHeight="1" x14ac:dyDescent="0.2">
      <c r="A127" s="559"/>
      <c r="B127" s="562"/>
      <c r="C127" s="1635"/>
      <c r="D127" s="116" t="s">
        <v>179</v>
      </c>
      <c r="E127" s="390" t="s">
        <v>132</v>
      </c>
      <c r="F127" s="744"/>
      <c r="G127" s="1584"/>
      <c r="H127" s="1190"/>
      <c r="I127" s="1190"/>
      <c r="J127" s="1190"/>
      <c r="K127" s="1190"/>
      <c r="L127" s="1190"/>
      <c r="M127" s="1188"/>
      <c r="N127" s="28"/>
      <c r="O127" s="93"/>
      <c r="P127" s="28"/>
      <c r="Q127" s="29"/>
      <c r="R127" s="870"/>
    </row>
    <row r="128" spans="1:18" ht="29.25" customHeight="1" x14ac:dyDescent="0.2">
      <c r="A128" s="559"/>
      <c r="B128" s="562"/>
      <c r="C128" s="1634" t="s">
        <v>188</v>
      </c>
      <c r="D128" s="1685"/>
      <c r="E128" s="545" t="s">
        <v>258</v>
      </c>
      <c r="F128" s="744"/>
      <c r="G128" s="572"/>
      <c r="H128" s="41" t="s">
        <v>79</v>
      </c>
      <c r="I128" s="40"/>
      <c r="J128" s="41"/>
      <c r="K128" s="41">
        <v>1000</v>
      </c>
      <c r="L128" s="41"/>
      <c r="M128" s="785" t="s">
        <v>60</v>
      </c>
      <c r="N128" s="132"/>
      <c r="O128" s="70"/>
      <c r="P128" s="25">
        <v>3.4</v>
      </c>
      <c r="Q128" s="26"/>
    </row>
    <row r="129" spans="1:18" ht="15" customHeight="1" x14ac:dyDescent="0.2">
      <c r="A129" s="559"/>
      <c r="B129" s="562"/>
      <c r="C129" s="1635"/>
      <c r="D129" s="1646"/>
      <c r="E129" s="134" t="s">
        <v>396</v>
      </c>
      <c r="F129" s="744"/>
      <c r="G129" s="572"/>
      <c r="H129" s="41"/>
      <c r="I129" s="40"/>
      <c r="J129" s="41"/>
      <c r="K129" s="41"/>
      <c r="L129" s="41"/>
      <c r="M129" s="785"/>
      <c r="N129" s="132"/>
      <c r="O129" s="61"/>
      <c r="P129" s="25"/>
      <c r="Q129" s="26"/>
    </row>
    <row r="130" spans="1:18" ht="18.75" customHeight="1" x14ac:dyDescent="0.2">
      <c r="A130" s="559"/>
      <c r="B130" s="562"/>
      <c r="C130" s="1636"/>
      <c r="D130" s="1686"/>
      <c r="E130" s="495" t="s">
        <v>397</v>
      </c>
      <c r="F130" s="744"/>
      <c r="G130" s="572"/>
      <c r="H130" s="922"/>
      <c r="I130" s="922"/>
      <c r="J130" s="922"/>
      <c r="K130" s="922"/>
      <c r="L130" s="922"/>
      <c r="M130" s="784"/>
      <c r="N130" s="28"/>
      <c r="O130" s="93"/>
      <c r="P130" s="27"/>
      <c r="Q130" s="29"/>
    </row>
    <row r="131" spans="1:18" ht="17.25" customHeight="1" x14ac:dyDescent="0.2">
      <c r="A131" s="559"/>
      <c r="B131" s="562"/>
      <c r="C131" s="1635" t="s">
        <v>257</v>
      </c>
      <c r="D131" s="1646"/>
      <c r="E131" s="1382" t="s">
        <v>399</v>
      </c>
      <c r="F131" s="744"/>
      <c r="G131" s="572"/>
      <c r="H131" s="921" t="s">
        <v>79</v>
      </c>
      <c r="I131" s="118"/>
      <c r="J131" s="921"/>
      <c r="K131" s="921"/>
      <c r="L131" s="921">
        <v>1000</v>
      </c>
      <c r="M131" s="785" t="s">
        <v>60</v>
      </c>
      <c r="N131" s="132"/>
      <c r="O131" s="70"/>
      <c r="P131" s="25"/>
      <c r="Q131" s="26">
        <v>3.4</v>
      </c>
    </row>
    <row r="132" spans="1:18" ht="27.75" customHeight="1" x14ac:dyDescent="0.2">
      <c r="A132" s="559"/>
      <c r="B132" s="562"/>
      <c r="C132" s="1635"/>
      <c r="D132" s="1646"/>
      <c r="E132" s="1700"/>
      <c r="F132" s="744"/>
      <c r="G132" s="572"/>
      <c r="H132" s="41"/>
      <c r="I132" s="40"/>
      <c r="J132" s="41"/>
      <c r="K132" s="41"/>
      <c r="L132" s="41"/>
      <c r="M132" s="785"/>
      <c r="N132" s="132"/>
      <c r="O132" s="61"/>
      <c r="P132" s="25"/>
      <c r="Q132" s="26"/>
    </row>
    <row r="133" spans="1:18" ht="14.25" customHeight="1" x14ac:dyDescent="0.2">
      <c r="A133" s="559"/>
      <c r="B133" s="562"/>
      <c r="C133" s="1637" t="s">
        <v>130</v>
      </c>
      <c r="D133" s="1624"/>
      <c r="E133" s="586" t="s">
        <v>189</v>
      </c>
      <c r="F133" s="541"/>
      <c r="G133" s="587"/>
      <c r="H133" s="533" t="s">
        <v>79</v>
      </c>
      <c r="I133" s="533">
        <f>1000+20</f>
        <v>1020</v>
      </c>
      <c r="J133" s="533"/>
      <c r="K133" s="533"/>
      <c r="L133" s="533"/>
      <c r="M133" s="787" t="s">
        <v>60</v>
      </c>
      <c r="N133" s="422">
        <v>5.9</v>
      </c>
      <c r="O133" s="73"/>
      <c r="P133" s="33"/>
      <c r="Q133" s="222"/>
    </row>
    <row r="134" spans="1:18" ht="13.5" customHeight="1" x14ac:dyDescent="0.2">
      <c r="A134" s="559"/>
      <c r="B134" s="562"/>
      <c r="C134" s="1638"/>
      <c r="D134" s="1625"/>
      <c r="E134" s="538" t="s">
        <v>129</v>
      </c>
      <c r="F134" s="541"/>
      <c r="G134" s="587"/>
      <c r="H134" s="143" t="s">
        <v>54</v>
      </c>
      <c r="I134" s="143">
        <v>38.200000000000003</v>
      </c>
      <c r="J134" s="143"/>
      <c r="K134" s="143"/>
      <c r="L134" s="143"/>
      <c r="M134" s="786"/>
      <c r="N134" s="330"/>
      <c r="O134" s="61"/>
      <c r="P134" s="132"/>
      <c r="Q134" s="26"/>
    </row>
    <row r="135" spans="1:18" ht="14.25" customHeight="1" x14ac:dyDescent="0.2">
      <c r="A135" s="559"/>
      <c r="B135" s="562"/>
      <c r="C135" s="1638"/>
      <c r="D135" s="1625"/>
      <c r="E135" s="542" t="s">
        <v>133</v>
      </c>
      <c r="F135" s="541"/>
      <c r="G135" s="587"/>
      <c r="H135" s="143" t="s">
        <v>62</v>
      </c>
      <c r="I135" s="143">
        <v>27.6</v>
      </c>
      <c r="J135" s="143"/>
      <c r="K135" s="143"/>
      <c r="L135" s="143"/>
      <c r="M135" s="786"/>
      <c r="N135" s="330"/>
      <c r="O135" s="61"/>
      <c r="P135" s="132"/>
      <c r="Q135" s="26"/>
    </row>
    <row r="136" spans="1:18" ht="30" customHeight="1" x14ac:dyDescent="0.2">
      <c r="A136" s="559"/>
      <c r="B136" s="562"/>
      <c r="C136" s="1639"/>
      <c r="D136" s="1626"/>
      <c r="E136" s="539" t="s">
        <v>254</v>
      </c>
      <c r="F136" s="541"/>
      <c r="G136" s="587"/>
      <c r="H136" s="143" t="s">
        <v>23</v>
      </c>
      <c r="I136" s="143">
        <v>7.5</v>
      </c>
      <c r="J136" s="143"/>
      <c r="K136" s="143"/>
      <c r="L136" s="143"/>
      <c r="M136" s="786"/>
      <c r="N136" s="330"/>
      <c r="O136" s="61"/>
      <c r="P136" s="132"/>
      <c r="Q136" s="26"/>
    </row>
    <row r="137" spans="1:18" ht="18.75" customHeight="1" x14ac:dyDescent="0.2">
      <c r="A137" s="559"/>
      <c r="B137" s="562"/>
      <c r="C137" s="1640" t="s">
        <v>253</v>
      </c>
      <c r="D137" s="1643"/>
      <c r="E137" s="540" t="s">
        <v>214</v>
      </c>
      <c r="F137" s="744"/>
      <c r="G137" s="572"/>
      <c r="H137" s="973"/>
      <c r="I137" s="973"/>
      <c r="J137" s="973"/>
      <c r="K137" s="973"/>
      <c r="L137" s="973"/>
      <c r="M137" s="1553" t="s">
        <v>307</v>
      </c>
      <c r="N137" s="33"/>
      <c r="O137" s="73"/>
      <c r="P137" s="33"/>
      <c r="Q137" s="222"/>
    </row>
    <row r="138" spans="1:18" ht="26.25" customHeight="1" x14ac:dyDescent="0.2">
      <c r="A138" s="559"/>
      <c r="B138" s="562"/>
      <c r="C138" s="1641"/>
      <c r="D138" s="1625"/>
      <c r="E138" s="390" t="s">
        <v>215</v>
      </c>
      <c r="F138" s="744"/>
      <c r="G138" s="572"/>
      <c r="H138" s="41"/>
      <c r="I138" s="41"/>
      <c r="J138" s="41"/>
      <c r="K138" s="41"/>
      <c r="L138" s="41"/>
      <c r="M138" s="1554"/>
      <c r="N138" s="132"/>
      <c r="O138" s="61"/>
      <c r="P138" s="132"/>
      <c r="Q138" s="26"/>
    </row>
    <row r="139" spans="1:18" ht="15" customHeight="1" x14ac:dyDescent="0.2">
      <c r="A139" s="559"/>
      <c r="B139" s="562"/>
      <c r="C139" s="1641"/>
      <c r="D139" s="1625"/>
      <c r="E139" s="134" t="s">
        <v>132</v>
      </c>
      <c r="F139" s="744"/>
      <c r="G139" s="572"/>
      <c r="H139" s="41"/>
      <c r="I139" s="41"/>
      <c r="J139" s="41"/>
      <c r="K139" s="41"/>
      <c r="L139" s="41"/>
      <c r="M139" s="785"/>
      <c r="N139" s="132"/>
      <c r="O139" s="61"/>
      <c r="P139" s="132"/>
      <c r="Q139" s="26"/>
    </row>
    <row r="140" spans="1:18" ht="18" customHeight="1" x14ac:dyDescent="0.2">
      <c r="A140" s="559"/>
      <c r="B140" s="562"/>
      <c r="C140" s="1642"/>
      <c r="D140" s="1626"/>
      <c r="E140" s="495" t="s">
        <v>216</v>
      </c>
      <c r="F140" s="744"/>
      <c r="G140" s="572"/>
      <c r="H140" s="41"/>
      <c r="I140" s="41"/>
      <c r="J140" s="41"/>
      <c r="K140" s="41"/>
      <c r="L140" s="41"/>
      <c r="M140" s="785"/>
      <c r="N140" s="132"/>
      <c r="O140" s="61"/>
      <c r="P140" s="132"/>
      <c r="Q140" s="26"/>
    </row>
    <row r="141" spans="1:18" ht="26.25" customHeight="1" x14ac:dyDescent="0.2">
      <c r="A141" s="559"/>
      <c r="B141" s="562"/>
      <c r="C141" s="200"/>
      <c r="D141" s="755" t="s">
        <v>375</v>
      </c>
      <c r="E141" s="1327" t="s">
        <v>81</v>
      </c>
      <c r="F141" s="800"/>
      <c r="G141" s="573"/>
      <c r="H141" s="377" t="s">
        <v>79</v>
      </c>
      <c r="I141" s="33">
        <v>262.3</v>
      </c>
      <c r="J141" s="377">
        <v>260.3</v>
      </c>
      <c r="K141" s="377">
        <v>260.3</v>
      </c>
      <c r="L141" s="377">
        <v>260.3</v>
      </c>
      <c r="M141" s="783" t="s">
        <v>202</v>
      </c>
      <c r="N141" s="465" t="s">
        <v>201</v>
      </c>
      <c r="O141" s="339" t="s">
        <v>201</v>
      </c>
      <c r="P141" s="468" t="s">
        <v>201</v>
      </c>
      <c r="Q141" s="699" t="s">
        <v>201</v>
      </c>
      <c r="R141" s="868"/>
    </row>
    <row r="142" spans="1:18" ht="26.25" customHeight="1" x14ac:dyDescent="0.2">
      <c r="A142" s="559"/>
      <c r="B142" s="562"/>
      <c r="C142" s="200"/>
      <c r="D142" s="747"/>
      <c r="E142" s="1328"/>
      <c r="F142" s="802"/>
      <c r="G142" s="573"/>
      <c r="H142" s="41" t="s">
        <v>23</v>
      </c>
      <c r="I142" s="132">
        <f>666.7+168.5+61.8</f>
        <v>897</v>
      </c>
      <c r="J142" s="41">
        <v>751.5</v>
      </c>
      <c r="K142" s="41">
        <v>830</v>
      </c>
      <c r="L142" s="41">
        <v>830</v>
      </c>
      <c r="M142" s="52" t="s">
        <v>37</v>
      </c>
      <c r="N142" s="116" t="s">
        <v>312</v>
      </c>
      <c r="O142" s="116" t="s">
        <v>203</v>
      </c>
      <c r="P142" s="613" t="s">
        <v>203</v>
      </c>
      <c r="Q142" s="402" t="s">
        <v>203</v>
      </c>
      <c r="R142" s="870"/>
    </row>
    <row r="143" spans="1:18" ht="15.75" customHeight="1" x14ac:dyDescent="0.2">
      <c r="A143" s="559"/>
      <c r="B143" s="562"/>
      <c r="C143" s="200"/>
      <c r="D143" s="747"/>
      <c r="E143" s="1328"/>
      <c r="F143" s="802"/>
      <c r="G143" s="573"/>
      <c r="H143" s="41" t="s">
        <v>62</v>
      </c>
      <c r="I143" s="61">
        <v>105</v>
      </c>
      <c r="J143" s="41"/>
      <c r="K143" s="41"/>
      <c r="L143" s="41"/>
      <c r="M143" s="52" t="s">
        <v>59</v>
      </c>
      <c r="N143" s="116" t="s">
        <v>197</v>
      </c>
      <c r="O143" s="116" t="s">
        <v>197</v>
      </c>
      <c r="P143" s="613" t="s">
        <v>197</v>
      </c>
      <c r="Q143" s="402" t="s">
        <v>197</v>
      </c>
    </row>
    <row r="144" spans="1:18" ht="29.25" customHeight="1" x14ac:dyDescent="0.2">
      <c r="A144" s="559"/>
      <c r="B144" s="562"/>
      <c r="C144" s="200"/>
      <c r="D144" s="756"/>
      <c r="E144" s="1396"/>
      <c r="F144" s="807"/>
      <c r="G144" s="576"/>
      <c r="H144" s="45" t="s">
        <v>79</v>
      </c>
      <c r="I144" s="378">
        <f>110.5+4.7</f>
        <v>115.2</v>
      </c>
      <c r="J144" s="378"/>
      <c r="K144" s="378"/>
      <c r="L144" s="378"/>
      <c r="M144" s="694" t="s">
        <v>227</v>
      </c>
      <c r="N144" s="466" t="s">
        <v>228</v>
      </c>
      <c r="O144" s="242" t="s">
        <v>228</v>
      </c>
      <c r="P144" s="1183"/>
      <c r="Q144" s="228"/>
    </row>
    <row r="145" spans="1:18" ht="15" customHeight="1" x14ac:dyDescent="0.2">
      <c r="A145" s="1355"/>
      <c r="B145" s="1378"/>
      <c r="C145" s="1623"/>
      <c r="D145" s="747" t="s">
        <v>376</v>
      </c>
      <c r="E145" s="1384" t="s">
        <v>47</v>
      </c>
      <c r="F145" s="744"/>
      <c r="G145" s="576"/>
      <c r="H145" s="41" t="s">
        <v>23</v>
      </c>
      <c r="I145" s="41">
        <v>400</v>
      </c>
      <c r="J145" s="41">
        <f>500-100</f>
        <v>400</v>
      </c>
      <c r="K145" s="41">
        <v>500</v>
      </c>
      <c r="L145" s="41">
        <v>500</v>
      </c>
      <c r="M145" s="1372" t="s">
        <v>199</v>
      </c>
      <c r="N145" s="465" t="s">
        <v>198</v>
      </c>
      <c r="O145" s="339" t="s">
        <v>198</v>
      </c>
      <c r="P145" s="468" t="s">
        <v>198</v>
      </c>
      <c r="Q145" s="225" t="s">
        <v>198</v>
      </c>
    </row>
    <row r="146" spans="1:18" ht="14.25" customHeight="1" x14ac:dyDescent="0.2">
      <c r="A146" s="1355"/>
      <c r="B146" s="1378"/>
      <c r="C146" s="1623"/>
      <c r="D146" s="756"/>
      <c r="E146" s="1385"/>
      <c r="F146" s="762"/>
      <c r="G146" s="576"/>
      <c r="H146" s="328"/>
      <c r="I146" s="328"/>
      <c r="J146" s="328"/>
      <c r="K146" s="858"/>
      <c r="L146" s="378"/>
      <c r="M146" s="1402"/>
      <c r="N146" s="28"/>
      <c r="O146" s="93"/>
      <c r="P146" s="27"/>
      <c r="Q146" s="29"/>
    </row>
    <row r="147" spans="1:18" ht="15.75" customHeight="1" x14ac:dyDescent="0.2">
      <c r="A147" s="1355"/>
      <c r="B147" s="1378"/>
      <c r="C147" s="1623"/>
      <c r="D147" s="1611" t="s">
        <v>377</v>
      </c>
      <c r="E147" s="1417" t="s">
        <v>191</v>
      </c>
      <c r="F147" s="1379"/>
      <c r="G147" s="159"/>
      <c r="H147" s="377" t="s">
        <v>23</v>
      </c>
      <c r="I147" s="377">
        <v>0</v>
      </c>
      <c r="J147" s="841">
        <v>0</v>
      </c>
      <c r="K147" s="377">
        <v>290</v>
      </c>
      <c r="L147" s="377">
        <v>290</v>
      </c>
      <c r="M147" s="793"/>
      <c r="N147" s="365"/>
      <c r="O147" s="700"/>
      <c r="P147" s="700"/>
      <c r="Q147" s="699"/>
      <c r="R147" s="868"/>
    </row>
    <row r="148" spans="1:18" ht="15.75" customHeight="1" x14ac:dyDescent="0.2">
      <c r="A148" s="1355"/>
      <c r="B148" s="1378"/>
      <c r="C148" s="1623"/>
      <c r="D148" s="1472"/>
      <c r="E148" s="1418"/>
      <c r="F148" s="1380"/>
      <c r="G148" s="159"/>
      <c r="H148" s="41" t="s">
        <v>79</v>
      </c>
      <c r="I148" s="41">
        <f>235.8+32</f>
        <v>267.8</v>
      </c>
      <c r="J148" s="41">
        <v>315.60000000000002</v>
      </c>
      <c r="K148" s="41">
        <v>310</v>
      </c>
      <c r="L148" s="41">
        <v>310</v>
      </c>
      <c r="M148" s="403" t="s">
        <v>204</v>
      </c>
      <c r="N148" s="340" t="s">
        <v>223</v>
      </c>
      <c r="O148" s="291" t="s">
        <v>261</v>
      </c>
      <c r="P148" s="291" t="s">
        <v>261</v>
      </c>
      <c r="Q148" s="249" t="s">
        <v>261</v>
      </c>
      <c r="R148" s="868"/>
    </row>
    <row r="149" spans="1:18" ht="15" customHeight="1" x14ac:dyDescent="0.2">
      <c r="A149" s="1355"/>
      <c r="B149" s="1378"/>
      <c r="C149" s="1623"/>
      <c r="D149" s="1472"/>
      <c r="E149" s="1627"/>
      <c r="F149" s="1380"/>
      <c r="G149" s="159"/>
      <c r="H149" s="41" t="s">
        <v>62</v>
      </c>
      <c r="I149" s="41">
        <v>90</v>
      </c>
      <c r="J149" s="41"/>
      <c r="K149" s="41"/>
      <c r="L149" s="41"/>
      <c r="M149" s="794" t="s">
        <v>200</v>
      </c>
      <c r="N149" s="698" t="s">
        <v>224</v>
      </c>
      <c r="O149" s="698" t="s">
        <v>311</v>
      </c>
      <c r="P149" s="119" t="s">
        <v>261</v>
      </c>
      <c r="Q149" s="187" t="s">
        <v>261</v>
      </c>
      <c r="R149" s="868"/>
    </row>
    <row r="150" spans="1:18" ht="24" customHeight="1" x14ac:dyDescent="0.2">
      <c r="A150" s="1355"/>
      <c r="B150" s="1378"/>
      <c r="C150" s="1623"/>
      <c r="D150" s="1472"/>
      <c r="E150" s="577"/>
      <c r="F150" s="1380"/>
      <c r="G150" s="159"/>
      <c r="H150" s="41" t="s">
        <v>65</v>
      </c>
      <c r="I150" s="41">
        <f>270+17.9</f>
        <v>287.89999999999998</v>
      </c>
      <c r="J150" s="41">
        <v>79.3</v>
      </c>
      <c r="K150" s="41"/>
      <c r="L150" s="41"/>
      <c r="M150" s="1578" t="s">
        <v>320</v>
      </c>
      <c r="N150" s="548" t="s">
        <v>49</v>
      </c>
      <c r="O150" s="205"/>
      <c r="P150" s="205"/>
      <c r="Q150" s="227"/>
      <c r="R150" s="868"/>
    </row>
    <row r="151" spans="1:18" ht="12" customHeight="1" x14ac:dyDescent="0.2">
      <c r="A151" s="1355"/>
      <c r="B151" s="1378"/>
      <c r="C151" s="1623"/>
      <c r="D151" s="1472"/>
      <c r="E151" s="577"/>
      <c r="F151" s="1380"/>
      <c r="G151" s="159"/>
      <c r="H151" s="41" t="s">
        <v>54</v>
      </c>
      <c r="I151" s="41"/>
      <c r="J151" s="41">
        <v>70.7</v>
      </c>
      <c r="K151" s="41"/>
      <c r="L151" s="41"/>
      <c r="M151" s="1579"/>
      <c r="N151" s="549"/>
      <c r="O151" s="340"/>
      <c r="P151" s="291"/>
      <c r="Q151" s="249"/>
    </row>
    <row r="152" spans="1:18" ht="29.25" customHeight="1" x14ac:dyDescent="0.2">
      <c r="A152" s="1355"/>
      <c r="B152" s="1378"/>
      <c r="C152" s="1623"/>
      <c r="D152" s="1612"/>
      <c r="E152" s="568"/>
      <c r="F152" s="1381"/>
      <c r="G152" s="159"/>
      <c r="H152" s="378"/>
      <c r="I152" s="378"/>
      <c r="J152" s="1166"/>
      <c r="K152" s="1166"/>
      <c r="L152" s="1166"/>
      <c r="M152" s="220" t="s">
        <v>220</v>
      </c>
      <c r="N152" s="544" t="s">
        <v>49</v>
      </c>
      <c r="O152" s="242"/>
      <c r="P152" s="1164"/>
      <c r="Q152" s="228"/>
    </row>
    <row r="153" spans="1:18" ht="28.5" customHeight="1" x14ac:dyDescent="0.2">
      <c r="A153" s="559"/>
      <c r="B153" s="562"/>
      <c r="C153" s="574"/>
      <c r="D153" s="747" t="s">
        <v>378</v>
      </c>
      <c r="E153" s="1416" t="s">
        <v>80</v>
      </c>
      <c r="F153" s="744"/>
      <c r="G153" s="572"/>
      <c r="H153" s="377" t="s">
        <v>23</v>
      </c>
      <c r="I153" s="377">
        <f>631-100-43.8</f>
        <v>487.2</v>
      </c>
      <c r="J153" s="1165">
        <f>209+88.8</f>
        <v>297.8</v>
      </c>
      <c r="K153" s="1165">
        <v>543</v>
      </c>
      <c r="L153" s="1165">
        <v>416.9</v>
      </c>
      <c r="M153" s="1160" t="s">
        <v>113</v>
      </c>
      <c r="N153" s="1167">
        <v>8</v>
      </c>
      <c r="O153" s="394">
        <v>5</v>
      </c>
      <c r="P153" s="1169">
        <v>8</v>
      </c>
      <c r="Q153" s="731">
        <v>8</v>
      </c>
      <c r="R153" s="873"/>
    </row>
    <row r="154" spans="1:18" ht="16.5" customHeight="1" x14ac:dyDescent="0.2">
      <c r="A154" s="710"/>
      <c r="B154" s="711"/>
      <c r="C154" s="713"/>
      <c r="D154" s="747"/>
      <c r="E154" s="1416"/>
      <c r="F154" s="744"/>
      <c r="G154" s="712"/>
      <c r="H154" s="378" t="s">
        <v>54</v>
      </c>
      <c r="I154" s="378">
        <v>61.7</v>
      </c>
      <c r="J154" s="1166">
        <v>50</v>
      </c>
      <c r="K154" s="1166"/>
      <c r="L154" s="1166"/>
      <c r="M154" s="1163"/>
      <c r="N154" s="15"/>
      <c r="O154" s="164"/>
      <c r="P154" s="32"/>
      <c r="Q154" s="16"/>
      <c r="R154" s="873"/>
    </row>
    <row r="155" spans="1:18" ht="12" customHeight="1" x14ac:dyDescent="0.2">
      <c r="A155" s="561"/>
      <c r="B155" s="562"/>
      <c r="C155" s="218"/>
      <c r="D155" s="755" t="s">
        <v>379</v>
      </c>
      <c r="E155" s="1384" t="s">
        <v>36</v>
      </c>
      <c r="F155" s="743"/>
      <c r="G155" s="575"/>
      <c r="H155" s="38" t="s">
        <v>79</v>
      </c>
      <c r="I155" s="41">
        <f>70-9</f>
        <v>61</v>
      </c>
      <c r="J155" s="41">
        <v>70</v>
      </c>
      <c r="K155" s="41">
        <v>70</v>
      </c>
      <c r="L155" s="41">
        <v>70</v>
      </c>
      <c r="M155" s="1372" t="s">
        <v>190</v>
      </c>
      <c r="N155" s="1168">
        <v>14</v>
      </c>
      <c r="O155" s="1161">
        <v>15</v>
      </c>
      <c r="P155" s="1162">
        <v>15</v>
      </c>
      <c r="Q155" s="732">
        <v>15</v>
      </c>
    </row>
    <row r="156" spans="1:18" ht="12" customHeight="1" x14ac:dyDescent="0.2">
      <c r="A156" s="561"/>
      <c r="B156" s="562"/>
      <c r="C156" s="218"/>
      <c r="D156" s="747"/>
      <c r="E156" s="1392"/>
      <c r="F156" s="744"/>
      <c r="G156" s="572"/>
      <c r="H156" s="41" t="s">
        <v>23</v>
      </c>
      <c r="I156" s="41">
        <f>50+43+28.9-7.5</f>
        <v>114.4</v>
      </c>
      <c r="J156" s="41">
        <v>93.7</v>
      </c>
      <c r="K156" s="50">
        <v>80</v>
      </c>
      <c r="L156" s="50">
        <v>80</v>
      </c>
      <c r="M156" s="1375"/>
      <c r="N156" s="1168"/>
      <c r="O156" s="1161"/>
      <c r="P156" s="1162"/>
      <c r="Q156" s="702"/>
    </row>
    <row r="157" spans="1:18" ht="12" customHeight="1" x14ac:dyDescent="0.2">
      <c r="A157" s="561"/>
      <c r="B157" s="562"/>
      <c r="C157" s="218"/>
      <c r="D157" s="747"/>
      <c r="E157" s="1392"/>
      <c r="F157" s="744"/>
      <c r="G157" s="572"/>
      <c r="H157" s="41" t="s">
        <v>65</v>
      </c>
      <c r="I157" s="41">
        <v>4.7</v>
      </c>
      <c r="J157" s="41"/>
      <c r="K157" s="50"/>
      <c r="L157" s="50"/>
      <c r="M157" s="794"/>
      <c r="N157" s="701"/>
      <c r="O157" s="696"/>
      <c r="P157" s="697"/>
      <c r="Q157" s="702"/>
    </row>
    <row r="158" spans="1:18" ht="12.75" customHeight="1" x14ac:dyDescent="0.2">
      <c r="A158" s="561"/>
      <c r="B158" s="562"/>
      <c r="C158" s="218"/>
      <c r="D158" s="756"/>
      <c r="E158" s="1385"/>
      <c r="F158" s="762"/>
      <c r="G158" s="572"/>
      <c r="H158" s="378" t="s">
        <v>54</v>
      </c>
      <c r="I158" s="378">
        <f>30+5+31.9</f>
        <v>66.900000000000006</v>
      </c>
      <c r="J158" s="378"/>
      <c r="K158" s="53"/>
      <c r="L158" s="53"/>
      <c r="M158" s="794"/>
      <c r="N158" s="15"/>
      <c r="O158" s="164"/>
      <c r="P158" s="32"/>
      <c r="Q158" s="16"/>
    </row>
    <row r="159" spans="1:18" ht="17.25" customHeight="1" x14ac:dyDescent="0.2">
      <c r="A159" s="561"/>
      <c r="B159" s="562"/>
      <c r="C159" s="218"/>
      <c r="D159" s="1611" t="s">
        <v>380</v>
      </c>
      <c r="E159" s="1446" t="s">
        <v>400</v>
      </c>
      <c r="F159" s="366" t="s">
        <v>44</v>
      </c>
      <c r="G159" s="575"/>
      <c r="H159" s="375" t="s">
        <v>79</v>
      </c>
      <c r="I159" s="377">
        <f>15-1.7</f>
        <v>13.3</v>
      </c>
      <c r="J159" s="377">
        <v>13.8</v>
      </c>
      <c r="K159" s="377"/>
      <c r="L159" s="377"/>
      <c r="M159" s="484" t="s">
        <v>74</v>
      </c>
      <c r="N159" s="301">
        <v>1</v>
      </c>
      <c r="O159" s="570">
        <v>1</v>
      </c>
      <c r="P159" s="571"/>
      <c r="Q159" s="580"/>
    </row>
    <row r="160" spans="1:18" ht="26.25" customHeight="1" x14ac:dyDescent="0.2">
      <c r="A160" s="561"/>
      <c r="B160" s="562"/>
      <c r="C160" s="574"/>
      <c r="D160" s="1612"/>
      <c r="E160" s="1447"/>
      <c r="F160" s="762"/>
      <c r="G160" s="572"/>
      <c r="H160" s="376" t="s">
        <v>79</v>
      </c>
      <c r="I160" s="378"/>
      <c r="J160" s="378">
        <v>20</v>
      </c>
      <c r="K160" s="378"/>
      <c r="L160" s="378"/>
      <c r="M160" s="14" t="s">
        <v>182</v>
      </c>
      <c r="N160" s="348"/>
      <c r="O160" s="367">
        <v>100</v>
      </c>
      <c r="P160" s="401"/>
      <c r="Q160" s="350"/>
    </row>
    <row r="161" spans="1:20" ht="13.5" customHeight="1" x14ac:dyDescent="0.2">
      <c r="A161" s="693"/>
      <c r="B161" s="692"/>
      <c r="C161" s="199"/>
      <c r="D161" s="1611" t="s">
        <v>381</v>
      </c>
      <c r="E161" s="1384" t="s">
        <v>401</v>
      </c>
      <c r="F161" s="366" t="s">
        <v>44</v>
      </c>
      <c r="G161" s="585"/>
      <c r="H161" s="379" t="s">
        <v>65</v>
      </c>
      <c r="I161" s="377"/>
      <c r="J161" s="377">
        <v>5</v>
      </c>
      <c r="K161" s="910"/>
      <c r="L161" s="910"/>
      <c r="M161" s="546" t="s">
        <v>259</v>
      </c>
      <c r="N161" s="547"/>
      <c r="O161" s="346">
        <v>1</v>
      </c>
      <c r="P161" s="295"/>
      <c r="Q161" s="347"/>
      <c r="R161" s="302"/>
    </row>
    <row r="162" spans="1:20" ht="25.5" customHeight="1" x14ac:dyDescent="0.2">
      <c r="A162" s="693"/>
      <c r="B162" s="692"/>
      <c r="C162" s="199"/>
      <c r="D162" s="1612"/>
      <c r="E162" s="1385"/>
      <c r="F162" s="243"/>
      <c r="G162" s="585"/>
      <c r="H162" s="380" t="s">
        <v>23</v>
      </c>
      <c r="I162" s="378"/>
      <c r="J162" s="378"/>
      <c r="K162" s="911">
        <v>305</v>
      </c>
      <c r="L162" s="911"/>
      <c r="M162" s="14" t="s">
        <v>260</v>
      </c>
      <c r="N162" s="348"/>
      <c r="O162" s="367"/>
      <c r="P162" s="32">
        <v>100</v>
      </c>
      <c r="Q162" s="16"/>
      <c r="R162" s="496"/>
    </row>
    <row r="163" spans="1:20" ht="17.25" customHeight="1" x14ac:dyDescent="0.2">
      <c r="A163" s="561"/>
      <c r="B163" s="562"/>
      <c r="C163" s="574"/>
      <c r="D163" s="747" t="s">
        <v>382</v>
      </c>
      <c r="E163" s="557" t="s">
        <v>217</v>
      </c>
      <c r="F163" s="366" t="s">
        <v>44</v>
      </c>
      <c r="G163" s="879"/>
      <c r="H163" s="359" t="s">
        <v>79</v>
      </c>
      <c r="I163" s="46">
        <f>20-12</f>
        <v>8</v>
      </c>
      <c r="J163" s="360">
        <v>10.4</v>
      </c>
      <c r="K163" s="910"/>
      <c r="L163" s="910"/>
      <c r="M163" s="792" t="s">
        <v>43</v>
      </c>
      <c r="N163" s="245">
        <v>3</v>
      </c>
      <c r="O163" s="245">
        <v>3</v>
      </c>
      <c r="P163" s="246"/>
      <c r="Q163" s="120"/>
      <c r="R163" s="435"/>
    </row>
    <row r="164" spans="1:20" ht="26.25" customHeight="1" x14ac:dyDescent="0.2">
      <c r="A164" s="563"/>
      <c r="B164" s="567"/>
      <c r="C164" s="578"/>
      <c r="D164" s="758"/>
      <c r="E164" s="361" t="s">
        <v>403</v>
      </c>
      <c r="F164" s="1437"/>
      <c r="G164" s="358"/>
      <c r="H164" s="703" t="s">
        <v>79</v>
      </c>
      <c r="I164" s="359"/>
      <c r="J164" s="360"/>
      <c r="K164" s="46">
        <v>248.1</v>
      </c>
      <c r="L164" s="46"/>
      <c r="M164" s="1332" t="s">
        <v>296</v>
      </c>
      <c r="N164" s="433"/>
      <c r="O164" s="433"/>
      <c r="P164" s="427">
        <v>100</v>
      </c>
      <c r="Q164" s="369"/>
    </row>
    <row r="165" spans="1:20" ht="17.25" customHeight="1" x14ac:dyDescent="0.2">
      <c r="A165" s="563"/>
      <c r="B165" s="567"/>
      <c r="C165" s="578"/>
      <c r="D165" s="758"/>
      <c r="E165" s="361" t="s">
        <v>218</v>
      </c>
      <c r="F165" s="1437"/>
      <c r="G165" s="358"/>
      <c r="H165" s="704"/>
      <c r="I165" s="705"/>
      <c r="J165" s="798"/>
      <c r="K165" s="918"/>
      <c r="L165" s="918"/>
      <c r="M165" s="1439"/>
      <c r="N165" s="283"/>
      <c r="O165" s="283"/>
      <c r="P165" s="397"/>
      <c r="Q165" s="332"/>
    </row>
    <row r="166" spans="1:20" ht="25.5" customHeight="1" x14ac:dyDescent="0.2">
      <c r="A166" s="563"/>
      <c r="B166" s="567"/>
      <c r="C166" s="578"/>
      <c r="D166" s="758"/>
      <c r="E166" s="569" t="s">
        <v>219</v>
      </c>
      <c r="F166" s="1438"/>
      <c r="G166" s="358"/>
      <c r="H166" s="357" t="s">
        <v>79</v>
      </c>
      <c r="I166" s="376"/>
      <c r="J166" s="93"/>
      <c r="K166" s="319"/>
      <c r="L166" s="41">
        <v>272.3</v>
      </c>
      <c r="M166" s="14" t="s">
        <v>297</v>
      </c>
      <c r="N166" s="943"/>
      <c r="O166" s="207"/>
      <c r="P166" s="207"/>
      <c r="Q166" s="177">
        <v>100</v>
      </c>
    </row>
    <row r="167" spans="1:20" ht="17.25" customHeight="1" x14ac:dyDescent="0.2">
      <c r="A167" s="561"/>
      <c r="B167" s="560"/>
      <c r="C167" s="199"/>
      <c r="D167" s="1611" t="s">
        <v>383</v>
      </c>
      <c r="E167" s="1384" t="s">
        <v>262</v>
      </c>
      <c r="F167" s="366" t="s">
        <v>44</v>
      </c>
      <c r="G167" s="585"/>
      <c r="H167" s="379" t="s">
        <v>79</v>
      </c>
      <c r="I167" s="377">
        <v>0</v>
      </c>
      <c r="J167" s="377">
        <v>20.6</v>
      </c>
      <c r="K167" s="377"/>
      <c r="L167" s="377"/>
      <c r="M167" s="484" t="s">
        <v>74</v>
      </c>
      <c r="N167" s="345"/>
      <c r="O167" s="346">
        <v>1</v>
      </c>
      <c r="P167" s="295"/>
      <c r="Q167" s="171"/>
      <c r="R167" s="435"/>
    </row>
    <row r="168" spans="1:20" ht="25.5" customHeight="1" x14ac:dyDescent="0.2">
      <c r="A168" s="561"/>
      <c r="B168" s="560"/>
      <c r="C168" s="199"/>
      <c r="D168" s="1612"/>
      <c r="E168" s="1385"/>
      <c r="F168" s="243"/>
      <c r="G168" s="585"/>
      <c r="H168" s="380" t="s">
        <v>79</v>
      </c>
      <c r="I168" s="378"/>
      <c r="J168" s="378"/>
      <c r="K168" s="378">
        <v>150</v>
      </c>
      <c r="L168" s="378">
        <v>350</v>
      </c>
      <c r="M168" s="14" t="s">
        <v>263</v>
      </c>
      <c r="N168" s="348"/>
      <c r="O168" s="367"/>
      <c r="P168" s="32">
        <v>50</v>
      </c>
      <c r="Q168" s="16">
        <v>100</v>
      </c>
    </row>
    <row r="169" spans="1:20" ht="16.5" customHeight="1" x14ac:dyDescent="0.2">
      <c r="A169" s="561"/>
      <c r="B169" s="560"/>
      <c r="C169" s="199"/>
      <c r="D169" s="1611" t="s">
        <v>384</v>
      </c>
      <c r="E169" s="1384" t="s">
        <v>264</v>
      </c>
      <c r="F169" s="366"/>
      <c r="G169" s="585"/>
      <c r="H169" s="379" t="s">
        <v>79</v>
      </c>
      <c r="I169" s="377"/>
      <c r="J169" s="377">
        <v>5.3</v>
      </c>
      <c r="K169" s="377">
        <v>5.3</v>
      </c>
      <c r="L169" s="377">
        <v>5.3</v>
      </c>
      <c r="M169" s="795" t="s">
        <v>265</v>
      </c>
      <c r="N169" s="551"/>
      <c r="O169" s="552">
        <v>10</v>
      </c>
      <c r="P169" s="553">
        <v>10</v>
      </c>
      <c r="Q169" s="554">
        <v>10</v>
      </c>
    </row>
    <row r="170" spans="1:20" ht="17.25" customHeight="1" x14ac:dyDescent="0.2">
      <c r="A170" s="561"/>
      <c r="B170" s="560"/>
      <c r="C170" s="199"/>
      <c r="D170" s="1612"/>
      <c r="E170" s="1385"/>
      <c r="F170" s="243"/>
      <c r="G170" s="582"/>
      <c r="H170" s="380" t="s">
        <v>23</v>
      </c>
      <c r="I170" s="378"/>
      <c r="J170" s="378">
        <v>1.1000000000000001</v>
      </c>
      <c r="K170" s="378"/>
      <c r="L170" s="378"/>
      <c r="M170" s="14"/>
      <c r="N170" s="348"/>
      <c r="O170" s="15"/>
      <c r="P170" s="489"/>
      <c r="Q170" s="349"/>
    </row>
    <row r="171" spans="1:20" ht="14.25" customHeight="1" thickBot="1" x14ac:dyDescent="0.25">
      <c r="A171" s="44"/>
      <c r="B171" s="555"/>
      <c r="C171" s="110"/>
      <c r="D171" s="209"/>
      <c r="E171" s="202"/>
      <c r="F171" s="203"/>
      <c r="G171" s="190"/>
      <c r="H171" s="83" t="s">
        <v>5</v>
      </c>
      <c r="I171" s="121">
        <f>SUM(I25:I170)</f>
        <v>12943.7</v>
      </c>
      <c r="J171" s="121">
        <f>SUM(J25:J170)</f>
        <v>20210.099999999999</v>
      </c>
      <c r="K171" s="121">
        <f>SUM(K25:K170)</f>
        <v>28466.9</v>
      </c>
      <c r="L171" s="121">
        <f>SUM(L25:L170)</f>
        <v>24312.3</v>
      </c>
      <c r="M171" s="204"/>
      <c r="N171" s="197"/>
      <c r="O171" s="197"/>
      <c r="P171" s="197"/>
      <c r="Q171" s="198"/>
      <c r="S171" s="188"/>
      <c r="T171" s="188"/>
    </row>
    <row r="172" spans="1:20" ht="14.25" customHeight="1" thickBot="1" x14ac:dyDescent="0.25">
      <c r="A172" s="47" t="s">
        <v>4</v>
      </c>
      <c r="B172" s="149" t="s">
        <v>4</v>
      </c>
      <c r="C172" s="1430" t="s">
        <v>7</v>
      </c>
      <c r="D172" s="1431"/>
      <c r="E172" s="1431"/>
      <c r="F172" s="1431"/>
      <c r="G172" s="1431"/>
      <c r="H172" s="1494"/>
      <c r="I172" s="85">
        <f>I171</f>
        <v>12943.7</v>
      </c>
      <c r="J172" s="85">
        <f t="shared" ref="J172:L172" si="0">J171</f>
        <v>20210.099999999999</v>
      </c>
      <c r="K172" s="85">
        <f t="shared" si="0"/>
        <v>28466.9</v>
      </c>
      <c r="L172" s="85">
        <f t="shared" si="0"/>
        <v>24312.3</v>
      </c>
      <c r="M172" s="460"/>
      <c r="N172" s="462"/>
      <c r="O172" s="462"/>
      <c r="P172" s="460"/>
      <c r="Q172" s="461"/>
      <c r="S172" s="188"/>
      <c r="T172" s="188"/>
    </row>
    <row r="173" spans="1:20" ht="14.25" customHeight="1" thickBot="1" x14ac:dyDescent="0.25">
      <c r="A173" s="47" t="s">
        <v>4</v>
      </c>
      <c r="B173" s="149" t="s">
        <v>6</v>
      </c>
      <c r="C173" s="1432" t="s">
        <v>29</v>
      </c>
      <c r="D173" s="1432"/>
      <c r="E173" s="1432"/>
      <c r="F173" s="1432"/>
      <c r="G173" s="1432"/>
      <c r="H173" s="1432"/>
      <c r="I173" s="1433"/>
      <c r="J173" s="1433"/>
      <c r="K173" s="1433"/>
      <c r="L173" s="1433"/>
      <c r="M173" s="1432"/>
      <c r="N173" s="1434"/>
      <c r="O173" s="1434"/>
      <c r="P173" s="1434"/>
      <c r="Q173" s="1435"/>
    </row>
    <row r="174" spans="1:20" ht="29.25" customHeight="1" x14ac:dyDescent="0.2">
      <c r="A174" s="458" t="s">
        <v>4</v>
      </c>
      <c r="B174" s="148" t="s">
        <v>6</v>
      </c>
      <c r="C174" s="196" t="s">
        <v>4</v>
      </c>
      <c r="D174" s="778"/>
      <c r="E174" s="68" t="s">
        <v>50</v>
      </c>
      <c r="F174" s="65" t="s">
        <v>89</v>
      </c>
      <c r="G174" s="221"/>
      <c r="H174" s="49"/>
      <c r="I174" s="404"/>
      <c r="J174" s="91"/>
      <c r="K174" s="91"/>
      <c r="L174" s="404"/>
      <c r="M174" s="1275"/>
      <c r="N174" s="107"/>
      <c r="O174" s="311"/>
      <c r="P174" s="486"/>
      <c r="Q174" s="321"/>
    </row>
    <row r="175" spans="1:20" ht="14.25" customHeight="1" x14ac:dyDescent="0.2">
      <c r="A175" s="456"/>
      <c r="B175" s="457"/>
      <c r="C175" s="467"/>
      <c r="D175" s="747" t="s">
        <v>4</v>
      </c>
      <c r="E175" s="459" t="s">
        <v>46</v>
      </c>
      <c r="F175" s="748"/>
      <c r="G175" s="1569" t="s">
        <v>150</v>
      </c>
      <c r="H175" s="477"/>
      <c r="I175" s="478"/>
      <c r="J175" s="479"/>
      <c r="K175" s="479"/>
      <c r="L175" s="478"/>
      <c r="M175" s="1276"/>
      <c r="N175" s="480"/>
      <c r="O175" s="481"/>
      <c r="P175" s="487"/>
      <c r="Q175" s="482"/>
    </row>
    <row r="176" spans="1:20" ht="12.75" customHeight="1" x14ac:dyDescent="0.2">
      <c r="A176" s="456"/>
      <c r="B176" s="457"/>
      <c r="C176" s="467"/>
      <c r="D176" s="747"/>
      <c r="E176" s="1619" t="s">
        <v>67</v>
      </c>
      <c r="F176" s="721" t="s">
        <v>291</v>
      </c>
      <c r="G176" s="1597"/>
      <c r="H176" s="50" t="s">
        <v>23</v>
      </c>
      <c r="I176" s="77">
        <f>2865.4-400-5</f>
        <v>2460.4</v>
      </c>
      <c r="J176" s="77">
        <v>2861.6</v>
      </c>
      <c r="K176" s="41">
        <f>5337-194</f>
        <v>5143</v>
      </c>
      <c r="L176" s="41">
        <f>5474-194</f>
        <v>5280</v>
      </c>
      <c r="M176" s="1250" t="s">
        <v>38</v>
      </c>
      <c r="N176" s="132">
        <v>6</v>
      </c>
      <c r="O176" s="132">
        <v>6</v>
      </c>
      <c r="P176" s="132">
        <v>6</v>
      </c>
      <c r="Q176" s="26">
        <v>6</v>
      </c>
      <c r="R176" s="435"/>
    </row>
    <row r="177" spans="1:18" ht="12.75" customHeight="1" x14ac:dyDescent="0.2">
      <c r="A177" s="456"/>
      <c r="B177" s="457"/>
      <c r="C177" s="467"/>
      <c r="D177" s="747"/>
      <c r="E177" s="1619"/>
      <c r="F177" s="720"/>
      <c r="G177" s="1597"/>
      <c r="H177" s="89" t="s">
        <v>54</v>
      </c>
      <c r="I177" s="81">
        <v>2062.6</v>
      </c>
      <c r="J177" s="81">
        <v>2000</v>
      </c>
      <c r="K177" s="43"/>
      <c r="L177" s="43"/>
      <c r="M177" s="403"/>
      <c r="N177" s="301"/>
      <c r="O177" s="301"/>
      <c r="P177" s="301"/>
      <c r="Q177" s="309"/>
      <c r="R177" s="435"/>
    </row>
    <row r="178" spans="1:18" ht="15" customHeight="1" x14ac:dyDescent="0.2">
      <c r="A178" s="456"/>
      <c r="B178" s="457"/>
      <c r="C178" s="467"/>
      <c r="D178" s="747"/>
      <c r="E178" s="1619"/>
      <c r="F178" s="720"/>
      <c r="G178" s="1597"/>
      <c r="H178" s="50" t="s">
        <v>23</v>
      </c>
      <c r="I178" s="77">
        <v>118.8</v>
      </c>
      <c r="J178" s="77">
        <v>194</v>
      </c>
      <c r="K178" s="77">
        <v>194</v>
      </c>
      <c r="L178" s="41">
        <v>194</v>
      </c>
      <c r="M178" s="1375" t="s">
        <v>225</v>
      </c>
      <c r="N178" s="22">
        <v>2</v>
      </c>
      <c r="O178" s="132">
        <v>2</v>
      </c>
      <c r="P178" s="132">
        <v>2</v>
      </c>
      <c r="Q178" s="26">
        <v>2</v>
      </c>
    </row>
    <row r="179" spans="1:18" ht="14.25" customHeight="1" x14ac:dyDescent="0.2">
      <c r="A179" s="456"/>
      <c r="B179" s="457"/>
      <c r="C179" s="467"/>
      <c r="D179" s="747"/>
      <c r="E179" s="1619"/>
      <c r="F179" s="720"/>
      <c r="G179" s="1597"/>
      <c r="H179" s="89" t="s">
        <v>65</v>
      </c>
      <c r="I179" s="43">
        <v>75.2</v>
      </c>
      <c r="J179" s="81"/>
      <c r="K179" s="81"/>
      <c r="L179" s="43"/>
      <c r="M179" s="1583"/>
      <c r="N179" s="301"/>
      <c r="O179" s="474"/>
      <c r="P179" s="475"/>
      <c r="Q179" s="476"/>
    </row>
    <row r="180" spans="1:18" ht="19.5" customHeight="1" x14ac:dyDescent="0.2">
      <c r="A180" s="456"/>
      <c r="B180" s="457"/>
      <c r="C180" s="467"/>
      <c r="D180" s="747"/>
      <c r="E180" s="722" t="s">
        <v>68</v>
      </c>
      <c r="F180" s="720"/>
      <c r="G180" s="259"/>
      <c r="H180" s="50" t="s">
        <v>23</v>
      </c>
      <c r="I180" s="41">
        <v>10.5</v>
      </c>
      <c r="J180" s="77">
        <v>10</v>
      </c>
      <c r="K180" s="77">
        <v>10</v>
      </c>
      <c r="L180" s="41">
        <v>10</v>
      </c>
      <c r="M180" s="52" t="s">
        <v>109</v>
      </c>
      <c r="N180" s="288">
        <v>4</v>
      </c>
      <c r="O180" s="1278">
        <v>3.2</v>
      </c>
      <c r="P180" s="288">
        <v>3.2</v>
      </c>
      <c r="Q180" s="23">
        <v>3.2</v>
      </c>
    </row>
    <row r="181" spans="1:18" ht="26.25" customHeight="1" x14ac:dyDescent="0.2">
      <c r="A181" s="456"/>
      <c r="B181" s="457"/>
      <c r="C181" s="467"/>
      <c r="D181" s="747"/>
      <c r="E181" s="723" t="s">
        <v>69</v>
      </c>
      <c r="F181" s="720"/>
      <c r="G181" s="259"/>
      <c r="H181" s="51" t="s">
        <v>23</v>
      </c>
      <c r="I181" s="39">
        <v>56.3</v>
      </c>
      <c r="J181" s="79">
        <v>57</v>
      </c>
      <c r="K181" s="79">
        <v>57</v>
      </c>
      <c r="L181" s="39">
        <v>57</v>
      </c>
      <c r="M181" s="403" t="s">
        <v>110</v>
      </c>
      <c r="N181" s="400">
        <v>22</v>
      </c>
      <c r="O181" s="115">
        <v>20.5</v>
      </c>
      <c r="P181" s="400">
        <v>20.5</v>
      </c>
      <c r="Q181" s="322">
        <v>20.5</v>
      </c>
    </row>
    <row r="182" spans="1:18" ht="26.25" customHeight="1" x14ac:dyDescent="0.2">
      <c r="A182" s="1247"/>
      <c r="B182" s="1256"/>
      <c r="C182" s="1261"/>
      <c r="D182" s="1251"/>
      <c r="E182" s="1279" t="s">
        <v>353</v>
      </c>
      <c r="F182" s="720"/>
      <c r="G182" s="259"/>
      <c r="H182" s="51"/>
      <c r="I182" s="39"/>
      <c r="J182" s="79"/>
      <c r="K182" s="79"/>
      <c r="L182" s="39"/>
      <c r="M182" s="1268" t="s">
        <v>354</v>
      </c>
      <c r="N182" s="1269"/>
      <c r="O182" s="1270" t="s">
        <v>49</v>
      </c>
      <c r="P182" s="1271" t="s">
        <v>49</v>
      </c>
      <c r="Q182" s="1277" t="s">
        <v>49</v>
      </c>
    </row>
    <row r="183" spans="1:18" ht="15.75" customHeight="1" x14ac:dyDescent="0.2">
      <c r="A183" s="456"/>
      <c r="B183" s="457"/>
      <c r="C183" s="467"/>
      <c r="D183" s="747"/>
      <c r="E183" s="1423" t="s">
        <v>102</v>
      </c>
      <c r="F183" s="735"/>
      <c r="G183" s="463"/>
      <c r="H183" s="50" t="s">
        <v>62</v>
      </c>
      <c r="I183" s="41">
        <v>10</v>
      </c>
      <c r="J183" s="77">
        <v>201.6</v>
      </c>
      <c r="K183" s="77">
        <v>200</v>
      </c>
      <c r="L183" s="41">
        <v>200</v>
      </c>
      <c r="M183" s="1424" t="s">
        <v>211</v>
      </c>
      <c r="N183" s="1718">
        <v>6</v>
      </c>
      <c r="O183" s="1260">
        <v>6</v>
      </c>
      <c r="P183" s="1252">
        <v>6</v>
      </c>
      <c r="Q183" s="1259">
        <v>6</v>
      </c>
    </row>
    <row r="184" spans="1:18" ht="14.25" customHeight="1" x14ac:dyDescent="0.2">
      <c r="A184" s="456"/>
      <c r="B184" s="457"/>
      <c r="C184" s="467"/>
      <c r="D184" s="747"/>
      <c r="E184" s="1727"/>
      <c r="F184" s="735"/>
      <c r="G184" s="939"/>
      <c r="H184" s="50" t="s">
        <v>65</v>
      </c>
      <c r="I184" s="41">
        <v>97</v>
      </c>
      <c r="J184" s="50"/>
      <c r="K184" s="50"/>
      <c r="L184" s="41"/>
      <c r="M184" s="1714"/>
      <c r="N184" s="1719"/>
      <c r="O184" s="1260"/>
      <c r="P184" s="1252"/>
      <c r="Q184" s="1259"/>
    </row>
    <row r="185" spans="1:18" ht="17.25" customHeight="1" x14ac:dyDescent="0.2">
      <c r="A185" s="456"/>
      <c r="B185" s="457"/>
      <c r="C185" s="467"/>
      <c r="D185" s="756"/>
      <c r="E185" s="1728"/>
      <c r="F185" s="736"/>
      <c r="G185" s="939"/>
      <c r="H185" s="50" t="s">
        <v>65</v>
      </c>
      <c r="I185" s="41">
        <v>63.9</v>
      </c>
      <c r="J185" s="50"/>
      <c r="K185" s="50"/>
      <c r="L185" s="41"/>
      <c r="M185" s="1715"/>
      <c r="N185" s="1720"/>
      <c r="O185" s="1260"/>
      <c r="P185" s="1252"/>
      <c r="Q185" s="1259"/>
    </row>
    <row r="186" spans="1:18" ht="14.25" customHeight="1" x14ac:dyDescent="0.2">
      <c r="A186" s="456"/>
      <c r="B186" s="457"/>
      <c r="C186" s="467"/>
      <c r="D186" s="747" t="s">
        <v>6</v>
      </c>
      <c r="E186" s="689" t="s">
        <v>122</v>
      </c>
      <c r="F186" s="748"/>
      <c r="G186" s="1596" t="s">
        <v>150</v>
      </c>
      <c r="H186" s="92"/>
      <c r="I186" s="385"/>
      <c r="J186" s="88"/>
      <c r="K186" s="88"/>
      <c r="L186" s="385"/>
      <c r="M186" s="1250"/>
      <c r="N186" s="119"/>
      <c r="O186" s="101"/>
      <c r="P186" s="102"/>
      <c r="Q186" s="165"/>
    </row>
    <row r="187" spans="1:18" ht="42.75" customHeight="1" x14ac:dyDescent="0.2">
      <c r="A187" s="456"/>
      <c r="B187" s="457"/>
      <c r="C187" s="467"/>
      <c r="D187" s="747"/>
      <c r="E187" s="154" t="s">
        <v>302</v>
      </c>
      <c r="F187" s="748"/>
      <c r="G187" s="1569"/>
      <c r="H187" s="89" t="s">
        <v>23</v>
      </c>
      <c r="I187" s="43">
        <v>400</v>
      </c>
      <c r="J187" s="81"/>
      <c r="K187" s="81"/>
      <c r="L187" s="43"/>
      <c r="M187" s="829" t="s">
        <v>119</v>
      </c>
      <c r="N187" s="167">
        <v>21</v>
      </c>
      <c r="O187" s="191">
        <v>21</v>
      </c>
      <c r="P187" s="191">
        <v>21</v>
      </c>
      <c r="Q187" s="309">
        <v>21</v>
      </c>
    </row>
    <row r="188" spans="1:18" ht="22.5" customHeight="1" x14ac:dyDescent="0.2">
      <c r="A188" s="456"/>
      <c r="B188" s="457"/>
      <c r="C188" s="467"/>
      <c r="D188" s="747"/>
      <c r="E188" s="1427" t="s">
        <v>123</v>
      </c>
      <c r="F188" s="748"/>
      <c r="G188" s="950"/>
      <c r="H188" s="50" t="s">
        <v>23</v>
      </c>
      <c r="I188" s="41">
        <v>31.2</v>
      </c>
      <c r="J188" s="77">
        <v>93.4</v>
      </c>
      <c r="K188" s="77">
        <v>93.4</v>
      </c>
      <c r="L188" s="41">
        <v>93.4</v>
      </c>
      <c r="M188" s="1429" t="s">
        <v>161</v>
      </c>
      <c r="N188" s="166">
        <v>18</v>
      </c>
      <c r="O188" s="166">
        <v>18</v>
      </c>
      <c r="P188" s="166">
        <v>18</v>
      </c>
      <c r="Q188" s="511">
        <v>18</v>
      </c>
    </row>
    <row r="189" spans="1:18" ht="21" customHeight="1" x14ac:dyDescent="0.2">
      <c r="A189" s="456"/>
      <c r="B189" s="457"/>
      <c r="C189" s="467"/>
      <c r="D189" s="756"/>
      <c r="E189" s="1428"/>
      <c r="F189" s="748"/>
      <c r="G189" s="950"/>
      <c r="H189" s="53"/>
      <c r="I189" s="378"/>
      <c r="J189" s="78"/>
      <c r="K189" s="78"/>
      <c r="L189" s="378"/>
      <c r="M189" s="1564"/>
      <c r="N189" s="469"/>
      <c r="O189" s="32"/>
      <c r="P189" s="32"/>
      <c r="Q189" s="16"/>
    </row>
    <row r="190" spans="1:18" ht="18" customHeight="1" x14ac:dyDescent="0.2">
      <c r="A190" s="1355"/>
      <c r="B190" s="1378"/>
      <c r="C190" s="1623"/>
      <c r="D190" s="1472" t="s">
        <v>26</v>
      </c>
      <c r="E190" s="1365" t="s">
        <v>39</v>
      </c>
      <c r="F190" s="1452"/>
      <c r="G190" s="1596" t="s">
        <v>150</v>
      </c>
      <c r="H190" s="50" t="s">
        <v>23</v>
      </c>
      <c r="I190" s="41">
        <v>59.5</v>
      </c>
      <c r="J190" s="77">
        <v>59.5</v>
      </c>
      <c r="K190" s="77">
        <v>62</v>
      </c>
      <c r="L190" s="41">
        <v>65</v>
      </c>
      <c r="M190" s="1712" t="s">
        <v>48</v>
      </c>
      <c r="N190" s="1716">
        <v>7</v>
      </c>
      <c r="O190" s="1576">
        <v>7</v>
      </c>
      <c r="P190" s="1576" t="s">
        <v>247</v>
      </c>
      <c r="Q190" s="1450" t="s">
        <v>248</v>
      </c>
    </row>
    <row r="191" spans="1:18" ht="18" customHeight="1" x14ac:dyDescent="0.2">
      <c r="A191" s="1355"/>
      <c r="B191" s="1378"/>
      <c r="C191" s="1623"/>
      <c r="D191" s="1472"/>
      <c r="E191" s="1367"/>
      <c r="F191" s="1453"/>
      <c r="G191" s="1569"/>
      <c r="H191" s="53"/>
      <c r="I191" s="378"/>
      <c r="J191" s="78"/>
      <c r="K191" s="78"/>
      <c r="L191" s="378"/>
      <c r="M191" s="1713"/>
      <c r="N191" s="1717"/>
      <c r="O191" s="1577"/>
      <c r="P191" s="1577"/>
      <c r="Q191" s="1451"/>
    </row>
    <row r="192" spans="1:18" ht="18" customHeight="1" x14ac:dyDescent="0.2">
      <c r="A192" s="1355"/>
      <c r="B192" s="1356"/>
      <c r="C192" s="1623"/>
      <c r="D192" s="1611" t="s">
        <v>30</v>
      </c>
      <c r="E192" s="1455" t="s">
        <v>206</v>
      </c>
      <c r="F192" s="1655"/>
      <c r="G192" s="1596" t="s">
        <v>150</v>
      </c>
      <c r="H192" s="54"/>
      <c r="I192" s="377"/>
      <c r="J192" s="76"/>
      <c r="K192" s="377"/>
      <c r="L192" s="377"/>
      <c r="M192" s="1282" t="s">
        <v>134</v>
      </c>
      <c r="N192" s="394"/>
      <c r="O192" s="1287"/>
      <c r="P192" s="1287"/>
      <c r="Q192" s="1284"/>
    </row>
    <row r="193" spans="1:18" ht="18.75" customHeight="1" x14ac:dyDescent="0.2">
      <c r="A193" s="1355"/>
      <c r="B193" s="1356"/>
      <c r="C193" s="1623"/>
      <c r="D193" s="1472"/>
      <c r="E193" s="1416"/>
      <c r="F193" s="1656"/>
      <c r="G193" s="1569"/>
      <c r="H193" s="50" t="s">
        <v>23</v>
      </c>
      <c r="I193" s="41">
        <v>40</v>
      </c>
      <c r="J193" s="77">
        <v>45</v>
      </c>
      <c r="K193" s="41">
        <v>45</v>
      </c>
      <c r="L193" s="41">
        <v>45</v>
      </c>
      <c r="M193" s="1283" t="s">
        <v>159</v>
      </c>
      <c r="N193" s="223">
        <v>1</v>
      </c>
      <c r="O193" s="320">
        <v>1</v>
      </c>
      <c r="P193" s="320">
        <v>1</v>
      </c>
      <c r="Q193" s="434">
        <v>1</v>
      </c>
    </row>
    <row r="194" spans="1:18" ht="25.5" customHeight="1" x14ac:dyDescent="0.2">
      <c r="A194" s="1355"/>
      <c r="B194" s="1356"/>
      <c r="C194" s="1623"/>
      <c r="D194" s="1472"/>
      <c r="E194" s="1416"/>
      <c r="F194" s="1656"/>
      <c r="G194" s="1569"/>
      <c r="H194" s="50"/>
      <c r="I194" s="41"/>
      <c r="J194" s="50"/>
      <c r="K194" s="41"/>
      <c r="L194" s="41"/>
      <c r="M194" s="52" t="s">
        <v>118</v>
      </c>
      <c r="N194" s="219">
        <v>1</v>
      </c>
      <c r="O194" s="224">
        <v>1</v>
      </c>
      <c r="P194" s="224">
        <v>1</v>
      </c>
      <c r="Q194" s="21">
        <v>1</v>
      </c>
    </row>
    <row r="195" spans="1:18" ht="15" customHeight="1" x14ac:dyDescent="0.2">
      <c r="A195" s="456"/>
      <c r="B195" s="457"/>
      <c r="C195" s="467"/>
      <c r="D195" s="741"/>
      <c r="E195" s="459"/>
      <c r="F195" s="735"/>
      <c r="G195" s="940"/>
      <c r="H195" s="82" t="s">
        <v>23</v>
      </c>
      <c r="I195" s="39">
        <v>4</v>
      </c>
      <c r="J195" s="114">
        <v>4</v>
      </c>
      <c r="K195" s="39">
        <v>4</v>
      </c>
      <c r="L195" s="39">
        <v>4</v>
      </c>
      <c r="M195" s="52" t="s">
        <v>184</v>
      </c>
      <c r="N195" s="219">
        <v>1</v>
      </c>
      <c r="O195" s="224">
        <v>1</v>
      </c>
      <c r="P195" s="224">
        <v>1</v>
      </c>
      <c r="Q195" s="21">
        <v>1</v>
      </c>
    </row>
    <row r="196" spans="1:18" ht="15" customHeight="1" x14ac:dyDescent="0.2">
      <c r="A196" s="456"/>
      <c r="B196" s="457"/>
      <c r="C196" s="467"/>
      <c r="D196" s="741"/>
      <c r="E196" s="459"/>
      <c r="F196" s="748"/>
      <c r="G196" s="464"/>
      <c r="H196" s="334" t="s">
        <v>23</v>
      </c>
      <c r="I196" s="46"/>
      <c r="J196" s="512">
        <v>83.1</v>
      </c>
      <c r="K196" s="513">
        <v>83.1</v>
      </c>
      <c r="L196" s="513">
        <v>83.1</v>
      </c>
      <c r="M196" s="1253" t="s">
        <v>183</v>
      </c>
      <c r="N196" s="372">
        <v>1</v>
      </c>
      <c r="O196" s="246">
        <v>1</v>
      </c>
      <c r="P196" s="246">
        <v>1</v>
      </c>
      <c r="Q196" s="120">
        <v>1</v>
      </c>
    </row>
    <row r="197" spans="1:18" ht="15" customHeight="1" x14ac:dyDescent="0.2">
      <c r="A197" s="456"/>
      <c r="B197" s="457"/>
      <c r="C197" s="467"/>
      <c r="D197" s="741"/>
      <c r="E197" s="459"/>
      <c r="F197" s="748"/>
      <c r="G197" s="464"/>
      <c r="H197" s="89" t="s">
        <v>65</v>
      </c>
      <c r="I197" s="43">
        <v>55</v>
      </c>
      <c r="J197" s="74"/>
      <c r="K197" s="43"/>
      <c r="L197" s="43"/>
      <c r="M197" s="403"/>
      <c r="N197" s="474"/>
      <c r="O197" s="475"/>
      <c r="P197" s="475"/>
      <c r="Q197" s="476"/>
    </row>
    <row r="198" spans="1:18" ht="27" customHeight="1" x14ac:dyDescent="0.2">
      <c r="A198" s="799"/>
      <c r="B198" s="801"/>
      <c r="C198" s="806"/>
      <c r="D198" s="803"/>
      <c r="E198" s="810"/>
      <c r="F198" s="886" t="s">
        <v>291</v>
      </c>
      <c r="G198" s="805"/>
      <c r="H198" s="50" t="s">
        <v>23</v>
      </c>
      <c r="I198" s="41"/>
      <c r="J198" s="74">
        <v>81.7</v>
      </c>
      <c r="K198" s="43">
        <v>81.7</v>
      </c>
      <c r="L198" s="325">
        <v>81.7</v>
      </c>
      <c r="M198" s="1290" t="s">
        <v>294</v>
      </c>
      <c r="N198" s="1291"/>
      <c r="O198" s="1292">
        <v>2</v>
      </c>
      <c r="P198" s="1286">
        <v>2</v>
      </c>
      <c r="Q198" s="1285">
        <v>2</v>
      </c>
      <c r="R198" s="874"/>
    </row>
    <row r="199" spans="1:18" ht="19.5" customHeight="1" x14ac:dyDescent="0.2">
      <c r="A199" s="1355"/>
      <c r="B199" s="1356"/>
      <c r="C199" s="1623"/>
      <c r="D199" s="1687" t="s">
        <v>31</v>
      </c>
      <c r="E199" s="1365" t="s">
        <v>100</v>
      </c>
      <c r="F199" s="1566" t="s">
        <v>210</v>
      </c>
      <c r="G199" s="1596" t="s">
        <v>150</v>
      </c>
      <c r="H199" s="54" t="s">
        <v>62</v>
      </c>
      <c r="I199" s="377">
        <v>188.7</v>
      </c>
      <c r="J199" s="73">
        <v>188.7</v>
      </c>
      <c r="K199" s="377"/>
      <c r="L199" s="41"/>
      <c r="M199" s="1372" t="s">
        <v>185</v>
      </c>
      <c r="N199" s="1293">
        <f>65+18</f>
        <v>83</v>
      </c>
      <c r="O199" s="1294">
        <v>100</v>
      </c>
      <c r="P199" s="296"/>
      <c r="Q199" s="264"/>
    </row>
    <row r="200" spans="1:18" ht="20.25" customHeight="1" x14ac:dyDescent="0.2">
      <c r="A200" s="1355"/>
      <c r="B200" s="1356"/>
      <c r="C200" s="1623"/>
      <c r="D200" s="1688"/>
      <c r="E200" s="1367"/>
      <c r="F200" s="1724"/>
      <c r="G200" s="1569"/>
      <c r="H200" s="53" t="s">
        <v>65</v>
      </c>
      <c r="I200" s="378">
        <v>250</v>
      </c>
      <c r="J200" s="53"/>
      <c r="K200" s="378"/>
      <c r="L200" s="378"/>
      <c r="M200" s="1610"/>
      <c r="N200" s="384"/>
      <c r="O200" s="384"/>
      <c r="P200" s="297"/>
      <c r="Q200" s="265"/>
    </row>
    <row r="201" spans="1:18" ht="19.5" customHeight="1" x14ac:dyDescent="0.2">
      <c r="A201" s="506"/>
      <c r="B201" s="505"/>
      <c r="C201" s="200"/>
      <c r="D201" s="747" t="s">
        <v>32</v>
      </c>
      <c r="E201" s="1365" t="s">
        <v>404</v>
      </c>
      <c r="F201" s="751"/>
      <c r="G201" s="1596" t="s">
        <v>150</v>
      </c>
      <c r="H201" s="50" t="s">
        <v>62</v>
      </c>
      <c r="I201" s="41"/>
      <c r="J201" s="50">
        <v>47</v>
      </c>
      <c r="K201" s="41"/>
      <c r="L201" s="1461"/>
      <c r="M201" s="1372" t="s">
        <v>249</v>
      </c>
      <c r="N201" s="1288"/>
      <c r="O201" s="290">
        <v>100</v>
      </c>
      <c r="P201" s="1288"/>
      <c r="Q201" s="962"/>
    </row>
    <row r="202" spans="1:18" ht="15" customHeight="1" x14ac:dyDescent="0.2">
      <c r="A202" s="506"/>
      <c r="B202" s="505"/>
      <c r="C202" s="200"/>
      <c r="D202" s="491"/>
      <c r="E202" s="1367"/>
      <c r="F202" s="751"/>
      <c r="G202" s="1599"/>
      <c r="H202" s="53"/>
      <c r="I202" s="378"/>
      <c r="J202" s="78"/>
      <c r="K202" s="78"/>
      <c r="L202" s="1462"/>
      <c r="M202" s="1402"/>
      <c r="N202" s="15"/>
      <c r="O202" s="164"/>
      <c r="P202" s="15"/>
      <c r="Q202" s="16"/>
    </row>
    <row r="203" spans="1:18" ht="16.5" customHeight="1" x14ac:dyDescent="0.2">
      <c r="A203" s="563"/>
      <c r="B203" s="564"/>
      <c r="C203" s="578"/>
      <c r="D203" s="747" t="s">
        <v>33</v>
      </c>
      <c r="E203" s="1365" t="s">
        <v>94</v>
      </c>
      <c r="F203" s="1452" t="s">
        <v>172</v>
      </c>
      <c r="G203" s="1569" t="s">
        <v>195</v>
      </c>
      <c r="H203" s="334" t="s">
        <v>62</v>
      </c>
      <c r="I203" s="46"/>
      <c r="J203" s="46"/>
      <c r="K203" s="46">
        <v>8</v>
      </c>
      <c r="L203" s="46"/>
      <c r="M203" s="453" t="s">
        <v>186</v>
      </c>
      <c r="N203" s="301"/>
      <c r="O203" s="169">
        <v>4</v>
      </c>
      <c r="P203" s="191">
        <v>7</v>
      </c>
      <c r="Q203" s="309"/>
    </row>
    <row r="204" spans="1:18" ht="13.5" customHeight="1" x14ac:dyDescent="0.2">
      <c r="A204" s="561"/>
      <c r="B204" s="560"/>
      <c r="C204" s="200"/>
      <c r="D204" s="747"/>
      <c r="E204" s="1366"/>
      <c r="F204" s="1453"/>
      <c r="G204" s="1597"/>
      <c r="H204" s="50" t="s">
        <v>62</v>
      </c>
      <c r="I204" s="41">
        <f>33.4-27.6</f>
        <v>5.8</v>
      </c>
      <c r="J204" s="41">
        <v>52.7</v>
      </c>
      <c r="K204" s="41">
        <v>42</v>
      </c>
      <c r="L204" s="41"/>
      <c r="M204" s="794" t="s">
        <v>151</v>
      </c>
      <c r="N204" s="502">
        <v>9</v>
      </c>
      <c r="O204" s="502">
        <v>8</v>
      </c>
      <c r="P204" s="796">
        <v>7</v>
      </c>
      <c r="Q204" s="797"/>
    </row>
    <row r="205" spans="1:18" ht="14.25" customHeight="1" x14ac:dyDescent="0.2">
      <c r="A205" s="561"/>
      <c r="B205" s="560"/>
      <c r="C205" s="200"/>
      <c r="D205" s="747"/>
      <c r="E205" s="1326"/>
      <c r="F205" s="1690"/>
      <c r="G205" s="1691"/>
      <c r="H205" s="50" t="s">
        <v>65</v>
      </c>
      <c r="I205" s="41">
        <v>6.8</v>
      </c>
      <c r="J205" s="41"/>
      <c r="K205" s="41"/>
      <c r="L205" s="41"/>
      <c r="M205" s="403"/>
      <c r="N205" s="494"/>
      <c r="O205" s="494"/>
      <c r="P205" s="191"/>
      <c r="Q205" s="309"/>
    </row>
    <row r="206" spans="1:18" ht="25.5" customHeight="1" x14ac:dyDescent="0.2">
      <c r="A206" s="561"/>
      <c r="B206" s="560"/>
      <c r="C206" s="200"/>
      <c r="D206" s="756"/>
      <c r="E206" s="351"/>
      <c r="F206" s="66"/>
      <c r="G206" s="594" t="s">
        <v>150</v>
      </c>
      <c r="H206" s="326" t="s">
        <v>62</v>
      </c>
      <c r="I206" s="325">
        <v>48</v>
      </c>
      <c r="J206" s="325">
        <v>43.2</v>
      </c>
      <c r="K206" s="325"/>
      <c r="L206" s="325">
        <v>50</v>
      </c>
      <c r="M206" s="595" t="s">
        <v>95</v>
      </c>
      <c r="N206" s="596">
        <v>7</v>
      </c>
      <c r="O206" s="597">
        <v>6</v>
      </c>
      <c r="P206" s="401"/>
      <c r="Q206" s="350">
        <v>7</v>
      </c>
    </row>
    <row r="207" spans="1:18" ht="16.5" customHeight="1" x14ac:dyDescent="0.2">
      <c r="A207" s="563"/>
      <c r="B207" s="564"/>
      <c r="C207" s="578"/>
      <c r="D207" s="747" t="s">
        <v>143</v>
      </c>
      <c r="E207" s="1365" t="s">
        <v>192</v>
      </c>
      <c r="F207" s="426" t="s">
        <v>44</v>
      </c>
      <c r="G207" s="1596" t="s">
        <v>328</v>
      </c>
      <c r="H207" s="609" t="s">
        <v>62</v>
      </c>
      <c r="I207" s="41">
        <f>595.9-190</f>
        <v>405.9</v>
      </c>
      <c r="J207" s="61"/>
      <c r="K207" s="41"/>
      <c r="L207" s="41"/>
      <c r="M207" s="672" t="s">
        <v>43</v>
      </c>
      <c r="N207" s="673"/>
      <c r="O207" s="674" t="s">
        <v>49</v>
      </c>
      <c r="P207" s="686"/>
      <c r="Q207" s="687"/>
    </row>
    <row r="208" spans="1:18" ht="13.5" customHeight="1" x14ac:dyDescent="0.2">
      <c r="A208" s="176"/>
      <c r="B208" s="362"/>
      <c r="C208" s="593"/>
      <c r="D208" s="747"/>
      <c r="E208" s="1326"/>
      <c r="F208" s="735"/>
      <c r="G208" s="1644"/>
      <c r="H208" s="591" t="s">
        <v>62</v>
      </c>
      <c r="I208" s="41">
        <v>26.5</v>
      </c>
      <c r="J208" s="61">
        <v>37</v>
      </c>
      <c r="K208" s="41">
        <v>100</v>
      </c>
      <c r="L208" s="41">
        <v>350</v>
      </c>
      <c r="M208" s="1723" t="s">
        <v>284</v>
      </c>
      <c r="N208" s="364"/>
      <c r="O208" s="226" t="s">
        <v>298</v>
      </c>
      <c r="P208" s="226" t="s">
        <v>298</v>
      </c>
      <c r="Q208" s="227" t="s">
        <v>40</v>
      </c>
    </row>
    <row r="209" spans="1:18" ht="14.25" customHeight="1" x14ac:dyDescent="0.2">
      <c r="A209" s="176"/>
      <c r="B209" s="362"/>
      <c r="C209" s="593"/>
      <c r="D209" s="747"/>
      <c r="E209" s="1326"/>
      <c r="F209" s="735"/>
      <c r="G209" s="1644"/>
      <c r="H209" s="591" t="s">
        <v>54</v>
      </c>
      <c r="I209" s="41">
        <v>0.4</v>
      </c>
      <c r="J209" s="61">
        <v>1.8</v>
      </c>
      <c r="K209" s="41"/>
      <c r="L209" s="41"/>
      <c r="M209" s="1359"/>
      <c r="N209" s="341"/>
      <c r="O209" s="291"/>
      <c r="P209" s="291"/>
      <c r="Q209" s="249"/>
    </row>
    <row r="210" spans="1:18" ht="20.25" customHeight="1" x14ac:dyDescent="0.2">
      <c r="A210" s="176"/>
      <c r="B210" s="362"/>
      <c r="C210" s="593"/>
      <c r="D210" s="747"/>
      <c r="E210" s="363"/>
      <c r="F210" s="735"/>
      <c r="G210" s="1644"/>
      <c r="H210" s="610"/>
      <c r="I210" s="43"/>
      <c r="J210" s="74"/>
      <c r="K210" s="43"/>
      <c r="L210" s="43"/>
      <c r="M210" s="550" t="s">
        <v>180</v>
      </c>
      <c r="N210" s="671" t="s">
        <v>179</v>
      </c>
      <c r="O210" s="649"/>
      <c r="P210" s="291"/>
      <c r="Q210" s="249"/>
    </row>
    <row r="211" spans="1:18" ht="15.75" customHeight="1" x14ac:dyDescent="0.2">
      <c r="A211" s="176"/>
      <c r="B211" s="362"/>
      <c r="C211" s="593"/>
      <c r="D211" s="815"/>
      <c r="E211" s="1458" t="s">
        <v>406</v>
      </c>
      <c r="F211" s="808"/>
      <c r="G211" s="1644"/>
      <c r="H211" s="591" t="s">
        <v>62</v>
      </c>
      <c r="I211" s="41">
        <v>30</v>
      </c>
      <c r="J211" s="61">
        <v>65.5</v>
      </c>
      <c r="K211" s="41"/>
      <c r="L211" s="41"/>
      <c r="M211" s="745" t="s">
        <v>193</v>
      </c>
      <c r="N211" s="364"/>
      <c r="O211" s="226" t="s">
        <v>49</v>
      </c>
      <c r="P211" s="226"/>
      <c r="Q211" s="227"/>
    </row>
    <row r="212" spans="1:18" ht="14.25" customHeight="1" x14ac:dyDescent="0.2">
      <c r="A212" s="176"/>
      <c r="B212" s="362"/>
      <c r="C212" s="593"/>
      <c r="D212" s="821"/>
      <c r="E212" s="1459"/>
      <c r="F212" s="809"/>
      <c r="G212" s="1645"/>
      <c r="H212" s="45" t="s">
        <v>23</v>
      </c>
      <c r="I212" s="45">
        <v>60</v>
      </c>
      <c r="J212" s="98"/>
      <c r="K212" s="45"/>
      <c r="L212" s="45"/>
      <c r="M212" s="142"/>
      <c r="N212" s="242"/>
      <c r="O212" s="469"/>
      <c r="P212" s="469"/>
      <c r="Q212" s="228"/>
    </row>
    <row r="213" spans="1:18" ht="30" customHeight="1" x14ac:dyDescent="0.2">
      <c r="A213" s="811"/>
      <c r="B213" s="812"/>
      <c r="C213" s="822"/>
      <c r="D213" s="813" t="s">
        <v>305</v>
      </c>
      <c r="E213" s="1608" t="s">
        <v>310</v>
      </c>
      <c r="F213" s="885" t="s">
        <v>314</v>
      </c>
      <c r="G213" s="1569" t="s">
        <v>150</v>
      </c>
      <c r="H213" s="50" t="s">
        <v>23</v>
      </c>
      <c r="I213" s="41"/>
      <c r="J213" s="61"/>
      <c r="K213" s="41"/>
      <c r="L213" s="41"/>
      <c r="M213" s="818" t="s">
        <v>309</v>
      </c>
      <c r="N213" s="439"/>
      <c r="O213" s="824">
        <v>1</v>
      </c>
      <c r="P213" s="824"/>
      <c r="Q213" s="824"/>
      <c r="R213" s="1177"/>
    </row>
    <row r="214" spans="1:18" ht="29.25" customHeight="1" x14ac:dyDescent="0.2">
      <c r="A214" s="811"/>
      <c r="B214" s="812"/>
      <c r="C214" s="822"/>
      <c r="D214" s="816"/>
      <c r="E214" s="1609"/>
      <c r="F214" s="880" t="s">
        <v>231</v>
      </c>
      <c r="G214" s="1599"/>
      <c r="H214" s="53" t="s">
        <v>23</v>
      </c>
      <c r="I214" s="832"/>
      <c r="J214" s="93"/>
      <c r="K214" s="832"/>
      <c r="L214" s="832"/>
      <c r="M214" s="823" t="s">
        <v>313</v>
      </c>
      <c r="N214" s="833"/>
      <c r="O214" s="15"/>
      <c r="P214" s="15">
        <v>4</v>
      </c>
      <c r="Q214" s="15">
        <v>4</v>
      </c>
      <c r="R214" s="874"/>
    </row>
    <row r="215" spans="1:18" ht="16.5" customHeight="1" x14ac:dyDescent="0.2">
      <c r="A215" s="814"/>
      <c r="B215" s="812"/>
      <c r="C215" s="200"/>
      <c r="D215" s="815"/>
      <c r="E215" s="1668" t="s">
        <v>148</v>
      </c>
      <c r="F215" s="817"/>
      <c r="G215" s="1569"/>
      <c r="H215" s="398" t="s">
        <v>65</v>
      </c>
      <c r="I215" s="143">
        <v>3</v>
      </c>
      <c r="J215" s="514"/>
      <c r="K215" s="41"/>
      <c r="L215" s="41"/>
      <c r="M215" s="516" t="s">
        <v>149</v>
      </c>
      <c r="N215" s="517">
        <v>1</v>
      </c>
      <c r="O215" s="223"/>
      <c r="P215" s="320"/>
      <c r="Q215" s="434"/>
    </row>
    <row r="216" spans="1:18" ht="15" customHeight="1" x14ac:dyDescent="0.2">
      <c r="A216" s="814"/>
      <c r="B216" s="812"/>
      <c r="C216" s="200"/>
      <c r="D216" s="592"/>
      <c r="E216" s="1558"/>
      <c r="F216" s="66"/>
      <c r="G216" s="1599"/>
      <c r="H216" s="53"/>
      <c r="I216" s="832"/>
      <c r="J216" s="78"/>
      <c r="K216" s="78"/>
      <c r="L216" s="78"/>
      <c r="M216" s="123"/>
      <c r="N216" s="175"/>
      <c r="O216" s="819"/>
      <c r="P216" s="820"/>
      <c r="Q216" s="16"/>
    </row>
    <row r="217" spans="1:18" ht="18" customHeight="1" thickBot="1" x14ac:dyDescent="0.25">
      <c r="A217" s="565"/>
      <c r="B217" s="147"/>
      <c r="C217" s="193"/>
      <c r="D217" s="492"/>
      <c r="E217" s="194"/>
      <c r="F217" s="203"/>
      <c r="G217" s="190"/>
      <c r="H217" s="121" t="s">
        <v>5</v>
      </c>
      <c r="I217" s="83">
        <f>SUM(I175:I215)</f>
        <v>6569.5</v>
      </c>
      <c r="J217" s="83">
        <f>SUM(J175:J215)</f>
        <v>6126.8</v>
      </c>
      <c r="K217" s="83">
        <f>SUM(K175:K215)</f>
        <v>6123.2</v>
      </c>
      <c r="L217" s="83">
        <f>SUM(L175:L215)</f>
        <v>6513.2</v>
      </c>
      <c r="M217" s="204"/>
      <c r="N217" s="197"/>
      <c r="O217" s="197"/>
      <c r="P217" s="197"/>
      <c r="Q217" s="198"/>
    </row>
    <row r="218" spans="1:18" ht="14.25" customHeight="1" x14ac:dyDescent="0.2">
      <c r="A218" s="1666" t="s">
        <v>4</v>
      </c>
      <c r="B218" s="1672" t="s">
        <v>6</v>
      </c>
      <c r="C218" s="1629" t="s">
        <v>26</v>
      </c>
      <c r="D218" s="1675"/>
      <c r="E218" s="1632" t="s">
        <v>93</v>
      </c>
      <c r="F218" s="727" t="s">
        <v>44</v>
      </c>
      <c r="G218" s="1620" t="s">
        <v>64</v>
      </c>
      <c r="H218" s="398" t="s">
        <v>54</v>
      </c>
      <c r="I218" s="598">
        <f>344.9+113</f>
        <v>457.9</v>
      </c>
      <c r="J218" s="599"/>
      <c r="K218" s="598"/>
      <c r="L218" s="598"/>
      <c r="M218" s="1732" t="s">
        <v>162</v>
      </c>
      <c r="N218" s="608">
        <v>18</v>
      </c>
      <c r="O218" s="695"/>
      <c r="P218" s="273"/>
      <c r="Q218" s="262"/>
    </row>
    <row r="219" spans="1:18" ht="14.25" customHeight="1" x14ac:dyDescent="0.2">
      <c r="A219" s="1481"/>
      <c r="B219" s="1673"/>
      <c r="C219" s="1630"/>
      <c r="D219" s="1472"/>
      <c r="E219" s="1633"/>
      <c r="F219" s="728" t="s">
        <v>173</v>
      </c>
      <c r="G219" s="1621"/>
      <c r="H219" s="398" t="s">
        <v>23</v>
      </c>
      <c r="I219" s="143">
        <f>294.6-19.8</f>
        <v>274.8</v>
      </c>
      <c r="J219" s="599"/>
      <c r="K219" s="143"/>
      <c r="L219" s="143"/>
      <c r="M219" s="1733"/>
      <c r="N219" s="600"/>
      <c r="O219" s="696"/>
      <c r="P219" s="471"/>
      <c r="Q219" s="472"/>
    </row>
    <row r="220" spans="1:18" ht="15" customHeight="1" x14ac:dyDescent="0.2">
      <c r="A220" s="1481"/>
      <c r="B220" s="1673"/>
      <c r="C220" s="1630"/>
      <c r="D220" s="1472"/>
      <c r="E220" s="1633"/>
      <c r="F220" s="728" t="s">
        <v>291</v>
      </c>
      <c r="G220" s="1621"/>
      <c r="H220" s="398" t="s">
        <v>167</v>
      </c>
      <c r="I220" s="143">
        <f>4264.5-112.8</f>
        <v>4151.7</v>
      </c>
      <c r="J220" s="599"/>
      <c r="K220" s="143"/>
      <c r="L220" s="143"/>
      <c r="M220" s="1734"/>
      <c r="N220" s="600"/>
      <c r="O220" s="696"/>
      <c r="P220" s="471"/>
      <c r="Q220" s="472"/>
    </row>
    <row r="221" spans="1:18" ht="16.5" customHeight="1" thickBot="1" x14ac:dyDescent="0.25">
      <c r="A221" s="1667"/>
      <c r="B221" s="1674"/>
      <c r="C221" s="1631"/>
      <c r="D221" s="1676"/>
      <c r="E221" s="601"/>
      <c r="F221" s="602"/>
      <c r="G221" s="1622"/>
      <c r="H221" s="603" t="s">
        <v>5</v>
      </c>
      <c r="I221" s="604">
        <f>SUM(I218:I220)</f>
        <v>4884.3999999999996</v>
      </c>
      <c r="J221" s="605">
        <f>SUM(J218:J220)</f>
        <v>0</v>
      </c>
      <c r="K221" s="604">
        <f>SUM(K218:K220)</f>
        <v>0</v>
      </c>
      <c r="L221" s="604">
        <f>SUM(L218:L220)</f>
        <v>0</v>
      </c>
      <c r="M221" s="606"/>
      <c r="N221" s="607"/>
      <c r="O221" s="289"/>
      <c r="P221" s="112"/>
      <c r="Q221" s="250"/>
    </row>
    <row r="222" spans="1:18" ht="14.25" customHeight="1" x14ac:dyDescent="0.2">
      <c r="A222" s="1666" t="s">
        <v>4</v>
      </c>
      <c r="B222" s="1672" t="s">
        <v>6</v>
      </c>
      <c r="C222" s="1675" t="s">
        <v>30</v>
      </c>
      <c r="D222" s="1675"/>
      <c r="E222" s="1632" t="s">
        <v>238</v>
      </c>
      <c r="F222" s="728" t="s">
        <v>173</v>
      </c>
      <c r="G222" s="1620" t="s">
        <v>64</v>
      </c>
      <c r="H222" s="398" t="s">
        <v>54</v>
      </c>
      <c r="I222" s="143">
        <v>665</v>
      </c>
      <c r="J222" s="599"/>
      <c r="K222" s="598"/>
      <c r="L222" s="598"/>
      <c r="M222" s="1735" t="s">
        <v>239</v>
      </c>
      <c r="N222" s="608">
        <v>100</v>
      </c>
      <c r="O222" s="312"/>
      <c r="P222" s="273"/>
      <c r="Q222" s="262"/>
    </row>
    <row r="223" spans="1:18" ht="14.25" customHeight="1" x14ac:dyDescent="0.2">
      <c r="A223" s="1481"/>
      <c r="B223" s="1673"/>
      <c r="C223" s="1472"/>
      <c r="D223" s="1472"/>
      <c r="E223" s="1633"/>
      <c r="F223" s="728" t="s">
        <v>291</v>
      </c>
      <c r="G223" s="1621"/>
      <c r="H223" s="398"/>
      <c r="I223" s="143"/>
      <c r="J223" s="599"/>
      <c r="K223" s="143"/>
      <c r="L223" s="143"/>
      <c r="M223" s="1736"/>
      <c r="N223" s="600"/>
      <c r="O223" s="163"/>
      <c r="P223" s="471"/>
      <c r="Q223" s="472"/>
    </row>
    <row r="224" spans="1:18" ht="15" customHeight="1" x14ac:dyDescent="0.2">
      <c r="A224" s="1481"/>
      <c r="B224" s="1673"/>
      <c r="C224" s="1472"/>
      <c r="D224" s="1472"/>
      <c r="E224" s="1633"/>
      <c r="F224" s="936" t="s">
        <v>231</v>
      </c>
      <c r="G224" s="1621"/>
      <c r="H224" s="398"/>
      <c r="I224" s="143"/>
      <c r="J224" s="599"/>
      <c r="K224" s="143"/>
      <c r="L224" s="143"/>
      <c r="M224" s="1736"/>
      <c r="N224" s="600"/>
      <c r="O224" s="163"/>
      <c r="P224" s="471"/>
      <c r="Q224" s="472"/>
    </row>
    <row r="225" spans="1:18" ht="16.5" customHeight="1" thickBot="1" x14ac:dyDescent="0.25">
      <c r="A225" s="1667"/>
      <c r="B225" s="1674"/>
      <c r="C225" s="1676"/>
      <c r="D225" s="1676"/>
      <c r="E225" s="601"/>
      <c r="F225" s="602"/>
      <c r="G225" s="1622"/>
      <c r="H225" s="603" t="s">
        <v>5</v>
      </c>
      <c r="I225" s="604">
        <f>SUM(I222:I224)</f>
        <v>665</v>
      </c>
      <c r="J225" s="605">
        <f>SUM(J222:J224)</f>
        <v>0</v>
      </c>
      <c r="K225" s="604">
        <f>SUM(K222:K224)</f>
        <v>0</v>
      </c>
      <c r="L225" s="604">
        <f>SUM(L222:L224)</f>
        <v>0</v>
      </c>
      <c r="M225" s="606"/>
      <c r="N225" s="607"/>
      <c r="O225" s="289"/>
      <c r="P225" s="112"/>
      <c r="Q225" s="250"/>
    </row>
    <row r="226" spans="1:18" ht="14.25" customHeight="1" thickBot="1" x14ac:dyDescent="0.25">
      <c r="A226" s="57" t="s">
        <v>4</v>
      </c>
      <c r="B226" s="149" t="s">
        <v>6</v>
      </c>
      <c r="C226" s="1430" t="s">
        <v>7</v>
      </c>
      <c r="D226" s="1431"/>
      <c r="E226" s="1431"/>
      <c r="F226" s="1431"/>
      <c r="G226" s="1431"/>
      <c r="H226" s="1431"/>
      <c r="I226" s="85">
        <f>I225+I221+I217</f>
        <v>12118.9</v>
      </c>
      <c r="J226" s="85">
        <f t="shared" ref="J226:L226" si="1">J225+J221+J217</f>
        <v>6126.8</v>
      </c>
      <c r="K226" s="85">
        <f t="shared" si="1"/>
        <v>6123.2</v>
      </c>
      <c r="L226" s="85">
        <f t="shared" si="1"/>
        <v>6513.2</v>
      </c>
      <c r="M226" s="1464"/>
      <c r="N226" s="1464"/>
      <c r="O226" s="1464"/>
      <c r="P226" s="1464"/>
      <c r="Q226" s="1465"/>
    </row>
    <row r="227" spans="1:18" ht="18" customHeight="1" thickBot="1" x14ac:dyDescent="0.25">
      <c r="A227" s="47" t="s">
        <v>4</v>
      </c>
      <c r="B227" s="149" t="s">
        <v>26</v>
      </c>
      <c r="C227" s="1434" t="s">
        <v>87</v>
      </c>
      <c r="D227" s="1466"/>
      <c r="E227" s="1466"/>
      <c r="F227" s="1466"/>
      <c r="G227" s="1466"/>
      <c r="H227" s="1466"/>
      <c r="I227" s="1466"/>
      <c r="J227" s="1466"/>
      <c r="K227" s="1466"/>
      <c r="L227" s="1466"/>
      <c r="M227" s="1466"/>
      <c r="N227" s="1466"/>
      <c r="O227" s="1466"/>
      <c r="P227" s="1466"/>
      <c r="Q227" s="1467"/>
    </row>
    <row r="228" spans="1:18" ht="27" customHeight="1" x14ac:dyDescent="0.2">
      <c r="A228" s="139" t="s">
        <v>4</v>
      </c>
      <c r="B228" s="148" t="s">
        <v>26</v>
      </c>
      <c r="C228" s="196" t="s">
        <v>4</v>
      </c>
      <c r="D228" s="749"/>
      <c r="E228" s="129" t="s">
        <v>84</v>
      </c>
      <c r="F228" s="923" t="s">
        <v>173</v>
      </c>
      <c r="G228" s="133"/>
      <c r="H228" s="58"/>
      <c r="I228" s="80"/>
      <c r="J228" s="80"/>
      <c r="K228" s="80"/>
      <c r="L228" s="80"/>
      <c r="M228" s="59"/>
      <c r="N228" s="113"/>
      <c r="O228" s="113"/>
      <c r="P228" s="113"/>
      <c r="Q228" s="173"/>
    </row>
    <row r="229" spans="1:18" ht="13.5" customHeight="1" x14ac:dyDescent="0.2">
      <c r="A229" s="138"/>
      <c r="B229" s="145"/>
      <c r="C229" s="195"/>
      <c r="D229" s="755" t="s">
        <v>4</v>
      </c>
      <c r="E229" s="1384" t="s">
        <v>82</v>
      </c>
      <c r="F229" s="1379" t="s">
        <v>66</v>
      </c>
      <c r="G229" s="1596" t="s">
        <v>330</v>
      </c>
      <c r="H229" s="46" t="s">
        <v>62</v>
      </c>
      <c r="I229" s="77">
        <f>190.8</f>
        <v>190.8</v>
      </c>
      <c r="J229" s="41">
        <f>194.7-30</f>
        <v>164.7</v>
      </c>
      <c r="K229" s="41">
        <v>207.9</v>
      </c>
      <c r="L229" s="41">
        <v>207.9</v>
      </c>
      <c r="M229" s="1236" t="s">
        <v>88</v>
      </c>
      <c r="N229" s="132">
        <v>14.5</v>
      </c>
      <c r="O229" s="25">
        <v>14.5</v>
      </c>
      <c r="P229" s="25">
        <v>14.5</v>
      </c>
      <c r="Q229" s="26">
        <v>14.5</v>
      </c>
      <c r="R229" s="188"/>
    </row>
    <row r="230" spans="1:18" ht="13.5" customHeight="1" x14ac:dyDescent="0.2">
      <c r="A230" s="406"/>
      <c r="B230" s="407"/>
      <c r="C230" s="408"/>
      <c r="D230" s="747"/>
      <c r="E230" s="1392"/>
      <c r="F230" s="1380"/>
      <c r="G230" s="1569"/>
      <c r="H230" s="41" t="s">
        <v>23</v>
      </c>
      <c r="I230" s="77">
        <f>40+28.6</f>
        <v>68.599999999999994</v>
      </c>
      <c r="J230" s="41">
        <v>53</v>
      </c>
      <c r="K230" s="41">
        <v>53</v>
      </c>
      <c r="L230" s="41">
        <v>53</v>
      </c>
      <c r="M230" s="1236" t="s">
        <v>35</v>
      </c>
      <c r="N230" s="1237">
        <f>66+5</f>
        <v>71</v>
      </c>
      <c r="O230" s="1229">
        <v>71</v>
      </c>
      <c r="P230" s="1229">
        <v>74</v>
      </c>
      <c r="Q230" s="1235">
        <v>81</v>
      </c>
      <c r="R230" s="188"/>
    </row>
    <row r="231" spans="1:18" ht="13.5" customHeight="1" x14ac:dyDescent="0.2">
      <c r="A231" s="881"/>
      <c r="B231" s="882"/>
      <c r="C231" s="884"/>
      <c r="D231" s="883"/>
      <c r="E231" s="1392"/>
      <c r="F231" s="1380"/>
      <c r="G231" s="1569"/>
      <c r="H231" s="43" t="s">
        <v>79</v>
      </c>
      <c r="I231" s="81">
        <f>80+1.7</f>
        <v>81.7</v>
      </c>
      <c r="J231" s="43">
        <v>100</v>
      </c>
      <c r="K231" s="43">
        <v>100</v>
      </c>
      <c r="L231" s="43">
        <v>100</v>
      </c>
      <c r="M231" s="1236"/>
      <c r="N231" s="132"/>
      <c r="O231" s="25"/>
      <c r="P231" s="25"/>
      <c r="Q231" s="26"/>
      <c r="R231" s="188"/>
    </row>
    <row r="232" spans="1:18" ht="23.25" customHeight="1" x14ac:dyDescent="0.2">
      <c r="A232" s="138"/>
      <c r="B232" s="145"/>
      <c r="C232" s="195"/>
      <c r="D232" s="747"/>
      <c r="E232" s="1392"/>
      <c r="F232" s="1468"/>
      <c r="G232" s="1569"/>
      <c r="H232" s="43" t="s">
        <v>23</v>
      </c>
      <c r="I232" s="81"/>
      <c r="J232" s="43">
        <v>78.5</v>
      </c>
      <c r="K232" s="43"/>
      <c r="L232" s="43"/>
      <c r="M232" s="388" t="s">
        <v>315</v>
      </c>
      <c r="N232" s="17"/>
      <c r="O232" s="100">
        <v>7</v>
      </c>
      <c r="P232" s="100"/>
      <c r="Q232" s="18"/>
      <c r="R232" s="188"/>
    </row>
    <row r="233" spans="1:18" ht="18.75" customHeight="1" x14ac:dyDescent="0.2">
      <c r="A233" s="138"/>
      <c r="B233" s="145"/>
      <c r="C233" s="195"/>
      <c r="D233" s="747"/>
      <c r="E233" s="1392"/>
      <c r="F233" s="1731"/>
      <c r="G233" s="1569"/>
      <c r="H233" s="43" t="s">
        <v>62</v>
      </c>
      <c r="I233" s="77">
        <v>18.3</v>
      </c>
      <c r="J233" s="41">
        <v>9.6999999999999993</v>
      </c>
      <c r="K233" s="41">
        <v>9.6999999999999993</v>
      </c>
      <c r="L233" s="41">
        <v>9.6999999999999993</v>
      </c>
      <c r="M233" s="964" t="s">
        <v>205</v>
      </c>
      <c r="N233" s="17">
        <v>100</v>
      </c>
      <c r="O233" s="100">
        <v>60</v>
      </c>
      <c r="P233" s="100">
        <v>60</v>
      </c>
      <c r="Q233" s="18">
        <v>60</v>
      </c>
      <c r="R233" s="188"/>
    </row>
    <row r="234" spans="1:18" ht="26.25" customHeight="1" x14ac:dyDescent="0.2">
      <c r="A234" s="155"/>
      <c r="B234" s="157"/>
      <c r="C234" s="195"/>
      <c r="D234" s="747"/>
      <c r="E234" s="1392"/>
      <c r="F234" s="1232"/>
      <c r="G234" s="1569"/>
      <c r="H234" s="39" t="s">
        <v>79</v>
      </c>
      <c r="I234" s="79">
        <v>10</v>
      </c>
      <c r="J234" s="39">
        <v>181.5</v>
      </c>
      <c r="K234" s="39"/>
      <c r="L234" s="39"/>
      <c r="M234" s="388" t="s">
        <v>213</v>
      </c>
      <c r="N234" s="116" t="s">
        <v>222</v>
      </c>
      <c r="O234" s="100">
        <v>100</v>
      </c>
      <c r="P234" s="354"/>
      <c r="Q234" s="355"/>
      <c r="R234" s="1243"/>
    </row>
    <row r="235" spans="1:18" ht="16.5" customHeight="1" x14ac:dyDescent="0.2">
      <c r="A235" s="503"/>
      <c r="B235" s="505"/>
      <c r="C235" s="509"/>
      <c r="D235" s="747"/>
      <c r="E235" s="1392"/>
      <c r="F235" s="1232"/>
      <c r="G235" s="1569"/>
      <c r="H235" s="41" t="s">
        <v>65</v>
      </c>
      <c r="I235" s="77">
        <f>36.6+1.4-4.7</f>
        <v>33.299999999999997</v>
      </c>
      <c r="J235" s="41"/>
      <c r="K235" s="41"/>
      <c r="L235" s="41"/>
      <c r="M235" s="1236" t="s">
        <v>250</v>
      </c>
      <c r="N235" s="698"/>
      <c r="O235" s="1229">
        <v>7</v>
      </c>
      <c r="P235" s="25"/>
      <c r="Q235" s="26"/>
      <c r="R235" s="1243"/>
    </row>
    <row r="236" spans="1:18" ht="13.5" customHeight="1" x14ac:dyDescent="0.2">
      <c r="A236" s="342"/>
      <c r="B236" s="343"/>
      <c r="C236" s="344"/>
      <c r="D236" s="747"/>
      <c r="E236" s="1392"/>
      <c r="F236" s="1232"/>
      <c r="G236" s="1569"/>
      <c r="H236" s="41" t="s">
        <v>79</v>
      </c>
      <c r="I236" s="77">
        <v>9</v>
      </c>
      <c r="J236" s="41">
        <v>85.2</v>
      </c>
      <c r="K236" s="41">
        <v>170</v>
      </c>
      <c r="L236" s="143"/>
      <c r="M236" s="1585" t="s">
        <v>251</v>
      </c>
      <c r="N236" s="1237">
        <v>5</v>
      </c>
      <c r="O236" s="298">
        <v>3</v>
      </c>
      <c r="P236" s="298"/>
      <c r="Q236" s="263"/>
      <c r="R236" s="1243"/>
    </row>
    <row r="237" spans="1:18" ht="8.25" customHeight="1" x14ac:dyDescent="0.2">
      <c r="A237" s="214"/>
      <c r="B237" s="216"/>
      <c r="C237" s="215"/>
      <c r="D237" s="747"/>
      <c r="E237" s="1392"/>
      <c r="F237" s="1232"/>
      <c r="G237" s="1569"/>
      <c r="H237" s="41"/>
      <c r="I237" s="77"/>
      <c r="J237" s="41"/>
      <c r="K237" s="143"/>
      <c r="L237" s="143"/>
      <c r="M237" s="1737"/>
      <c r="N237" s="1237"/>
      <c r="O237" s="298"/>
      <c r="P237" s="298"/>
      <c r="Q237" s="263"/>
      <c r="R237" s="188"/>
    </row>
    <row r="238" spans="1:18" ht="27.75" customHeight="1" x14ac:dyDescent="0.2">
      <c r="A238" s="503"/>
      <c r="B238" s="505"/>
      <c r="C238" s="509"/>
      <c r="D238" s="756"/>
      <c r="E238" s="1225"/>
      <c r="F238" s="1232"/>
      <c r="G238" s="1240"/>
      <c r="H238" s="518" t="s">
        <v>62</v>
      </c>
      <c r="I238" s="519">
        <v>45</v>
      </c>
      <c r="J238" s="518"/>
      <c r="K238" s="518"/>
      <c r="L238" s="518"/>
      <c r="M238" s="520" t="s">
        <v>187</v>
      </c>
      <c r="N238" s="521">
        <v>1</v>
      </c>
      <c r="O238" s="522"/>
      <c r="P238" s="522"/>
      <c r="Q238" s="523"/>
      <c r="R238" s="188"/>
    </row>
    <row r="239" spans="1:18" ht="15" customHeight="1" x14ac:dyDescent="0.2">
      <c r="A239" s="138"/>
      <c r="B239" s="145"/>
      <c r="C239" s="195"/>
      <c r="D239" s="747" t="s">
        <v>6</v>
      </c>
      <c r="E239" s="1222" t="s">
        <v>58</v>
      </c>
      <c r="F239" s="174"/>
      <c r="G239" s="1242"/>
      <c r="H239" s="41" t="s">
        <v>79</v>
      </c>
      <c r="I239" s="77">
        <f>120-20</f>
        <v>100</v>
      </c>
      <c r="J239" s="1238">
        <v>100</v>
      </c>
      <c r="K239" s="1238">
        <v>100</v>
      </c>
      <c r="L239" s="1238">
        <v>100</v>
      </c>
      <c r="M239" s="1236" t="s">
        <v>70</v>
      </c>
      <c r="N239" s="1237">
        <v>1</v>
      </c>
      <c r="O239" s="1228">
        <v>1</v>
      </c>
      <c r="P239" s="1229">
        <v>1</v>
      </c>
      <c r="Q239" s="1235">
        <v>1</v>
      </c>
      <c r="R239" s="1243"/>
    </row>
    <row r="240" spans="1:18" ht="15" customHeight="1" x14ac:dyDescent="0.2">
      <c r="A240" s="342"/>
      <c r="B240" s="343"/>
      <c r="C240" s="344"/>
      <c r="D240" s="747"/>
      <c r="E240" s="1225"/>
      <c r="F240" s="352"/>
      <c r="G240" s="1242"/>
      <c r="H240" s="41" t="s">
        <v>62</v>
      </c>
      <c r="I240" s="77">
        <v>15</v>
      </c>
      <c r="J240" s="50">
        <v>10</v>
      </c>
      <c r="K240" s="50">
        <v>10</v>
      </c>
      <c r="L240" s="50">
        <v>10</v>
      </c>
      <c r="M240" s="1236"/>
      <c r="N240" s="1237"/>
      <c r="O240" s="1228"/>
      <c r="P240" s="1229"/>
      <c r="Q240" s="1235"/>
      <c r="R240" s="188"/>
    </row>
    <row r="241" spans="1:18" ht="16.5" customHeight="1" x14ac:dyDescent="0.2">
      <c r="A241" s="138"/>
      <c r="B241" s="145"/>
      <c r="C241" s="195"/>
      <c r="D241" s="756"/>
      <c r="E241" s="1226"/>
      <c r="F241" s="84"/>
      <c r="G241" s="1242"/>
      <c r="H241" s="1239"/>
      <c r="I241" s="78"/>
      <c r="J241" s="53"/>
      <c r="K241" s="53"/>
      <c r="L241" s="53"/>
      <c r="M241" s="405"/>
      <c r="N241" s="15"/>
      <c r="O241" s="164"/>
      <c r="P241" s="32"/>
      <c r="Q241" s="16"/>
      <c r="R241" s="188"/>
    </row>
    <row r="242" spans="1:18" ht="13.5" customHeight="1" x14ac:dyDescent="0.2">
      <c r="A242" s="276"/>
      <c r="B242" s="278"/>
      <c r="C242" s="277"/>
      <c r="D242" s="755" t="s">
        <v>26</v>
      </c>
      <c r="E242" s="1400" t="s">
        <v>90</v>
      </c>
      <c r="F242" s="324"/>
      <c r="G242" s="1740"/>
      <c r="H242" s="1238" t="s">
        <v>62</v>
      </c>
      <c r="I242" s="76">
        <v>8</v>
      </c>
      <c r="J242" s="76">
        <v>8</v>
      </c>
      <c r="K242" s="76">
        <v>8</v>
      </c>
      <c r="L242" s="76">
        <v>8</v>
      </c>
      <c r="M242" s="1722" t="s">
        <v>165</v>
      </c>
      <c r="N242" s="1738">
        <v>14</v>
      </c>
      <c r="O242" s="1729">
        <v>14</v>
      </c>
      <c r="P242" s="1729">
        <v>14</v>
      </c>
      <c r="Q242" s="1725">
        <v>14</v>
      </c>
      <c r="R242" s="188"/>
    </row>
    <row r="243" spans="1:18" ht="10.5" customHeight="1" x14ac:dyDescent="0.2">
      <c r="A243" s="276"/>
      <c r="B243" s="278"/>
      <c r="C243" s="277"/>
      <c r="D243" s="747"/>
      <c r="E243" s="1628"/>
      <c r="F243" s="271"/>
      <c r="G243" s="1740"/>
      <c r="H243" s="41"/>
      <c r="I243" s="77"/>
      <c r="J243" s="41"/>
      <c r="K243" s="41"/>
      <c r="L243" s="41"/>
      <c r="M243" s="1475"/>
      <c r="N243" s="1739"/>
      <c r="O243" s="1730"/>
      <c r="P243" s="1730"/>
      <c r="Q243" s="1726"/>
      <c r="R243" s="188"/>
    </row>
    <row r="244" spans="1:18" ht="15.75" customHeight="1" x14ac:dyDescent="0.2">
      <c r="A244" s="280"/>
      <c r="B244" s="282"/>
      <c r="C244" s="281"/>
      <c r="D244" s="756"/>
      <c r="E244" s="1401"/>
      <c r="F244" s="272"/>
      <c r="G244" s="1241"/>
      <c r="H244" s="1239"/>
      <c r="I244" s="53"/>
      <c r="J244" s="53"/>
      <c r="K244" s="53"/>
      <c r="L244" s="53"/>
      <c r="M244" s="123"/>
      <c r="N244" s="15"/>
      <c r="O244" s="164"/>
      <c r="P244" s="32"/>
      <c r="Q244" s="16"/>
      <c r="R244" s="188"/>
    </row>
    <row r="245" spans="1:18" ht="18.75" customHeight="1" x14ac:dyDescent="0.2">
      <c r="A245" s="506"/>
      <c r="B245" s="505"/>
      <c r="C245" s="200"/>
      <c r="D245" s="747" t="s">
        <v>30</v>
      </c>
      <c r="E245" s="1416" t="s">
        <v>116</v>
      </c>
      <c r="F245" s="1224" t="s">
        <v>44</v>
      </c>
      <c r="G245" s="1569"/>
      <c r="H245" s="41" t="s">
        <v>23</v>
      </c>
      <c r="I245" s="50">
        <f>76.5-28.6</f>
        <v>47.9</v>
      </c>
      <c r="J245" s="50">
        <v>54.5</v>
      </c>
      <c r="K245" s="50">
        <v>76.5</v>
      </c>
      <c r="L245" s="50">
        <v>76.5</v>
      </c>
      <c r="M245" s="1585" t="s">
        <v>104</v>
      </c>
      <c r="N245" s="229">
        <v>15</v>
      </c>
      <c r="O245" s="231">
        <v>15</v>
      </c>
      <c r="P245" s="117">
        <v>15</v>
      </c>
      <c r="Q245" s="122">
        <v>15</v>
      </c>
      <c r="R245" s="188"/>
    </row>
    <row r="246" spans="1:18" ht="13.5" customHeight="1" x14ac:dyDescent="0.2">
      <c r="A246" s="506"/>
      <c r="B246" s="505"/>
      <c r="C246" s="199"/>
      <c r="D246" s="756"/>
      <c r="E246" s="1463"/>
      <c r="F246" s="329"/>
      <c r="G246" s="1689"/>
      <c r="H246" s="1239"/>
      <c r="I246" s="78"/>
      <c r="J246" s="78"/>
      <c r="K246" s="78"/>
      <c r="L246" s="78"/>
      <c r="M246" s="1721"/>
      <c r="N246" s="488"/>
      <c r="O246" s="230"/>
      <c r="P246" s="488"/>
      <c r="Q246" s="323"/>
      <c r="R246" s="188"/>
    </row>
    <row r="247" spans="1:18" ht="19.5" customHeight="1" x14ac:dyDescent="0.2">
      <c r="A247" s="155"/>
      <c r="B247" s="157"/>
      <c r="C247" s="195"/>
      <c r="D247" s="790" t="s">
        <v>31</v>
      </c>
      <c r="E247" s="1365" t="s">
        <v>83</v>
      </c>
      <c r="F247" s="1223"/>
      <c r="G247" s="1596" t="s">
        <v>150</v>
      </c>
      <c r="H247" s="1238" t="s">
        <v>62</v>
      </c>
      <c r="I247" s="54">
        <v>544</v>
      </c>
      <c r="J247" s="54">
        <v>594.70000000000005</v>
      </c>
      <c r="K247" s="54">
        <v>610.4</v>
      </c>
      <c r="L247" s="54">
        <v>626</v>
      </c>
      <c r="M247" s="1227" t="s">
        <v>107</v>
      </c>
      <c r="N247" s="396">
        <v>172</v>
      </c>
      <c r="O247" s="1233">
        <v>172</v>
      </c>
      <c r="P247" s="396">
        <v>172</v>
      </c>
      <c r="Q247" s="393">
        <v>172</v>
      </c>
      <c r="R247" s="188"/>
    </row>
    <row r="248" spans="1:18" ht="19.5" customHeight="1" x14ac:dyDescent="0.2">
      <c r="A248" s="789"/>
      <c r="B248" s="788"/>
      <c r="C248" s="218"/>
      <c r="D248" s="791"/>
      <c r="E248" s="1459"/>
      <c r="F248" s="1231"/>
      <c r="G248" s="1569"/>
      <c r="H248" s="1239" t="s">
        <v>65</v>
      </c>
      <c r="I248" s="53"/>
      <c r="J248" s="53">
        <v>31.3</v>
      </c>
      <c r="K248" s="53">
        <v>31.3</v>
      </c>
      <c r="L248" s="53">
        <v>31.3</v>
      </c>
      <c r="M248" s="123"/>
      <c r="N248" s="99"/>
      <c r="O248" s="1234"/>
      <c r="P248" s="99"/>
      <c r="Q248" s="20"/>
      <c r="R248" s="188"/>
    </row>
    <row r="249" spans="1:18" ht="26.25" customHeight="1" x14ac:dyDescent="0.2">
      <c r="A249" s="140"/>
      <c r="B249" s="146"/>
      <c r="C249" s="200"/>
      <c r="D249" s="747" t="s">
        <v>32</v>
      </c>
      <c r="E249" s="1416" t="s">
        <v>407</v>
      </c>
      <c r="F249" s="1224"/>
      <c r="G249" s="1679"/>
      <c r="H249" s="41" t="s">
        <v>62</v>
      </c>
      <c r="I249" s="50"/>
      <c r="J249" s="50">
        <v>30</v>
      </c>
      <c r="K249" s="50"/>
      <c r="L249" s="50"/>
      <c r="M249" s="1230" t="s">
        <v>385</v>
      </c>
      <c r="N249" s="117"/>
      <c r="O249" s="229">
        <v>30</v>
      </c>
      <c r="P249" s="117"/>
      <c r="Q249" s="122"/>
      <c r="R249" s="188"/>
    </row>
    <row r="250" spans="1:18" ht="8.25" customHeight="1" x14ac:dyDescent="0.2">
      <c r="A250" s="140"/>
      <c r="B250" s="146"/>
      <c r="C250" s="199"/>
      <c r="D250" s="756"/>
      <c r="E250" s="1463"/>
      <c r="F250" s="329"/>
      <c r="G250" s="1679"/>
      <c r="H250" s="1239"/>
      <c r="I250" s="78"/>
      <c r="J250" s="78"/>
      <c r="K250" s="78"/>
      <c r="L250" s="78"/>
      <c r="M250" s="123"/>
      <c r="N250" s="230"/>
      <c r="O250" s="313"/>
      <c r="P250" s="488"/>
      <c r="Q250" s="323"/>
      <c r="R250" s="188"/>
    </row>
    <row r="251" spans="1:18" ht="28.5" customHeight="1" x14ac:dyDescent="0.2">
      <c r="A251" s="1217"/>
      <c r="B251" s="1216"/>
      <c r="C251" s="200"/>
      <c r="D251" s="1213" t="s">
        <v>33</v>
      </c>
      <c r="E251" s="1416" t="s">
        <v>338</v>
      </c>
      <c r="F251" s="1224"/>
      <c r="G251" s="497"/>
      <c r="H251" s="41" t="s">
        <v>23</v>
      </c>
      <c r="I251" s="251"/>
      <c r="J251" s="50"/>
      <c r="K251" s="50">
        <v>30</v>
      </c>
      <c r="L251" s="50">
        <v>30</v>
      </c>
      <c r="M251" s="1230" t="s">
        <v>252</v>
      </c>
      <c r="N251" s="117"/>
      <c r="O251" s="229"/>
      <c r="P251" s="117">
        <v>10</v>
      </c>
      <c r="Q251" s="122">
        <v>10</v>
      </c>
      <c r="R251" s="188"/>
    </row>
    <row r="252" spans="1:18" ht="12.75" customHeight="1" x14ac:dyDescent="0.2">
      <c r="A252" s="1217"/>
      <c r="B252" s="1216"/>
      <c r="C252" s="199"/>
      <c r="D252" s="1221"/>
      <c r="E252" s="1463"/>
      <c r="F252" s="329"/>
      <c r="G252" s="497"/>
      <c r="H252" s="1239"/>
      <c r="I252" s="78"/>
      <c r="J252" s="78"/>
      <c r="K252" s="78"/>
      <c r="L252" s="78"/>
      <c r="M252" s="123"/>
      <c r="N252" s="230"/>
      <c r="O252" s="313"/>
      <c r="P252" s="488"/>
      <c r="Q252" s="323"/>
      <c r="R252" s="188"/>
    </row>
    <row r="253" spans="1:18" ht="17.25" customHeight="1" x14ac:dyDescent="0.2">
      <c r="A253" s="1355"/>
      <c r="B253" s="1378"/>
      <c r="C253" s="1665"/>
      <c r="D253" s="1677" t="s">
        <v>143</v>
      </c>
      <c r="E253" s="1455" t="s">
        <v>207</v>
      </c>
      <c r="F253" s="1473" t="s">
        <v>173</v>
      </c>
      <c r="G253" s="1596" t="s">
        <v>57</v>
      </c>
      <c r="H253" s="38" t="s">
        <v>23</v>
      </c>
      <c r="I253" s="41">
        <v>136.80000000000001</v>
      </c>
      <c r="J253" s="41">
        <f>140.7+5.6</f>
        <v>146.30000000000001</v>
      </c>
      <c r="K253" s="50">
        <v>146.30000000000001</v>
      </c>
      <c r="L253" s="50">
        <v>146.30000000000001</v>
      </c>
      <c r="M253" s="898" t="s">
        <v>61</v>
      </c>
      <c r="N253" s="144">
        <v>18</v>
      </c>
      <c r="O253" s="223">
        <v>18</v>
      </c>
      <c r="P253" s="320">
        <v>18</v>
      </c>
      <c r="Q253" s="434">
        <v>18</v>
      </c>
    </row>
    <row r="254" spans="1:18" ht="29.25" customHeight="1" x14ac:dyDescent="0.2">
      <c r="A254" s="1355"/>
      <c r="B254" s="1378"/>
      <c r="C254" s="1665"/>
      <c r="D254" s="1678"/>
      <c r="E254" s="1463"/>
      <c r="F254" s="1474"/>
      <c r="G254" s="1599"/>
      <c r="H254" s="45"/>
      <c r="I254" s="37"/>
      <c r="J254" s="90"/>
      <c r="K254" s="37"/>
      <c r="L254" s="37"/>
      <c r="M254" s="123" t="s">
        <v>71</v>
      </c>
      <c r="N254" s="15">
        <v>7</v>
      </c>
      <c r="O254" s="164">
        <v>7</v>
      </c>
      <c r="P254" s="32">
        <v>7</v>
      </c>
      <c r="Q254" s="16">
        <v>7</v>
      </c>
    </row>
    <row r="255" spans="1:18" ht="14.25" customHeight="1" thickBot="1" x14ac:dyDescent="0.25">
      <c r="A255" s="44"/>
      <c r="B255" s="566"/>
      <c r="C255" s="209"/>
      <c r="D255" s="209"/>
      <c r="E255" s="210"/>
      <c r="F255" s="211"/>
      <c r="G255" s="212"/>
      <c r="H255" s="83" t="s">
        <v>5</v>
      </c>
      <c r="I255" s="121">
        <f>SUM(I229:I254)</f>
        <v>1308.4000000000001</v>
      </c>
      <c r="J255" s="121">
        <f>SUM(J229:J254)</f>
        <v>1647.4</v>
      </c>
      <c r="K255" s="121">
        <f>SUM(K229:K254)</f>
        <v>1553.1</v>
      </c>
      <c r="L255" s="121">
        <f>SUM(L229:L254)</f>
        <v>1398.7</v>
      </c>
      <c r="M255" s="213"/>
      <c r="N255" s="314"/>
      <c r="O255" s="314"/>
      <c r="P255" s="314"/>
      <c r="Q255" s="527"/>
    </row>
    <row r="256" spans="1:18" ht="19.5" customHeight="1" x14ac:dyDescent="0.2">
      <c r="A256" s="258" t="s">
        <v>4</v>
      </c>
      <c r="B256" s="266" t="s">
        <v>26</v>
      </c>
      <c r="C256" s="267" t="s">
        <v>6</v>
      </c>
      <c r="D256" s="749"/>
      <c r="E256" s="1483" t="s">
        <v>308</v>
      </c>
      <c r="F256" s="1485"/>
      <c r="G256" s="268"/>
      <c r="H256" s="244"/>
      <c r="I256" s="244"/>
      <c r="J256" s="269"/>
      <c r="K256" s="244"/>
      <c r="L256" s="269"/>
      <c r="M256" s="270"/>
      <c r="N256" s="109"/>
      <c r="O256" s="127"/>
      <c r="P256" s="130"/>
      <c r="Q256" s="131"/>
    </row>
    <row r="257" spans="1:17" ht="12" customHeight="1" x14ac:dyDescent="0.2">
      <c r="A257" s="255"/>
      <c r="B257" s="256"/>
      <c r="C257" s="254"/>
      <c r="D257" s="756"/>
      <c r="E257" s="1459"/>
      <c r="F257" s="1680"/>
      <c r="G257" s="237"/>
      <c r="H257" s="235"/>
      <c r="I257" s="235"/>
      <c r="J257" s="236"/>
      <c r="K257" s="235"/>
      <c r="L257" s="236"/>
      <c r="M257" s="470"/>
      <c r="N257" s="28"/>
      <c r="O257" s="93"/>
      <c r="P257" s="27"/>
      <c r="Q257" s="29"/>
    </row>
    <row r="258" spans="1:17" ht="15" customHeight="1" x14ac:dyDescent="0.2">
      <c r="A258" s="1481"/>
      <c r="B258" s="1482"/>
      <c r="C258" s="1665"/>
      <c r="D258" s="755" t="s">
        <v>4</v>
      </c>
      <c r="E258" s="1659" t="s">
        <v>157</v>
      </c>
      <c r="F258" s="772" t="s">
        <v>331</v>
      </c>
      <c r="G258" s="1596" t="s">
        <v>334</v>
      </c>
      <c r="H258" s="377" t="s">
        <v>41</v>
      </c>
      <c r="I258" s="377">
        <v>420</v>
      </c>
      <c r="J258" s="54">
        <v>628.20000000000005</v>
      </c>
      <c r="K258" s="377"/>
      <c r="L258" s="54"/>
      <c r="M258" s="1477" t="s">
        <v>147</v>
      </c>
      <c r="N258" s="643"/>
      <c r="O258" s="644">
        <v>1</v>
      </c>
      <c r="P258" s="643"/>
      <c r="Q258" s="646"/>
    </row>
    <row r="259" spans="1:17" ht="14.25" customHeight="1" x14ac:dyDescent="0.2">
      <c r="A259" s="1481"/>
      <c r="B259" s="1482"/>
      <c r="C259" s="1665"/>
      <c r="D259" s="747"/>
      <c r="E259" s="1660"/>
      <c r="F259" s="781" t="s">
        <v>173</v>
      </c>
      <c r="G259" s="1569"/>
      <c r="H259" s="41" t="s">
        <v>62</v>
      </c>
      <c r="I259" s="41"/>
      <c r="J259" s="50">
        <f>393.9+31.3</f>
        <v>425.2</v>
      </c>
      <c r="K259" s="41"/>
      <c r="L259" s="50"/>
      <c r="M259" s="1478"/>
      <c r="N259" s="638"/>
      <c r="O259" s="600"/>
      <c r="P259" s="638"/>
      <c r="Q259" s="647"/>
    </row>
    <row r="260" spans="1:17" ht="25.5" customHeight="1" x14ac:dyDescent="0.2">
      <c r="A260" s="1481"/>
      <c r="B260" s="1482"/>
      <c r="C260" s="1665"/>
      <c r="D260" s="747"/>
      <c r="E260" s="1661"/>
      <c r="F260" s="1669" t="s">
        <v>300</v>
      </c>
      <c r="G260" s="1569"/>
      <c r="H260" s="41" t="s">
        <v>65</v>
      </c>
      <c r="I260" s="41"/>
      <c r="J260" s="50">
        <f>186.6-31.3</f>
        <v>155.30000000000001</v>
      </c>
      <c r="K260" s="41"/>
      <c r="L260" s="50"/>
      <c r="M260" s="626" t="s">
        <v>287</v>
      </c>
      <c r="N260" s="638"/>
      <c r="O260" s="645">
        <v>100</v>
      </c>
      <c r="P260" s="638"/>
      <c r="Q260" s="647"/>
    </row>
    <row r="261" spans="1:17" ht="17.25" customHeight="1" x14ac:dyDescent="0.2">
      <c r="A261" s="1481"/>
      <c r="B261" s="1482"/>
      <c r="C261" s="1665"/>
      <c r="D261" s="747"/>
      <c r="E261" s="1661"/>
      <c r="F261" s="1669"/>
      <c r="G261" s="1569"/>
      <c r="H261" s="41" t="s">
        <v>23</v>
      </c>
      <c r="I261" s="41">
        <v>207</v>
      </c>
      <c r="J261" s="50"/>
      <c r="K261" s="41"/>
      <c r="L261" s="50"/>
      <c r="M261" s="706"/>
      <c r="N261" s="707"/>
      <c r="O261" s="708"/>
      <c r="P261" s="707"/>
      <c r="Q261" s="709"/>
    </row>
    <row r="262" spans="1:17" ht="18.75" customHeight="1" x14ac:dyDescent="0.2">
      <c r="A262" s="1481"/>
      <c r="B262" s="1482"/>
      <c r="C262" s="1665"/>
      <c r="D262" s="747"/>
      <c r="E262" s="1662"/>
      <c r="F262" s="1670"/>
      <c r="G262" s="1569"/>
      <c r="H262" s="43" t="s">
        <v>54</v>
      </c>
      <c r="I262" s="43">
        <v>277.3</v>
      </c>
      <c r="J262" s="89">
        <v>30</v>
      </c>
      <c r="K262" s="43"/>
      <c r="L262" s="89"/>
      <c r="M262" s="389"/>
      <c r="N262" s="191"/>
      <c r="O262" s="688"/>
      <c r="P262" s="191"/>
      <c r="Q262" s="309"/>
    </row>
    <row r="263" spans="1:17" ht="24.75" customHeight="1" x14ac:dyDescent="0.2">
      <c r="A263" s="633"/>
      <c r="B263" s="636"/>
      <c r="C263" s="642"/>
      <c r="D263" s="747"/>
      <c r="E263" s="1663" t="s">
        <v>324</v>
      </c>
      <c r="F263" s="729" t="s">
        <v>291</v>
      </c>
      <c r="G263" s="639"/>
      <c r="H263" s="41" t="s">
        <v>23</v>
      </c>
      <c r="I263" s="41"/>
      <c r="J263" s="50"/>
      <c r="K263" s="41">
        <v>574.5</v>
      </c>
      <c r="L263" s="50">
        <v>1478.9</v>
      </c>
      <c r="M263" s="626" t="s">
        <v>99</v>
      </c>
      <c r="N263" s="645"/>
      <c r="O263" s="637"/>
      <c r="P263" s="638">
        <v>20</v>
      </c>
      <c r="Q263" s="647">
        <v>80</v>
      </c>
    </row>
    <row r="264" spans="1:17" ht="15" customHeight="1" x14ac:dyDescent="0.2">
      <c r="A264" s="633"/>
      <c r="B264" s="636"/>
      <c r="C264" s="642"/>
      <c r="D264" s="756"/>
      <c r="E264" s="1664"/>
      <c r="F264" s="730"/>
      <c r="G264" s="639"/>
      <c r="H264" s="378"/>
      <c r="I264" s="378"/>
      <c r="J264" s="53"/>
      <c r="K264" s="378"/>
      <c r="L264" s="53"/>
      <c r="M264" s="421"/>
      <c r="N264" s="381"/>
      <c r="O264" s="32"/>
      <c r="P264" s="32"/>
      <c r="Q264" s="16"/>
    </row>
    <row r="265" spans="1:17" ht="24.75" customHeight="1" x14ac:dyDescent="0.2">
      <c r="A265" s="1481"/>
      <c r="B265" s="1482"/>
      <c r="C265" s="1665"/>
      <c r="D265" s="747" t="s">
        <v>6</v>
      </c>
      <c r="E265" s="1590" t="s">
        <v>144</v>
      </c>
      <c r="F265" s="782" t="s">
        <v>332</v>
      </c>
      <c r="G265" s="1569"/>
      <c r="H265" s="41" t="s">
        <v>23</v>
      </c>
      <c r="I265" s="41">
        <f>42.2</f>
        <v>42.2</v>
      </c>
      <c r="J265" s="50">
        <v>3.8</v>
      </c>
      <c r="K265" s="41">
        <v>3</v>
      </c>
      <c r="L265" s="50"/>
      <c r="M265" s="1477" t="s">
        <v>145</v>
      </c>
      <c r="N265" s="650"/>
      <c r="O265" s="650"/>
      <c r="P265" s="471">
        <v>1</v>
      </c>
      <c r="Q265" s="472"/>
    </row>
    <row r="266" spans="1:17" ht="15" customHeight="1" x14ac:dyDescent="0.2">
      <c r="A266" s="1481"/>
      <c r="B266" s="1482"/>
      <c r="C266" s="1665"/>
      <c r="D266" s="850"/>
      <c r="E266" s="1590"/>
      <c r="F266" s="856" t="s">
        <v>231</v>
      </c>
      <c r="G266" s="1569"/>
      <c r="H266" s="41" t="s">
        <v>54</v>
      </c>
      <c r="I266" s="41">
        <f>12.3+152</f>
        <v>164.3</v>
      </c>
      <c r="J266" s="50">
        <v>202.6</v>
      </c>
      <c r="K266" s="41"/>
      <c r="L266" s="50"/>
      <c r="M266" s="1741"/>
      <c r="N266" s="854"/>
      <c r="O266" s="853"/>
      <c r="P266" s="851"/>
      <c r="Q266" s="852"/>
    </row>
    <row r="267" spans="1:17" ht="16.5" customHeight="1" x14ac:dyDescent="0.2">
      <c r="A267" s="1481"/>
      <c r="B267" s="1482"/>
      <c r="C267" s="1665"/>
      <c r="D267" s="747"/>
      <c r="E267" s="1681"/>
      <c r="F267" s="1671" t="s">
        <v>299</v>
      </c>
      <c r="G267" s="1569"/>
      <c r="H267" s="41" t="s">
        <v>41</v>
      </c>
      <c r="I267" s="41">
        <v>499.1</v>
      </c>
      <c r="J267" s="50">
        <v>328.8</v>
      </c>
      <c r="K267" s="41">
        <v>27.3</v>
      </c>
      <c r="L267" s="50"/>
      <c r="M267" s="920" t="s">
        <v>124</v>
      </c>
      <c r="N267" s="600">
        <v>1</v>
      </c>
      <c r="O267" s="854">
        <v>1</v>
      </c>
      <c r="P267" s="853"/>
      <c r="Q267" s="855"/>
    </row>
    <row r="268" spans="1:17" ht="12" customHeight="1" x14ac:dyDescent="0.2">
      <c r="A268" s="176"/>
      <c r="B268" s="256"/>
      <c r="C268" s="208"/>
      <c r="D268" s="747"/>
      <c r="E268" s="1681"/>
      <c r="F268" s="1607"/>
      <c r="G268" s="279"/>
      <c r="H268" s="41"/>
      <c r="I268" s="41"/>
      <c r="J268" s="50"/>
      <c r="K268" s="41"/>
      <c r="L268" s="50"/>
      <c r="M268" s="421"/>
      <c r="N268" s="381"/>
      <c r="O268" s="15"/>
      <c r="P268" s="32"/>
      <c r="Q268" s="16"/>
    </row>
    <row r="269" spans="1:17" ht="14.25" customHeight="1" x14ac:dyDescent="0.2">
      <c r="A269" s="1355"/>
      <c r="B269" s="1378"/>
      <c r="C269" s="1665"/>
      <c r="D269" s="1677" t="s">
        <v>26</v>
      </c>
      <c r="E269" s="1365" t="s">
        <v>226</v>
      </c>
      <c r="F269" s="1682" t="s">
        <v>301</v>
      </c>
      <c r="G269" s="1569"/>
      <c r="H269" s="377" t="s">
        <v>23</v>
      </c>
      <c r="I269" s="377">
        <v>2.8</v>
      </c>
      <c r="J269" s="54"/>
      <c r="K269" s="377"/>
      <c r="L269" s="54"/>
      <c r="M269" s="500" t="s">
        <v>236</v>
      </c>
      <c r="N269" s="207"/>
      <c r="O269" s="119" t="s">
        <v>49</v>
      </c>
      <c r="P269" s="119"/>
      <c r="Q269" s="187"/>
    </row>
    <row r="270" spans="1:17" ht="14.25" customHeight="1" x14ac:dyDescent="0.2">
      <c r="A270" s="1355"/>
      <c r="B270" s="1378"/>
      <c r="C270" s="1665"/>
      <c r="D270" s="1684"/>
      <c r="E270" s="1366"/>
      <c r="F270" s="1683"/>
      <c r="G270" s="1569"/>
      <c r="H270" s="41" t="s">
        <v>54</v>
      </c>
      <c r="I270" s="41"/>
      <c r="J270" s="50">
        <v>0.7</v>
      </c>
      <c r="K270" s="41"/>
      <c r="L270" s="50"/>
      <c r="M270" s="624"/>
      <c r="N270" s="207"/>
      <c r="O270" s="320"/>
      <c r="P270" s="119"/>
      <c r="Q270" s="187"/>
    </row>
    <row r="271" spans="1:17" ht="18" customHeight="1" x14ac:dyDescent="0.2">
      <c r="A271" s="1355"/>
      <c r="B271" s="1378"/>
      <c r="C271" s="1665"/>
      <c r="D271" s="1678"/>
      <c r="E271" s="1406"/>
      <c r="F271" s="1490"/>
      <c r="G271" s="1599"/>
      <c r="H271" s="45" t="s">
        <v>365</v>
      </c>
      <c r="I271" s="378"/>
      <c r="J271" s="53">
        <v>4.3</v>
      </c>
      <c r="K271" s="37"/>
      <c r="L271" s="90"/>
      <c r="M271" s="14"/>
      <c r="N271" s="36"/>
      <c r="O271" s="32"/>
      <c r="P271" s="32"/>
      <c r="Q271" s="16"/>
    </row>
    <row r="272" spans="1:17" ht="14.25" customHeight="1" x14ac:dyDescent="0.2">
      <c r="A272" s="1355"/>
      <c r="B272" s="1378"/>
      <c r="C272" s="1665"/>
      <c r="D272" s="1677" t="s">
        <v>30</v>
      </c>
      <c r="E272" s="1365" t="s">
        <v>333</v>
      </c>
      <c r="F272" s="1682" t="s">
        <v>301</v>
      </c>
      <c r="G272" s="1569" t="s">
        <v>335</v>
      </c>
      <c r="H272" s="38" t="s">
        <v>41</v>
      </c>
      <c r="I272" s="377"/>
      <c r="J272" s="54">
        <v>40</v>
      </c>
      <c r="K272" s="377">
        <v>40</v>
      </c>
      <c r="L272" s="54"/>
      <c r="M272" s="500" t="s">
        <v>229</v>
      </c>
      <c r="N272" s="207"/>
      <c r="O272" s="320"/>
      <c r="P272" s="468" t="s">
        <v>49</v>
      </c>
      <c r="Q272" s="225"/>
    </row>
    <row r="273" spans="1:17" ht="13.5" customHeight="1" x14ac:dyDescent="0.2">
      <c r="A273" s="1355"/>
      <c r="B273" s="1378"/>
      <c r="C273" s="1665"/>
      <c r="D273" s="1684"/>
      <c r="E273" s="1366"/>
      <c r="F273" s="1683"/>
      <c r="G273" s="1569"/>
      <c r="H273" s="41"/>
      <c r="I273" s="41"/>
      <c r="J273" s="50"/>
      <c r="K273" s="41"/>
      <c r="L273" s="50"/>
      <c r="M273" s="500"/>
      <c r="N273" s="207"/>
      <c r="O273" s="501"/>
      <c r="P273" s="119"/>
      <c r="Q273" s="187"/>
    </row>
    <row r="274" spans="1:17" ht="14.25" customHeight="1" x14ac:dyDescent="0.2">
      <c r="A274" s="1355"/>
      <c r="B274" s="1378"/>
      <c r="C274" s="1665"/>
      <c r="D274" s="1678"/>
      <c r="E274" s="1367"/>
      <c r="F274" s="1490"/>
      <c r="G274" s="1599"/>
      <c r="H274" s="45"/>
      <c r="I274" s="378"/>
      <c r="J274" s="53"/>
      <c r="K274" s="37"/>
      <c r="L274" s="90"/>
      <c r="M274" s="14"/>
      <c r="N274" s="36"/>
      <c r="O274" s="32"/>
      <c r="P274" s="32"/>
      <c r="Q274" s="16"/>
    </row>
    <row r="275" spans="1:17" ht="29.25" customHeight="1" x14ac:dyDescent="0.2">
      <c r="A275" s="1355"/>
      <c r="B275" s="1378"/>
      <c r="C275" s="1665"/>
      <c r="D275" s="1677" t="s">
        <v>31</v>
      </c>
      <c r="E275" s="1365" t="s">
        <v>163</v>
      </c>
      <c r="F275" s="1693" t="s">
        <v>321</v>
      </c>
      <c r="G275" s="1596" t="s">
        <v>150</v>
      </c>
      <c r="H275" s="377" t="s">
        <v>62</v>
      </c>
      <c r="I275" s="377">
        <v>12</v>
      </c>
      <c r="J275" s="54">
        <v>22</v>
      </c>
      <c r="K275" s="377">
        <v>22</v>
      </c>
      <c r="L275" s="54">
        <v>22</v>
      </c>
      <c r="M275" s="672" t="s">
        <v>170</v>
      </c>
      <c r="N275" s="901">
        <v>8</v>
      </c>
      <c r="O275" s="295">
        <v>8</v>
      </c>
      <c r="P275" s="612">
        <v>8</v>
      </c>
      <c r="Q275" s="171">
        <v>8</v>
      </c>
    </row>
    <row r="276" spans="1:17" ht="27.75" customHeight="1" x14ac:dyDescent="0.2">
      <c r="A276" s="1355"/>
      <c r="B276" s="1378"/>
      <c r="C276" s="1665"/>
      <c r="D276" s="1684"/>
      <c r="E276" s="1366"/>
      <c r="F276" s="1694"/>
      <c r="G276" s="1599"/>
      <c r="H276" s="378"/>
      <c r="I276" s="376"/>
      <c r="J276" s="53"/>
      <c r="K276" s="378"/>
      <c r="L276" s="53"/>
      <c r="M276" s="14" t="s">
        <v>409</v>
      </c>
      <c r="N276" s="99"/>
      <c r="O276" s="32">
        <v>6</v>
      </c>
      <c r="P276" s="15"/>
      <c r="Q276" s="16"/>
    </row>
    <row r="277" spans="1:17" ht="14.25" customHeight="1" x14ac:dyDescent="0.2">
      <c r="A277" s="1355"/>
      <c r="B277" s="1378"/>
      <c r="C277" s="1665"/>
      <c r="D277" s="1677"/>
      <c r="E277" s="1557" t="s">
        <v>121</v>
      </c>
      <c r="F277" s="1695" t="s">
        <v>96</v>
      </c>
      <c r="G277" s="1621" t="s">
        <v>334</v>
      </c>
      <c r="H277" s="143" t="s">
        <v>23</v>
      </c>
      <c r="I277" s="143">
        <v>14.7</v>
      </c>
      <c r="J277" s="398"/>
      <c r="K277" s="143"/>
      <c r="L277" s="398"/>
      <c r="M277" s="534" t="s">
        <v>146</v>
      </c>
      <c r="N277" s="535">
        <v>6</v>
      </c>
      <c r="O277" s="507"/>
      <c r="P277" s="510"/>
      <c r="Q277" s="647"/>
    </row>
    <row r="278" spans="1:17" ht="12.75" customHeight="1" x14ac:dyDescent="0.2">
      <c r="A278" s="1355"/>
      <c r="B278" s="1378"/>
      <c r="C278" s="1665"/>
      <c r="D278" s="1684"/>
      <c r="E278" s="1698"/>
      <c r="F278" s="1696"/>
      <c r="G278" s="1621"/>
      <c r="H278" s="143" t="s">
        <v>167</v>
      </c>
      <c r="I278" s="143">
        <v>83.3</v>
      </c>
      <c r="J278" s="398"/>
      <c r="K278" s="143"/>
      <c r="L278" s="398"/>
      <c r="M278" s="534"/>
      <c r="N278" s="535"/>
      <c r="O278" s="507"/>
      <c r="P278" s="507"/>
      <c r="Q278" s="508"/>
    </row>
    <row r="279" spans="1:17" ht="13.5" customHeight="1" x14ac:dyDescent="0.2">
      <c r="A279" s="1355"/>
      <c r="B279" s="1378"/>
      <c r="C279" s="1665"/>
      <c r="D279" s="1678"/>
      <c r="E279" s="1699"/>
      <c r="F279" s="1697"/>
      <c r="G279" s="1692"/>
      <c r="H279" s="432"/>
      <c r="I279" s="432"/>
      <c r="J279" s="424"/>
      <c r="K279" s="432"/>
      <c r="L279" s="424"/>
      <c r="M279" s="421"/>
      <c r="N279" s="536"/>
      <c r="O279" s="32"/>
      <c r="P279" s="32"/>
      <c r="Q279" s="16"/>
    </row>
    <row r="280" spans="1:17" ht="39.75" customHeight="1" x14ac:dyDescent="0.2">
      <c r="A280" s="503"/>
      <c r="B280" s="504"/>
      <c r="C280" s="509"/>
      <c r="D280" s="493"/>
      <c r="E280" s="528" t="s">
        <v>98</v>
      </c>
      <c r="F280" s="537" t="s">
        <v>127</v>
      </c>
      <c r="G280" s="529" t="s">
        <v>150</v>
      </c>
      <c r="H280" s="525" t="s">
        <v>65</v>
      </c>
      <c r="I280" s="525">
        <v>24.2</v>
      </c>
      <c r="J280" s="524"/>
      <c r="K280" s="525"/>
      <c r="L280" s="524"/>
      <c r="M280" s="526" t="s">
        <v>72</v>
      </c>
      <c r="N280" s="530">
        <v>1</v>
      </c>
      <c r="O280" s="531"/>
      <c r="P280" s="531"/>
      <c r="Q280" s="532"/>
    </row>
    <row r="281" spans="1:17" ht="14.25" customHeight="1" thickBot="1" x14ac:dyDescent="0.25">
      <c r="A281" s="44"/>
      <c r="B281" s="257"/>
      <c r="C281" s="209"/>
      <c r="D281" s="209"/>
      <c r="E281" s="210"/>
      <c r="F281" s="211"/>
      <c r="G281" s="212"/>
      <c r="H281" s="83" t="s">
        <v>5</v>
      </c>
      <c r="I281" s="121">
        <f>SUM(I258:I280)</f>
        <v>1746.9</v>
      </c>
      <c r="J281" s="121">
        <f>SUM(J258:J280)</f>
        <v>1840.9</v>
      </c>
      <c r="K281" s="121">
        <f>SUM(K258:K280)</f>
        <v>666.8</v>
      </c>
      <c r="L281" s="121">
        <f>SUM(L258:L280)</f>
        <v>1500.9</v>
      </c>
      <c r="M281" s="213"/>
      <c r="N281" s="314"/>
      <c r="O281" s="314"/>
      <c r="P281" s="314"/>
      <c r="Q281" s="527"/>
    </row>
    <row r="282" spans="1:17" ht="14.25" customHeight="1" thickBot="1" x14ac:dyDescent="0.25">
      <c r="A282" s="57" t="s">
        <v>4</v>
      </c>
      <c r="B282" s="48" t="s">
        <v>26</v>
      </c>
      <c r="C282" s="1431" t="s">
        <v>7</v>
      </c>
      <c r="D282" s="1431"/>
      <c r="E282" s="1431"/>
      <c r="F282" s="1431"/>
      <c r="G282" s="1431"/>
      <c r="H282" s="1494"/>
      <c r="I282" s="124">
        <f>I281+I255</f>
        <v>3055.3</v>
      </c>
      <c r="J282" s="124">
        <f>J281+J255</f>
        <v>3488.3</v>
      </c>
      <c r="K282" s="124">
        <f>K281+K255</f>
        <v>2219.9</v>
      </c>
      <c r="L282" s="124">
        <f>L281+L255</f>
        <v>2899.6</v>
      </c>
      <c r="M282" s="1495"/>
      <c r="N282" s="1464"/>
      <c r="O282" s="1464"/>
      <c r="P282" s="1464"/>
      <c r="Q282" s="1465"/>
    </row>
    <row r="283" spans="1:17" ht="14.25" customHeight="1" thickBot="1" x14ac:dyDescent="0.25">
      <c r="A283" s="57" t="s">
        <v>4</v>
      </c>
      <c r="B283" s="1496" t="s">
        <v>8</v>
      </c>
      <c r="C283" s="1497"/>
      <c r="D283" s="1497"/>
      <c r="E283" s="1497"/>
      <c r="F283" s="1497"/>
      <c r="G283" s="1497"/>
      <c r="H283" s="1498"/>
      <c r="I283" s="86">
        <f>I282+I226+I172</f>
        <v>28117.9</v>
      </c>
      <c r="J283" s="86">
        <f>J282+J226+J172</f>
        <v>29825.200000000001</v>
      </c>
      <c r="K283" s="86">
        <f>K282+K226+K172</f>
        <v>36810</v>
      </c>
      <c r="L283" s="86">
        <f>L282+L226+L172</f>
        <v>33725.1</v>
      </c>
      <c r="M283" s="1499"/>
      <c r="N283" s="1499"/>
      <c r="O283" s="1499"/>
      <c r="P283" s="1499"/>
      <c r="Q283" s="1500"/>
    </row>
    <row r="284" spans="1:17" ht="14.25" customHeight="1" thickBot="1" x14ac:dyDescent="0.25">
      <c r="A284" s="62" t="s">
        <v>32</v>
      </c>
      <c r="B284" s="1501" t="s">
        <v>51</v>
      </c>
      <c r="C284" s="1502"/>
      <c r="D284" s="1502"/>
      <c r="E284" s="1502"/>
      <c r="F284" s="1502"/>
      <c r="G284" s="1502"/>
      <c r="H284" s="1503"/>
      <c r="I284" s="87">
        <f>SUM(I283)</f>
        <v>28117.9</v>
      </c>
      <c r="J284" s="87">
        <f>SUM(J283)</f>
        <v>29825.200000000001</v>
      </c>
      <c r="K284" s="87">
        <f t="shared" ref="K284:L284" si="2">SUM(K283)</f>
        <v>36810</v>
      </c>
      <c r="L284" s="87">
        <f t="shared" si="2"/>
        <v>33725.1</v>
      </c>
      <c r="M284" s="1504"/>
      <c r="N284" s="1504"/>
      <c r="O284" s="1504"/>
      <c r="P284" s="1504"/>
      <c r="Q284" s="1505"/>
    </row>
    <row r="285" spans="1:17" ht="14.25" customHeight="1" x14ac:dyDescent="0.2">
      <c r="A285" s="1536" t="s">
        <v>410</v>
      </c>
      <c r="B285" s="1536"/>
      <c r="C285" s="1536"/>
      <c r="D285" s="1536"/>
      <c r="E285" s="1536"/>
      <c r="F285" s="1536"/>
      <c r="G285" s="1536"/>
      <c r="H285" s="1536"/>
      <c r="I285" s="1536"/>
      <c r="J285" s="1536"/>
      <c r="K285" s="1536"/>
      <c r="L285" s="412"/>
      <c r="M285" s="63"/>
      <c r="N285" s="63"/>
      <c r="O285" s="63"/>
      <c r="P285" s="63"/>
      <c r="Q285" s="63"/>
    </row>
    <row r="286" spans="1:17" s="4" customFormat="1" ht="12" customHeight="1" x14ac:dyDescent="0.2">
      <c r="A286" s="331"/>
      <c r="B286" s="305"/>
      <c r="C286" s="305"/>
      <c r="D286" s="779"/>
      <c r="E286" s="305"/>
      <c r="F286" s="773"/>
      <c r="G286" s="305"/>
      <c r="H286" s="305"/>
      <c r="I286" s="305"/>
      <c r="J286" s="305"/>
      <c r="K286" s="305"/>
      <c r="L286" s="305"/>
      <c r="M286" s="305"/>
      <c r="N286" s="331"/>
      <c r="O286" s="331"/>
      <c r="P286" s="331"/>
      <c r="Q286" s="331"/>
    </row>
    <row r="287" spans="1:17" s="5" customFormat="1" ht="15" customHeight="1" thickBot="1" x14ac:dyDescent="0.25">
      <c r="A287" s="1537" t="s">
        <v>12</v>
      </c>
      <c r="B287" s="1537"/>
      <c r="C287" s="1537"/>
      <c r="D287" s="1537"/>
      <c r="E287" s="1537"/>
      <c r="F287" s="1537"/>
      <c r="G287" s="1537"/>
      <c r="H287" s="1537"/>
      <c r="I287" s="94"/>
      <c r="J287" s="94"/>
      <c r="K287" s="94"/>
      <c r="L287" s="94"/>
      <c r="M287" s="63"/>
      <c r="N287" s="63"/>
      <c r="O287" s="63"/>
      <c r="P287" s="63"/>
      <c r="Q287" s="63"/>
    </row>
    <row r="288" spans="1:17" ht="62.25" customHeight="1" thickBot="1" x14ac:dyDescent="0.25">
      <c r="A288" s="1538" t="s">
        <v>9</v>
      </c>
      <c r="B288" s="1539"/>
      <c r="C288" s="1539"/>
      <c r="D288" s="1539"/>
      <c r="E288" s="1539"/>
      <c r="F288" s="1539"/>
      <c r="G288" s="1539"/>
      <c r="H288" s="1540"/>
      <c r="I288" s="306" t="s">
        <v>303</v>
      </c>
      <c r="J288" s="306" t="s">
        <v>243</v>
      </c>
      <c r="K288" s="318" t="s">
        <v>168</v>
      </c>
      <c r="L288" s="318" t="s">
        <v>244</v>
      </c>
      <c r="M288" s="10"/>
      <c r="N288" s="10"/>
      <c r="O288" s="10"/>
      <c r="P288" s="10"/>
      <c r="Q288" s="10"/>
    </row>
    <row r="289" spans="1:17" ht="14.25" customHeight="1" x14ac:dyDescent="0.2">
      <c r="A289" s="1541" t="s">
        <v>13</v>
      </c>
      <c r="B289" s="1542"/>
      <c r="C289" s="1542"/>
      <c r="D289" s="1542"/>
      <c r="E289" s="1542"/>
      <c r="F289" s="1542"/>
      <c r="G289" s="1542"/>
      <c r="H289" s="1543"/>
      <c r="I289" s="307">
        <f>I290+I298+I299+I300+I297</f>
        <v>25410</v>
      </c>
      <c r="J289" s="307">
        <f>J290+J298+J299+J300+J297</f>
        <v>25889.5</v>
      </c>
      <c r="K289" s="374">
        <f>K290+K298+K299+K300+K297</f>
        <v>28071.200000000001</v>
      </c>
      <c r="L289" s="374">
        <f>L290+L298+L299+L300+L297</f>
        <v>19310.400000000001</v>
      </c>
      <c r="M289" s="10"/>
      <c r="N289" s="10"/>
      <c r="O289" s="10"/>
      <c r="P289" s="10"/>
      <c r="Q289" s="10"/>
    </row>
    <row r="290" spans="1:17" ht="14.25" customHeight="1" x14ac:dyDescent="0.2">
      <c r="A290" s="1544" t="s">
        <v>73</v>
      </c>
      <c r="B290" s="1545"/>
      <c r="C290" s="1545"/>
      <c r="D290" s="1545"/>
      <c r="E290" s="1545"/>
      <c r="F290" s="1545"/>
      <c r="G290" s="1545"/>
      <c r="H290" s="1546"/>
      <c r="I290" s="308">
        <f>SUM(I291:I295)</f>
        <v>19721</v>
      </c>
      <c r="J290" s="308">
        <f>SUM(J291:J296)</f>
        <v>15233.7</v>
      </c>
      <c r="K290" s="308">
        <f t="shared" ref="K290:L290" si="3">SUM(K291:K296)</f>
        <v>22586.6</v>
      </c>
      <c r="L290" s="373">
        <f t="shared" si="3"/>
        <v>13511.2</v>
      </c>
      <c r="M290" s="10"/>
      <c r="N290" s="10"/>
      <c r="O290" s="10"/>
      <c r="P290" s="10"/>
      <c r="Q290" s="10"/>
    </row>
    <row r="291" spans="1:17" ht="14.25" customHeight="1" x14ac:dyDescent="0.2">
      <c r="A291" s="1491" t="s">
        <v>18</v>
      </c>
      <c r="B291" s="1492"/>
      <c r="C291" s="1492"/>
      <c r="D291" s="1492"/>
      <c r="E291" s="1492"/>
      <c r="F291" s="1492"/>
      <c r="G291" s="1492"/>
      <c r="H291" s="1493"/>
      <c r="I291" s="1174">
        <f>SUMIF(H25:H284,"SB",I25:I284)</f>
        <v>8598.7999999999993</v>
      </c>
      <c r="J291" s="1174">
        <f>SUMIF(H25:H284,"SB",J25:J284)</f>
        <v>7325.7</v>
      </c>
      <c r="K291" s="1174">
        <f>SUMIF(H25:H284,"SB",K25:K284)</f>
        <v>15938.4</v>
      </c>
      <c r="L291" s="1174">
        <f>SUMIF(H25:H284,"SB",L25:L284)</f>
        <v>12027.6</v>
      </c>
      <c r="M291" s="34"/>
      <c r="N291" s="34"/>
      <c r="O291" s="10"/>
      <c r="P291" s="10"/>
      <c r="Q291" s="10"/>
    </row>
    <row r="292" spans="1:17" ht="14.25" customHeight="1" x14ac:dyDescent="0.2">
      <c r="A292" s="1506" t="s">
        <v>63</v>
      </c>
      <c r="B292" s="1507"/>
      <c r="C292" s="1507"/>
      <c r="D292" s="1507"/>
      <c r="E292" s="1507"/>
      <c r="F292" s="1507"/>
      <c r="G292" s="1507"/>
      <c r="H292" s="1508"/>
      <c r="I292" s="1174">
        <f>SUMIF(H25:H284,"SB(VR)",I25:I284)</f>
        <v>1770.6</v>
      </c>
      <c r="J292" s="1174">
        <f>SUMIF(H25:H284,"SB(VR)",J25:J284)</f>
        <v>1900</v>
      </c>
      <c r="K292" s="1174">
        <f>SUMIF(H25:H284,"SB(VR)",K25:K284)</f>
        <v>1218</v>
      </c>
      <c r="L292" s="1174">
        <f>SUMIF(H25:H284,"SB(VR)",L25:L284)</f>
        <v>1483.6</v>
      </c>
      <c r="M292" s="10"/>
      <c r="N292" s="10"/>
      <c r="O292" s="10"/>
      <c r="P292" s="10"/>
      <c r="Q292" s="10"/>
    </row>
    <row r="293" spans="1:17" ht="14.25" customHeight="1" x14ac:dyDescent="0.2">
      <c r="A293" s="1525" t="s">
        <v>120</v>
      </c>
      <c r="B293" s="1526"/>
      <c r="C293" s="1526"/>
      <c r="D293" s="1526"/>
      <c r="E293" s="1526"/>
      <c r="F293" s="1526"/>
      <c r="G293" s="1526"/>
      <c r="H293" s="1527"/>
      <c r="I293" s="37">
        <f>SUMIF(H25:H282,"SB(ES)",I25:I282)</f>
        <v>4485.2</v>
      </c>
      <c r="J293" s="37">
        <f>SUMIF(H25:H282,"SB(ES)",J25:J282)</f>
        <v>1003.7</v>
      </c>
      <c r="K293" s="37">
        <f>SUMIF(H25:H282,"SB(ES)",K25:K282)</f>
        <v>430.2</v>
      </c>
      <c r="L293" s="37">
        <f>SUMIF(H25:H282,"SB(ES)",L25:L282)</f>
        <v>0</v>
      </c>
      <c r="M293" s="10"/>
      <c r="N293" s="10"/>
      <c r="O293" s="10"/>
      <c r="P293" s="10"/>
      <c r="Q293" s="10"/>
    </row>
    <row r="294" spans="1:17" ht="14.25" customHeight="1" x14ac:dyDescent="0.2">
      <c r="A294" s="1525" t="s">
        <v>181</v>
      </c>
      <c r="B294" s="1526"/>
      <c r="C294" s="1526"/>
      <c r="D294" s="1526"/>
      <c r="E294" s="1526"/>
      <c r="F294" s="1526"/>
      <c r="G294" s="1526"/>
      <c r="H294" s="1527"/>
      <c r="I294" s="37">
        <f>SUMIF(H25:H282,"SB(VB)",I25:I282)</f>
        <v>0</v>
      </c>
      <c r="J294" s="37">
        <f>SUMIF(H25:H282,"SB(VB)",J25:J282)</f>
        <v>5000</v>
      </c>
      <c r="K294" s="37">
        <f>SUMIF(H25:H282,"SB(VB)",K25:K282)</f>
        <v>5000</v>
      </c>
      <c r="L294" s="37">
        <f>SUMIF(H25:H282,"SB(VB)",L25:L282)</f>
        <v>0</v>
      </c>
      <c r="M294" s="10"/>
      <c r="N294" s="10"/>
      <c r="O294" s="10"/>
      <c r="P294" s="10"/>
      <c r="Q294" s="10"/>
    </row>
    <row r="295" spans="1:17" ht="15.75" customHeight="1" x14ac:dyDescent="0.2">
      <c r="A295" s="1302" t="s">
        <v>208</v>
      </c>
      <c r="B295" s="1531"/>
      <c r="C295" s="1531"/>
      <c r="D295" s="1531"/>
      <c r="E295" s="1531"/>
      <c r="F295" s="1531"/>
      <c r="G295" s="1531"/>
      <c r="H295" s="1532"/>
      <c r="I295" s="37">
        <f>SUMIF(H25:H284,"SB(KPP)",I25:I284)</f>
        <v>4866.3999999999996</v>
      </c>
      <c r="J295" s="37">
        <f>SUMIF(H34:H284,"SB(KP)",J13:J284)</f>
        <v>0</v>
      </c>
      <c r="K295" s="37">
        <f>SUMIF(H34:H284,"SB(KP)",K13:K284)</f>
        <v>0</v>
      </c>
      <c r="L295" s="37">
        <f>SUMIF(H34:H284,"SB(KP)",L13:L284)</f>
        <v>0</v>
      </c>
      <c r="M295" s="10"/>
      <c r="N295" s="10"/>
      <c r="O295" s="10"/>
      <c r="P295" s="10"/>
      <c r="Q295" s="10"/>
    </row>
    <row r="296" spans="1:17" ht="27" customHeight="1" x14ac:dyDescent="0.2">
      <c r="A296" s="1302" t="s">
        <v>366</v>
      </c>
      <c r="B296" s="1531"/>
      <c r="C296" s="1531"/>
      <c r="D296" s="1531"/>
      <c r="E296" s="1531"/>
      <c r="F296" s="1531"/>
      <c r="G296" s="1531"/>
      <c r="H296" s="1532"/>
      <c r="I296" s="37">
        <f>SUMIF(H26:H285,"SB(ESA)",I26:I285)</f>
        <v>0</v>
      </c>
      <c r="J296" s="37">
        <f>SUMIF(H25:H285,"SB(ESA)",J25:J285)</f>
        <v>4.3</v>
      </c>
      <c r="K296" s="37">
        <f>SUMIF(H26:H285,"SB(ESA)",K26:K285)</f>
        <v>0</v>
      </c>
      <c r="L296" s="37">
        <f>SUMIF(H26:H285,"SB(ESA)",L26:L285)</f>
        <v>0</v>
      </c>
      <c r="M296" s="10"/>
      <c r="N296" s="10"/>
      <c r="O296" s="10"/>
      <c r="P296" s="10"/>
      <c r="Q296" s="10"/>
    </row>
    <row r="297" spans="1:17" ht="15.75" customHeight="1" x14ac:dyDescent="0.2">
      <c r="A297" s="1516" t="s">
        <v>209</v>
      </c>
      <c r="B297" s="1533"/>
      <c r="C297" s="1533"/>
      <c r="D297" s="1533"/>
      <c r="E297" s="1533"/>
      <c r="F297" s="1533"/>
      <c r="G297" s="1533"/>
      <c r="H297" s="1534"/>
      <c r="I297" s="151">
        <f>SUMIF(H34:H284,"SB(KP)",I34:I284)</f>
        <v>0</v>
      </c>
      <c r="J297" s="151">
        <f>SUMIF(H25:H284,"SB(KPP)",J25:J284)</f>
        <v>5583.2</v>
      </c>
      <c r="K297" s="151">
        <f>SUMIF(H25:H284,"SB(KPP)",K25:K284)</f>
        <v>5453.3</v>
      </c>
      <c r="L297" s="151">
        <f>SUMIF(H25:H284,"SB(KPP)",L25:L284)</f>
        <v>5767.9</v>
      </c>
      <c r="M297" s="10"/>
      <c r="N297" s="10"/>
      <c r="O297" s="10"/>
      <c r="P297" s="10"/>
      <c r="Q297" s="10"/>
    </row>
    <row r="298" spans="1:17" ht="14.25" customHeight="1" x14ac:dyDescent="0.2">
      <c r="A298" s="1535" t="s">
        <v>76</v>
      </c>
      <c r="B298" s="1517"/>
      <c r="C298" s="1517"/>
      <c r="D298" s="1517"/>
      <c r="E298" s="1517"/>
      <c r="F298" s="1517"/>
      <c r="G298" s="1517"/>
      <c r="H298" s="1518"/>
      <c r="I298" s="151">
        <f>SUMIF(H25:H283,"SB(VRL)",I25:I283)</f>
        <v>901</v>
      </c>
      <c r="J298" s="151">
        <f>SUMIF(H25:H283,"SB(VRL)",J25:J283)</f>
        <v>270.89999999999998</v>
      </c>
      <c r="K298" s="151">
        <f>SUMIF(H25:H283,"SB(VRL)",K25:K283)</f>
        <v>31.3</v>
      </c>
      <c r="L298" s="151">
        <f>SUMIF(H25:H283,"SB(VRL)",L25:L283)</f>
        <v>31.3</v>
      </c>
      <c r="M298" s="10"/>
      <c r="N298" s="10"/>
      <c r="O298" s="10"/>
      <c r="P298" s="10"/>
      <c r="Q298" s="10"/>
    </row>
    <row r="299" spans="1:17" ht="14.25" customHeight="1" x14ac:dyDescent="0.2">
      <c r="A299" s="1516" t="s">
        <v>77</v>
      </c>
      <c r="B299" s="1517"/>
      <c r="C299" s="1517"/>
      <c r="D299" s="1517"/>
      <c r="E299" s="1517"/>
      <c r="F299" s="1517"/>
      <c r="G299" s="1517"/>
      <c r="H299" s="1518"/>
      <c r="I299" s="151">
        <f>SUMIF(H25:H284,"SB(ŽPL)",I25:I284)</f>
        <v>480.6</v>
      </c>
      <c r="J299" s="151">
        <f>SUMIF(H25:H284,"SB(ŽPL)",J25:J284)</f>
        <v>744.1</v>
      </c>
      <c r="K299" s="151">
        <f>SUMIF(H34:H284,"SB(ŽPL)",K34:K284)</f>
        <v>0</v>
      </c>
      <c r="L299" s="151">
        <f>SUMIF(H34:H284,"SB(ŽPL)",L34:L284)</f>
        <v>0</v>
      </c>
      <c r="M299" s="10"/>
      <c r="N299" s="10"/>
      <c r="O299" s="10"/>
      <c r="P299" s="10"/>
      <c r="Q299" s="10"/>
    </row>
    <row r="300" spans="1:17" ht="14.25" customHeight="1" x14ac:dyDescent="0.2">
      <c r="A300" s="1519" t="s">
        <v>128</v>
      </c>
      <c r="B300" s="1520"/>
      <c r="C300" s="1520"/>
      <c r="D300" s="1520"/>
      <c r="E300" s="1520"/>
      <c r="F300" s="1520"/>
      <c r="G300" s="1520"/>
      <c r="H300" s="1521"/>
      <c r="I300" s="151">
        <f>SUMIF(H25:H284,"SB(L)",I25:I284)</f>
        <v>4307.3999999999996</v>
      </c>
      <c r="J300" s="151">
        <f>SUMIF(H25:H284,"SB(L)",J25:J284)</f>
        <v>4057.6</v>
      </c>
      <c r="K300" s="151">
        <f>SUMIF(H25:H284,"SB(L)",K25:K284)</f>
        <v>0</v>
      </c>
      <c r="L300" s="151">
        <f>SUMIF(H25:H284,"SB(L)",L25:L284)</f>
        <v>0</v>
      </c>
      <c r="M300" s="10"/>
      <c r="N300" s="10"/>
      <c r="O300" s="10"/>
      <c r="P300" s="10"/>
      <c r="Q300" s="10"/>
    </row>
    <row r="301" spans="1:17" ht="14.25" customHeight="1" x14ac:dyDescent="0.2">
      <c r="A301" s="1522" t="s">
        <v>14</v>
      </c>
      <c r="B301" s="1523"/>
      <c r="C301" s="1523"/>
      <c r="D301" s="1523"/>
      <c r="E301" s="1523"/>
      <c r="F301" s="1523"/>
      <c r="G301" s="1523"/>
      <c r="H301" s="1524"/>
      <c r="I301" s="152">
        <f>I303+I304+I305+I302</f>
        <v>2707.9</v>
      </c>
      <c r="J301" s="152">
        <f t="shared" ref="J301:L301" si="4">J303+J304+J305+J302</f>
        <v>3935.7</v>
      </c>
      <c r="K301" s="152">
        <f t="shared" si="4"/>
        <v>8738.7999999999993</v>
      </c>
      <c r="L301" s="152">
        <f t="shared" si="4"/>
        <v>14414.7</v>
      </c>
      <c r="M301" s="10"/>
      <c r="N301" s="10"/>
      <c r="O301" s="10"/>
      <c r="P301" s="10"/>
      <c r="Q301" s="10"/>
    </row>
    <row r="302" spans="1:17" ht="14.25" customHeight="1" x14ac:dyDescent="0.2">
      <c r="A302" s="1525" t="s">
        <v>19</v>
      </c>
      <c r="B302" s="1526"/>
      <c r="C302" s="1526"/>
      <c r="D302" s="1526"/>
      <c r="E302" s="1526"/>
      <c r="F302" s="1526"/>
      <c r="G302" s="1526"/>
      <c r="H302" s="1527"/>
      <c r="I302" s="37">
        <f>SUMIF(H25:H284,"ES",I25:I284)</f>
        <v>919.1</v>
      </c>
      <c r="J302" s="37">
        <f>SUMIF(H25:H284,"ES",J25:J284)</f>
        <v>1288.5999999999999</v>
      </c>
      <c r="K302" s="37">
        <f>SUMIF(H25:H284,"ES",K25:K284)</f>
        <v>2274.6</v>
      </c>
      <c r="L302" s="37">
        <f>SUMIF(H25:H284,"ES",L25:L284)</f>
        <v>1339.6</v>
      </c>
      <c r="M302" s="10"/>
      <c r="N302" s="10"/>
      <c r="O302" s="10"/>
      <c r="P302" s="10"/>
      <c r="Q302" s="10"/>
    </row>
    <row r="303" spans="1:17" ht="14.25" customHeight="1" x14ac:dyDescent="0.2">
      <c r="A303" s="1528" t="s">
        <v>20</v>
      </c>
      <c r="B303" s="1529"/>
      <c r="C303" s="1529"/>
      <c r="D303" s="1529"/>
      <c r="E303" s="1529"/>
      <c r="F303" s="1529"/>
      <c r="G303" s="1529"/>
      <c r="H303" s="1530"/>
      <c r="I303" s="37">
        <f>SUMIF(H25:H284,"KVJUD",I25:I284)</f>
        <v>1662.4</v>
      </c>
      <c r="J303" s="37">
        <f>SUMIF(H25:H284,"KVJUD",J25:J284)</f>
        <v>1542</v>
      </c>
      <c r="K303" s="37">
        <f>SUMIF(H25:H284,"KVJUD",K25:K284)</f>
        <v>0</v>
      </c>
      <c r="L303" s="37">
        <f>SUMIF(H25:H284,"KVJUD",L25:L284)</f>
        <v>0</v>
      </c>
      <c r="M303" s="34"/>
      <c r="N303" s="34"/>
      <c r="O303" s="34"/>
      <c r="P303" s="34"/>
      <c r="Q303" s="34"/>
    </row>
    <row r="304" spans="1:17" ht="14.25" customHeight="1" x14ac:dyDescent="0.2">
      <c r="A304" s="1506" t="s">
        <v>21</v>
      </c>
      <c r="B304" s="1507"/>
      <c r="C304" s="1507"/>
      <c r="D304" s="1507"/>
      <c r="E304" s="1507"/>
      <c r="F304" s="1507"/>
      <c r="G304" s="1507"/>
      <c r="H304" s="1508"/>
      <c r="I304" s="37">
        <f>SUMIF(H25:H284,"LRVB",I25:I284)</f>
        <v>0</v>
      </c>
      <c r="J304" s="37">
        <f>SUMIF(H25:H284,"LRVB",J25:J284)</f>
        <v>1000</v>
      </c>
      <c r="K304" s="37">
        <f>SUMIF(H25:H284,"LRVB",K25:K284)</f>
        <v>6350</v>
      </c>
      <c r="L304" s="37">
        <f>SUMIF(H25:H284,"LRVB",L25:L284)</f>
        <v>13015.1</v>
      </c>
      <c r="M304" s="34"/>
      <c r="N304" s="34"/>
      <c r="O304" s="34"/>
      <c r="P304" s="34"/>
      <c r="Q304" s="34"/>
    </row>
    <row r="305" spans="1:17" ht="14.25" customHeight="1" x14ac:dyDescent="0.2">
      <c r="A305" s="1509" t="s">
        <v>22</v>
      </c>
      <c r="B305" s="1510"/>
      <c r="C305" s="1510"/>
      <c r="D305" s="1510"/>
      <c r="E305" s="1510"/>
      <c r="F305" s="1510"/>
      <c r="G305" s="1510"/>
      <c r="H305" s="1511"/>
      <c r="I305" s="37">
        <f>SUMIF(H25:H284,"Kt",I25:I284)</f>
        <v>126.4</v>
      </c>
      <c r="J305" s="37">
        <f>SUMIF(H25:H284,"Kt",J25:J284)</f>
        <v>105.1</v>
      </c>
      <c r="K305" s="37">
        <f>SUMIF(H25:H284,"Kt",K25:K284)</f>
        <v>114.2</v>
      </c>
      <c r="L305" s="37">
        <f>SUMIF(H25:H284,"Kt",L25:L284)</f>
        <v>60</v>
      </c>
      <c r="M305" s="34"/>
      <c r="N305" s="34"/>
      <c r="O305" s="34"/>
      <c r="P305" s="34"/>
      <c r="Q305" s="34"/>
    </row>
    <row r="306" spans="1:17" ht="14.25" customHeight="1" thickBot="1" x14ac:dyDescent="0.25">
      <c r="A306" s="1512" t="s">
        <v>15</v>
      </c>
      <c r="B306" s="1513"/>
      <c r="C306" s="1513"/>
      <c r="D306" s="1513"/>
      <c r="E306" s="1513"/>
      <c r="F306" s="1513"/>
      <c r="G306" s="1513"/>
      <c r="H306" s="1514"/>
      <c r="I306" s="153">
        <f>SUM(I289,I301)</f>
        <v>28117.9</v>
      </c>
      <c r="J306" s="153">
        <f>SUM(J289,J301)</f>
        <v>29825.200000000001</v>
      </c>
      <c r="K306" s="153">
        <f>SUM(K289,K301)</f>
        <v>36810</v>
      </c>
      <c r="L306" s="153">
        <f>SUM(L289,L301)</f>
        <v>33725.1</v>
      </c>
      <c r="M306" s="34"/>
      <c r="N306" s="34"/>
      <c r="O306" s="34"/>
      <c r="P306" s="34"/>
      <c r="Q306" s="34"/>
    </row>
    <row r="307" spans="1:17" x14ac:dyDescent="0.2">
      <c r="H307" s="299"/>
      <c r="I307" s="300"/>
      <c r="J307" s="300"/>
      <c r="K307" s="300"/>
      <c r="L307" s="300"/>
      <c r="M307" s="4"/>
    </row>
    <row r="309" spans="1:17" x14ac:dyDescent="0.2">
      <c r="J309" s="10"/>
      <c r="K309" s="10"/>
      <c r="L309" s="10"/>
    </row>
    <row r="310" spans="1:17" x14ac:dyDescent="0.2">
      <c r="I310" s="10"/>
      <c r="J310" s="10"/>
      <c r="K310" s="10"/>
      <c r="L310" s="10"/>
    </row>
    <row r="311" spans="1:17" x14ac:dyDescent="0.2">
      <c r="I311" s="10"/>
      <c r="M311" s="10"/>
    </row>
    <row r="312" spans="1:17" x14ac:dyDescent="0.2">
      <c r="L312" s="10"/>
    </row>
    <row r="314" spans="1:17" x14ac:dyDescent="0.2">
      <c r="M314" s="10"/>
    </row>
    <row r="317" spans="1:17" x14ac:dyDescent="0.2">
      <c r="M317" s="10"/>
    </row>
    <row r="320" spans="1:17" x14ac:dyDescent="0.2">
      <c r="M320" s="10"/>
    </row>
  </sheetData>
  <mergeCells count="327">
    <mergeCell ref="M282:Q282"/>
    <mergeCell ref="Q242:Q243"/>
    <mergeCell ref="G269:G271"/>
    <mergeCell ref="E183:E185"/>
    <mergeCell ref="P242:P243"/>
    <mergeCell ref="C227:Q227"/>
    <mergeCell ref="G229:G237"/>
    <mergeCell ref="F229:F233"/>
    <mergeCell ref="M218:M220"/>
    <mergeCell ref="M226:Q226"/>
    <mergeCell ref="E201:E202"/>
    <mergeCell ref="G201:G202"/>
    <mergeCell ref="M201:M202"/>
    <mergeCell ref="D192:D194"/>
    <mergeCell ref="M222:M224"/>
    <mergeCell ref="M236:M237"/>
    <mergeCell ref="O242:O243"/>
    <mergeCell ref="E192:E194"/>
    <mergeCell ref="N242:N243"/>
    <mergeCell ref="G242:G243"/>
    <mergeCell ref="D218:D221"/>
    <mergeCell ref="M265:M266"/>
    <mergeCell ref="M258:M259"/>
    <mergeCell ref="G258:G262"/>
    <mergeCell ref="M245:M246"/>
    <mergeCell ref="E207:E209"/>
    <mergeCell ref="F192:F194"/>
    <mergeCell ref="M242:M243"/>
    <mergeCell ref="M208:M209"/>
    <mergeCell ref="G192:G194"/>
    <mergeCell ref="G218:G221"/>
    <mergeCell ref="L201:L202"/>
    <mergeCell ref="F199:F200"/>
    <mergeCell ref="G199:G200"/>
    <mergeCell ref="M199:M200"/>
    <mergeCell ref="A9:Q9"/>
    <mergeCell ref="M190:M191"/>
    <mergeCell ref="F190:F191"/>
    <mergeCell ref="C190:C191"/>
    <mergeCell ref="D190:D191"/>
    <mergeCell ref="C173:Q173"/>
    <mergeCell ref="M183:M185"/>
    <mergeCell ref="A190:A191"/>
    <mergeCell ref="B190:B191"/>
    <mergeCell ref="Q190:Q191"/>
    <mergeCell ref="N190:N191"/>
    <mergeCell ref="O190:O191"/>
    <mergeCell ref="A10:Q10"/>
    <mergeCell ref="B11:Q11"/>
    <mergeCell ref="C12:Q12"/>
    <mergeCell ref="A34:A42"/>
    <mergeCell ref="B34:B42"/>
    <mergeCell ref="M164:M165"/>
    <mergeCell ref="G175:G179"/>
    <mergeCell ref="C34:C42"/>
    <mergeCell ref="N183:N185"/>
    <mergeCell ref="A47:A51"/>
    <mergeCell ref="B47:B51"/>
    <mergeCell ref="C47:C51"/>
    <mergeCell ref="D34:D42"/>
    <mergeCell ref="E131:E132"/>
    <mergeCell ref="M1:Q1"/>
    <mergeCell ref="A2:Q2"/>
    <mergeCell ref="A6:A8"/>
    <mergeCell ref="B6:B8"/>
    <mergeCell ref="C6:C8"/>
    <mergeCell ref="D6:D8"/>
    <mergeCell ref="E6:E8"/>
    <mergeCell ref="F6:F8"/>
    <mergeCell ref="G6:G8"/>
    <mergeCell ref="H6:H8"/>
    <mergeCell ref="I6:I8"/>
    <mergeCell ref="L6:L8"/>
    <mergeCell ref="M6:Q6"/>
    <mergeCell ref="A3:Q3"/>
    <mergeCell ref="M5:Q5"/>
    <mergeCell ref="M7:M8"/>
    <mergeCell ref="A4:Q4"/>
    <mergeCell ref="J6:J8"/>
    <mergeCell ref="N7:Q7"/>
    <mergeCell ref="K6:K8"/>
    <mergeCell ref="C52:C56"/>
    <mergeCell ref="A86:A87"/>
    <mergeCell ref="A306:H306"/>
    <mergeCell ref="A305:H305"/>
    <mergeCell ref="A304:H304"/>
    <mergeCell ref="A300:H300"/>
    <mergeCell ref="A298:H298"/>
    <mergeCell ref="A303:H303"/>
    <mergeCell ref="A301:H301"/>
    <mergeCell ref="A302:H302"/>
    <mergeCell ref="A299:H299"/>
    <mergeCell ref="A269:A271"/>
    <mergeCell ref="A272:A274"/>
    <mergeCell ref="A291:H291"/>
    <mergeCell ref="A290:H290"/>
    <mergeCell ref="B284:H284"/>
    <mergeCell ref="A288:H288"/>
    <mergeCell ref="B275:B276"/>
    <mergeCell ref="C275:C276"/>
    <mergeCell ref="D275:D276"/>
    <mergeCell ref="E275:E276"/>
    <mergeCell ref="F275:F276"/>
    <mergeCell ref="A277:A279"/>
    <mergeCell ref="B277:B279"/>
    <mergeCell ref="A287:H287"/>
    <mergeCell ref="A275:A276"/>
    <mergeCell ref="F277:F279"/>
    <mergeCell ref="E277:E279"/>
    <mergeCell ref="B269:B271"/>
    <mergeCell ref="E269:E271"/>
    <mergeCell ref="C282:H282"/>
    <mergeCell ref="G275:G276"/>
    <mergeCell ref="C269:C271"/>
    <mergeCell ref="D269:D271"/>
    <mergeCell ref="D277:D279"/>
    <mergeCell ref="G277:G279"/>
    <mergeCell ref="G272:G274"/>
    <mergeCell ref="A293:H293"/>
    <mergeCell ref="A294:H294"/>
    <mergeCell ref="A297:H297"/>
    <mergeCell ref="A295:H295"/>
    <mergeCell ref="A292:H292"/>
    <mergeCell ref="A285:K285"/>
    <mergeCell ref="A289:H289"/>
    <mergeCell ref="A296:H296"/>
    <mergeCell ref="A145:A146"/>
    <mergeCell ref="B145:B146"/>
    <mergeCell ref="E222:E224"/>
    <mergeCell ref="E245:E246"/>
    <mergeCell ref="G245:G246"/>
    <mergeCell ref="C192:C194"/>
    <mergeCell ref="A192:A194"/>
    <mergeCell ref="B192:B194"/>
    <mergeCell ref="A147:A152"/>
    <mergeCell ref="B147:B152"/>
    <mergeCell ref="E199:E200"/>
    <mergeCell ref="F203:F205"/>
    <mergeCell ref="G203:G205"/>
    <mergeCell ref="G186:G187"/>
    <mergeCell ref="G190:G191"/>
    <mergeCell ref="F256:F257"/>
    <mergeCell ref="E265:E268"/>
    <mergeCell ref="C258:C262"/>
    <mergeCell ref="E253:E254"/>
    <mergeCell ref="C265:C267"/>
    <mergeCell ref="B218:B221"/>
    <mergeCell ref="C125:C127"/>
    <mergeCell ref="M284:Q284"/>
    <mergeCell ref="M283:Q283"/>
    <mergeCell ref="B283:H283"/>
    <mergeCell ref="E247:E248"/>
    <mergeCell ref="F269:F271"/>
    <mergeCell ref="F272:F274"/>
    <mergeCell ref="B272:B274"/>
    <mergeCell ref="C272:C274"/>
    <mergeCell ref="D272:D274"/>
    <mergeCell ref="E272:E274"/>
    <mergeCell ref="B258:B262"/>
    <mergeCell ref="E229:E237"/>
    <mergeCell ref="D128:D130"/>
    <mergeCell ref="D199:D200"/>
    <mergeCell ref="E211:E212"/>
    <mergeCell ref="E203:E205"/>
    <mergeCell ref="B199:B200"/>
    <mergeCell ref="A253:A254"/>
    <mergeCell ref="E256:E257"/>
    <mergeCell ref="E258:E262"/>
    <mergeCell ref="E263:E264"/>
    <mergeCell ref="C277:C279"/>
    <mergeCell ref="A265:A267"/>
    <mergeCell ref="F253:F254"/>
    <mergeCell ref="B265:B267"/>
    <mergeCell ref="A199:A200"/>
    <mergeCell ref="A218:A221"/>
    <mergeCell ref="E215:E216"/>
    <mergeCell ref="F260:F262"/>
    <mergeCell ref="F267:F268"/>
    <mergeCell ref="B222:B225"/>
    <mergeCell ref="A222:A225"/>
    <mergeCell ref="A258:A262"/>
    <mergeCell ref="B253:B254"/>
    <mergeCell ref="C222:C225"/>
    <mergeCell ref="D222:D225"/>
    <mergeCell ref="C253:C254"/>
    <mergeCell ref="C226:H226"/>
    <mergeCell ref="D253:D254"/>
    <mergeCell ref="G247:G250"/>
    <mergeCell ref="G265:G267"/>
    <mergeCell ref="B86:B87"/>
    <mergeCell ref="D86:D87"/>
    <mergeCell ref="E86:E87"/>
    <mergeCell ref="F86:F87"/>
    <mergeCell ref="A102:A104"/>
    <mergeCell ref="B102:B104"/>
    <mergeCell ref="E102:E104"/>
    <mergeCell ref="A90:A93"/>
    <mergeCell ref="B90:B93"/>
    <mergeCell ref="C90:C93"/>
    <mergeCell ref="F90:F93"/>
    <mergeCell ref="E90:E93"/>
    <mergeCell ref="E88:E89"/>
    <mergeCell ref="F88:F89"/>
    <mergeCell ref="E94:E95"/>
    <mergeCell ref="F94:F95"/>
    <mergeCell ref="E96:E97"/>
    <mergeCell ref="E99:E101"/>
    <mergeCell ref="A57:A60"/>
    <mergeCell ref="B57:B60"/>
    <mergeCell ref="C57:C65"/>
    <mergeCell ref="A61:A63"/>
    <mergeCell ref="B61:B63"/>
    <mergeCell ref="D66:D71"/>
    <mergeCell ref="E66:E71"/>
    <mergeCell ref="G66:G71"/>
    <mergeCell ref="D57:D60"/>
    <mergeCell ref="C128:C130"/>
    <mergeCell ref="C131:C132"/>
    <mergeCell ref="C133:C136"/>
    <mergeCell ref="C137:C140"/>
    <mergeCell ref="D137:D140"/>
    <mergeCell ref="G207:G212"/>
    <mergeCell ref="E190:E191"/>
    <mergeCell ref="C147:C152"/>
    <mergeCell ref="D131:D132"/>
    <mergeCell ref="G253:G254"/>
    <mergeCell ref="G215:G216"/>
    <mergeCell ref="D147:D152"/>
    <mergeCell ref="D169:D170"/>
    <mergeCell ref="G222:G225"/>
    <mergeCell ref="C199:C200"/>
    <mergeCell ref="D133:D136"/>
    <mergeCell ref="C145:C146"/>
    <mergeCell ref="D161:D162"/>
    <mergeCell ref="E161:E162"/>
    <mergeCell ref="E147:E149"/>
    <mergeCell ref="F147:F152"/>
    <mergeCell ref="E141:E144"/>
    <mergeCell ref="E249:E250"/>
    <mergeCell ref="E242:E244"/>
    <mergeCell ref="C218:C221"/>
    <mergeCell ref="E218:E220"/>
    <mergeCell ref="E213:E214"/>
    <mergeCell ref="G213:G214"/>
    <mergeCell ref="E251:E252"/>
    <mergeCell ref="M80:M81"/>
    <mergeCell ref="E84:E85"/>
    <mergeCell ref="F84:F85"/>
    <mergeCell ref="D47:D51"/>
    <mergeCell ref="E13:E16"/>
    <mergeCell ref="E25:E30"/>
    <mergeCell ref="F25:F30"/>
    <mergeCell ref="E188:E189"/>
    <mergeCell ref="F115:F116"/>
    <mergeCell ref="E117:E118"/>
    <mergeCell ref="F117:F118"/>
    <mergeCell ref="E55:E56"/>
    <mergeCell ref="D159:D160"/>
    <mergeCell ref="E159:E160"/>
    <mergeCell ref="E153:E154"/>
    <mergeCell ref="E75:E77"/>
    <mergeCell ref="F55:F56"/>
    <mergeCell ref="D78:D79"/>
    <mergeCell ref="E78:E79"/>
    <mergeCell ref="E145:E146"/>
    <mergeCell ref="D167:D168"/>
    <mergeCell ref="E167:E168"/>
    <mergeCell ref="E176:E179"/>
    <mergeCell ref="C172:H172"/>
    <mergeCell ref="G75:G79"/>
    <mergeCell ref="G91:G93"/>
    <mergeCell ref="E34:E36"/>
    <mergeCell ref="G34:G41"/>
    <mergeCell ref="G43:G51"/>
    <mergeCell ref="E52:E54"/>
    <mergeCell ref="G52:G54"/>
    <mergeCell ref="F53:F54"/>
    <mergeCell ref="E47:E51"/>
    <mergeCell ref="G55:G56"/>
    <mergeCell ref="G84:G87"/>
    <mergeCell ref="M26:M30"/>
    <mergeCell ref="E43:E46"/>
    <mergeCell ref="M43:M46"/>
    <mergeCell ref="M72:M73"/>
    <mergeCell ref="E72:E73"/>
    <mergeCell ref="G61:G65"/>
    <mergeCell ref="M57:M59"/>
    <mergeCell ref="G72:G73"/>
    <mergeCell ref="E61:E62"/>
    <mergeCell ref="E63:E65"/>
    <mergeCell ref="E57:E60"/>
    <mergeCell ref="F72:F73"/>
    <mergeCell ref="M61:M62"/>
    <mergeCell ref="M34:M35"/>
    <mergeCell ref="G25:G31"/>
    <mergeCell ref="G117:G118"/>
    <mergeCell ref="P190:P191"/>
    <mergeCell ref="M137:M138"/>
    <mergeCell ref="M145:M146"/>
    <mergeCell ref="M150:M151"/>
    <mergeCell ref="E169:E170"/>
    <mergeCell ref="E155:E158"/>
    <mergeCell ref="E109:E111"/>
    <mergeCell ref="M188:M189"/>
    <mergeCell ref="M178:M179"/>
    <mergeCell ref="F164:F166"/>
    <mergeCell ref="G125:G127"/>
    <mergeCell ref="M155:M156"/>
    <mergeCell ref="R88:R89"/>
    <mergeCell ref="E82:E83"/>
    <mergeCell ref="E114:E116"/>
    <mergeCell ref="G114:G116"/>
    <mergeCell ref="M114:M115"/>
    <mergeCell ref="E112:E113"/>
    <mergeCell ref="M112:M113"/>
    <mergeCell ref="E105:E106"/>
    <mergeCell ref="F102:F104"/>
    <mergeCell ref="M102:M103"/>
    <mergeCell ref="M92:M93"/>
    <mergeCell ref="M88:M89"/>
    <mergeCell ref="M99:M101"/>
    <mergeCell ref="G94:G95"/>
    <mergeCell ref="F109:F111"/>
    <mergeCell ref="G109:G111"/>
    <mergeCell ref="E107:E108"/>
    <mergeCell ref="F107:F108"/>
    <mergeCell ref="G107:G108"/>
  </mergeCells>
  <phoneticPr fontId="10" type="noConversion"/>
  <printOptions horizontalCentered="1"/>
  <pageMargins left="0.59055118110236227" right="0.19685039370078741" top="0.59055118110236227" bottom="0.39370078740157483" header="0" footer="0"/>
  <pageSetup paperSize="9" scale="56" orientation="portrait" r:id="rId1"/>
  <headerFooter alignWithMargins="0"/>
  <rowBreaks count="2" manualBreakCount="2">
    <brk id="212" max="16" man="1"/>
    <brk id="284"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Q6"/>
  <sheetViews>
    <sheetView workbookViewId="0">
      <selection activeCell="G27" sqref="G27"/>
    </sheetView>
  </sheetViews>
  <sheetFormatPr defaultRowHeight="12.75" x14ac:dyDescent="0.2"/>
  <sheetData>
    <row r="3" spans="1:17" s="1" customFormat="1" ht="13.5" customHeight="1" x14ac:dyDescent="0.2">
      <c r="A3" s="1131"/>
      <c r="B3" s="1134"/>
      <c r="C3" s="1135"/>
      <c r="D3" s="1132"/>
      <c r="E3" s="1142" t="s">
        <v>353</v>
      </c>
      <c r="F3" s="720"/>
      <c r="G3" s="259"/>
      <c r="H3" s="1157"/>
      <c r="I3" s="1158"/>
      <c r="J3" s="1159"/>
      <c r="K3" s="1159"/>
      <c r="L3" s="1158"/>
      <c r="M3" s="1143" t="s">
        <v>354</v>
      </c>
      <c r="N3" s="1144"/>
      <c r="O3" s="1145"/>
      <c r="P3" s="1144"/>
      <c r="Q3" s="1128"/>
    </row>
    <row r="4" spans="1:17" s="1" customFormat="1" ht="13.5" customHeight="1" x14ac:dyDescent="0.2">
      <c r="A4" s="1131"/>
      <c r="B4" s="1134"/>
      <c r="C4" s="1135"/>
      <c r="D4" s="1132"/>
      <c r="E4" s="1136"/>
      <c r="F4" s="720"/>
      <c r="G4" s="259"/>
      <c r="H4" s="1150" t="s">
        <v>355</v>
      </c>
      <c r="I4" s="41"/>
      <c r="J4" s="1153" t="s">
        <v>362</v>
      </c>
      <c r="K4" s="1153"/>
      <c r="L4" s="1154"/>
      <c r="M4" s="1138" t="s">
        <v>359</v>
      </c>
      <c r="N4" s="1139"/>
      <c r="O4" s="1137" t="s">
        <v>356</v>
      </c>
      <c r="P4" s="1140"/>
      <c r="Q4" s="1141"/>
    </row>
    <row r="5" spans="1:17" s="1" customFormat="1" ht="13.5" customHeight="1" x14ac:dyDescent="0.2">
      <c r="A5" s="1131"/>
      <c r="B5" s="1134"/>
      <c r="C5" s="1135"/>
      <c r="D5" s="1132"/>
      <c r="E5" s="1136"/>
      <c r="F5" s="720"/>
      <c r="G5" s="259"/>
      <c r="H5" s="1150" t="s">
        <v>355</v>
      </c>
      <c r="I5" s="41"/>
      <c r="J5" s="1153"/>
      <c r="K5" s="1153" t="s">
        <v>363</v>
      </c>
      <c r="L5" s="1154"/>
      <c r="M5" s="1138" t="s">
        <v>360</v>
      </c>
      <c r="N5" s="1139"/>
      <c r="O5" s="1140"/>
      <c r="P5" s="1140" t="s">
        <v>357</v>
      </c>
      <c r="Q5" s="1141"/>
    </row>
    <row r="6" spans="1:17" s="1" customFormat="1" ht="13.5" customHeight="1" x14ac:dyDescent="0.2">
      <c r="A6" s="1131"/>
      <c r="B6" s="1134"/>
      <c r="C6" s="1135"/>
      <c r="D6" s="1132"/>
      <c r="E6" s="1136"/>
      <c r="F6" s="720"/>
      <c r="G6" s="259"/>
      <c r="H6" s="1151" t="s">
        <v>355</v>
      </c>
      <c r="I6" s="1133"/>
      <c r="J6" s="1155"/>
      <c r="K6" s="1155"/>
      <c r="L6" s="1156" t="s">
        <v>364</v>
      </c>
      <c r="M6" s="1146" t="s">
        <v>361</v>
      </c>
      <c r="N6" s="1147"/>
      <c r="O6" s="1148"/>
      <c r="P6" s="1149"/>
      <c r="Q6" s="1152" t="s">
        <v>358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6 programa</vt:lpstr>
      <vt:lpstr>aiškinamoji lentelė </vt:lpstr>
      <vt:lpstr>Lapas1</vt:lpstr>
      <vt:lpstr>'6 programa'!Print_Area</vt:lpstr>
      <vt:lpstr>'aiškinamoji lentelė '!Print_Area</vt:lpstr>
      <vt:lpstr>'6 programa'!Print_Titles</vt:lpstr>
      <vt:lpstr>'aiškinamoji lentelė '!Print_Titles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2020-02-20T15:11:32Z</cp:lastPrinted>
  <dcterms:created xsi:type="dcterms:W3CDTF">2007-07-27T10:32:34Z</dcterms:created>
  <dcterms:modified xsi:type="dcterms:W3CDTF">2020-02-27T09:51:44Z</dcterms:modified>
</cp:coreProperties>
</file>