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20-2022 SVP\SPRENDIMAS\"/>
    </mc:Choice>
  </mc:AlternateContent>
  <bookViews>
    <workbookView xWindow="-120" yWindow="-120" windowWidth="24240" windowHeight="13140"/>
  </bookViews>
  <sheets>
    <sheet name="6 programa" sheetId="14" r:id="rId1"/>
    <sheet name="aiškinamoji lentelė " sheetId="5" state="hidden" r:id="rId2"/>
    <sheet name="Lapas1" sheetId="15" state="hidden" r:id="rId3"/>
  </sheets>
  <definedNames>
    <definedName name="_xlnm.Print_Area" localSheetId="0">'6 programa'!$A$1:$M$250</definedName>
    <definedName name="_xlnm.Print_Area" localSheetId="1">'aiškinamoji lentelė '!$A$1:$Q$306</definedName>
    <definedName name="_xlnm.Print_Titles" localSheetId="0">'6 programa'!$9:$11</definedName>
    <definedName name="_xlnm.Print_Titles" localSheetId="1">'aiškinamoji lentelė '!$6:$8</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1" i="5" l="1"/>
  <c r="I19" i="14"/>
  <c r="J229" i="5" l="1"/>
  <c r="J120" i="5" l="1"/>
  <c r="L20" i="5" l="1"/>
  <c r="K20" i="5"/>
  <c r="J20" i="5"/>
  <c r="H26" i="14"/>
  <c r="G26" i="14"/>
  <c r="G16" i="14" l="1"/>
  <c r="J153" i="5"/>
  <c r="J29" i="5" l="1"/>
  <c r="I233" i="14" l="1"/>
  <c r="H233" i="14"/>
  <c r="G233" i="14"/>
  <c r="J296" i="5"/>
  <c r="L296" i="5"/>
  <c r="K296" i="5"/>
  <c r="I296" i="5"/>
  <c r="G196" i="14" l="1"/>
  <c r="J217" i="5" l="1"/>
  <c r="G27" i="14" l="1"/>
  <c r="G17" i="14" l="1"/>
  <c r="G123" i="14" s="1"/>
  <c r="J51" i="5" l="1"/>
  <c r="H239" i="14" l="1"/>
  <c r="G239" i="14"/>
  <c r="I242" i="14"/>
  <c r="H242" i="14"/>
  <c r="G242" i="14"/>
  <c r="I241" i="14"/>
  <c r="H241" i="14"/>
  <c r="G241" i="14"/>
  <c r="I240" i="14"/>
  <c r="H240" i="14"/>
  <c r="G240" i="14"/>
  <c r="I237" i="14"/>
  <c r="H237" i="14"/>
  <c r="G237" i="14"/>
  <c r="I236" i="14"/>
  <c r="H236" i="14"/>
  <c r="G236" i="14"/>
  <c r="I235" i="14"/>
  <c r="H235" i="14"/>
  <c r="G235" i="14"/>
  <c r="I234" i="14"/>
  <c r="H234" i="14"/>
  <c r="G234" i="14"/>
  <c r="I232" i="14"/>
  <c r="H232" i="14"/>
  <c r="G232" i="14"/>
  <c r="G238" i="14" l="1"/>
  <c r="H238" i="14"/>
  <c r="I231" i="14"/>
  <c r="H231" i="14"/>
  <c r="G231" i="14"/>
  <c r="I230" i="14"/>
  <c r="H230" i="14"/>
  <c r="G230" i="14"/>
  <c r="H229" i="14"/>
  <c r="G229" i="14"/>
  <c r="I228" i="14"/>
  <c r="H228" i="14"/>
  <c r="G228" i="14"/>
  <c r="H227" i="14" l="1"/>
  <c r="G227" i="14"/>
  <c r="I229" i="14" l="1"/>
  <c r="I227" i="14" s="1"/>
  <c r="G218" i="14" l="1"/>
  <c r="H218" i="14"/>
  <c r="I201" i="14"/>
  <c r="I218" i="14" l="1"/>
  <c r="I239" i="14"/>
  <c r="I238" i="14" s="1"/>
  <c r="G195" i="14"/>
  <c r="G219" i="14" s="1"/>
  <c r="H195" i="14"/>
  <c r="I195" i="14"/>
  <c r="I166" i="14" l="1"/>
  <c r="I167" i="14" s="1"/>
  <c r="H166" i="14"/>
  <c r="H167" i="14" s="1"/>
  <c r="H123" i="14"/>
  <c r="I123" i="14"/>
  <c r="I124" i="14" s="1"/>
  <c r="G166" i="14" l="1"/>
  <c r="G167" i="14" s="1"/>
  <c r="G226" i="14"/>
  <c r="I219" i="14"/>
  <c r="H219" i="14"/>
  <c r="G124" i="14"/>
  <c r="I226" i="14"/>
  <c r="I243" i="14" s="1"/>
  <c r="H124" i="14"/>
  <c r="H226" i="14"/>
  <c r="G243" i="14" l="1"/>
  <c r="H243" i="14"/>
  <c r="I220" i="14"/>
  <c r="I221" i="14" s="1"/>
  <c r="G220" i="14"/>
  <c r="G221" i="14" s="1"/>
  <c r="H220" i="14"/>
  <c r="H221" i="14" s="1"/>
  <c r="I89" i="5" l="1"/>
  <c r="L18" i="5" l="1"/>
  <c r="K18" i="5"/>
  <c r="J18" i="5"/>
  <c r="J17" i="5"/>
  <c r="K19" i="5"/>
  <c r="J19" i="5"/>
  <c r="J23" i="5"/>
  <c r="K22" i="5"/>
  <c r="J14" i="5"/>
  <c r="J15" i="5"/>
  <c r="L13" i="5"/>
  <c r="J299" i="5" l="1"/>
  <c r="I231" i="5" l="1"/>
  <c r="N230" i="5"/>
  <c r="J253" i="5" l="1"/>
  <c r="I153" i="5" l="1"/>
  <c r="I142" i="5"/>
  <c r="K57" i="5" l="1"/>
  <c r="K171" i="5" l="1"/>
  <c r="K13" i="5"/>
  <c r="I266" i="5"/>
  <c r="J145" i="5" l="1"/>
  <c r="J13" i="5" s="1"/>
  <c r="J259" i="5" l="1"/>
  <c r="J260" i="5"/>
  <c r="J292" i="5"/>
  <c r="J281" i="5" l="1"/>
  <c r="K299" i="5"/>
  <c r="I46" i="5" l="1"/>
  <c r="I34" i="5"/>
  <c r="I43" i="5" l="1"/>
  <c r="I62" i="5" l="1"/>
  <c r="I61" i="5"/>
  <c r="L305" i="5" l="1"/>
  <c r="K305" i="5"/>
  <c r="J305" i="5"/>
  <c r="I305" i="5"/>
  <c r="L304" i="5"/>
  <c r="K304" i="5"/>
  <c r="J304" i="5"/>
  <c r="I304" i="5"/>
  <c r="L303" i="5"/>
  <c r="K303" i="5"/>
  <c r="J303" i="5"/>
  <c r="I303" i="5"/>
  <c r="L302" i="5"/>
  <c r="K302" i="5"/>
  <c r="J302" i="5"/>
  <c r="I302" i="5"/>
  <c r="L300" i="5"/>
  <c r="K300" i="5"/>
  <c r="J300" i="5"/>
  <c r="I299" i="5"/>
  <c r="L298" i="5"/>
  <c r="K298" i="5"/>
  <c r="J298" i="5"/>
  <c r="L297" i="5"/>
  <c r="K297" i="5"/>
  <c r="L294" i="5"/>
  <c r="K294" i="5"/>
  <c r="J294" i="5"/>
  <c r="I294" i="5"/>
  <c r="L293" i="5"/>
  <c r="K293" i="5"/>
  <c r="J293" i="5"/>
  <c r="L292" i="5"/>
  <c r="K292" i="5"/>
  <c r="J255" i="5"/>
  <c r="K255" i="5"/>
  <c r="L255" i="5"/>
  <c r="K281" i="5"/>
  <c r="L281" i="5"/>
  <c r="L17" i="5"/>
  <c r="K17" i="5"/>
  <c r="L16" i="5"/>
  <c r="K16" i="5"/>
  <c r="I24" i="5"/>
  <c r="I22" i="5"/>
  <c r="L23" i="5"/>
  <c r="K23" i="5"/>
  <c r="I23" i="5"/>
  <c r="L22" i="5"/>
  <c r="J22" i="5"/>
  <c r="I301" i="5" l="1"/>
  <c r="J301" i="5"/>
  <c r="K301" i="5"/>
  <c r="L301" i="5"/>
  <c r="I115" i="5"/>
  <c r="I114" i="5"/>
  <c r="I26" i="5" l="1"/>
  <c r="I265" i="5" l="1"/>
  <c r="L14" i="5" l="1"/>
  <c r="K14" i="5"/>
  <c r="L15" i="5"/>
  <c r="K15" i="5"/>
  <c r="I15" i="5"/>
  <c r="L19" i="5"/>
  <c r="L21" i="5"/>
  <c r="J21" i="5"/>
  <c r="I21" i="5"/>
  <c r="L24" i="5"/>
  <c r="K24" i="5"/>
  <c r="J24" i="5"/>
  <c r="L295" i="5"/>
  <c r="K295" i="5"/>
  <c r="J295" i="5"/>
  <c r="I297" i="5"/>
  <c r="L299" i="5"/>
  <c r="L172" i="5" l="1"/>
  <c r="I163" i="5"/>
  <c r="I159" i="5"/>
  <c r="I158" i="5"/>
  <c r="I14" i="5" s="1"/>
  <c r="I156" i="5"/>
  <c r="I155" i="5"/>
  <c r="I150" i="5"/>
  <c r="I148" i="5"/>
  <c r="I144" i="5"/>
  <c r="I133" i="5"/>
  <c r="J171" i="5"/>
  <c r="J16" i="5" l="1"/>
  <c r="J297" i="5"/>
  <c r="I17" i="5"/>
  <c r="I18" i="5"/>
  <c r="K282" i="5" l="1"/>
  <c r="L282" i="5"/>
  <c r="I245" i="5" l="1"/>
  <c r="I235" i="5" l="1"/>
  <c r="I298" i="5" s="1"/>
  <c r="N199" i="5" l="1"/>
  <c r="L176" i="5" l="1"/>
  <c r="L291" i="5" s="1"/>
  <c r="L290" i="5" s="1"/>
  <c r="K176" i="5"/>
  <c r="J291" i="5" l="1"/>
  <c r="J290" i="5" s="1"/>
  <c r="K217" i="5"/>
  <c r="K291" i="5"/>
  <c r="K290" i="5" s="1"/>
  <c r="L217" i="5"/>
  <c r="I281" i="5"/>
  <c r="I219" i="5" l="1"/>
  <c r="I36" i="5" l="1"/>
  <c r="I220" i="5"/>
  <c r="I19" i="5" l="1"/>
  <c r="I293" i="5"/>
  <c r="I48" i="5"/>
  <c r="I16" i="5" s="1"/>
  <c r="I239" i="5" l="1"/>
  <c r="I295" i="5"/>
  <c r="I230" i="5"/>
  <c r="I204" i="5"/>
  <c r="I225" i="5" l="1"/>
  <c r="J225" i="5"/>
  <c r="K225" i="5"/>
  <c r="L225" i="5"/>
  <c r="J221" i="5"/>
  <c r="K221" i="5"/>
  <c r="L221" i="5"/>
  <c r="K21" i="5"/>
  <c r="L226" i="5" l="1"/>
  <c r="L283" i="5" s="1"/>
  <c r="K172" i="5"/>
  <c r="J226" i="5"/>
  <c r="K226" i="5"/>
  <c r="I218" i="5"/>
  <c r="I300" i="5" s="1"/>
  <c r="I221" i="5" l="1"/>
  <c r="K283" i="5"/>
  <c r="K284" i="5" s="1"/>
  <c r="I176" i="5" l="1"/>
  <c r="J282" i="5" l="1"/>
  <c r="I47" i="5" l="1"/>
  <c r="I291" i="5" l="1"/>
  <c r="I13" i="5"/>
  <c r="I171" i="5"/>
  <c r="J172" i="5" l="1"/>
  <c r="I172" i="5" l="1"/>
  <c r="J283" i="5"/>
  <c r="I229" i="5" l="1"/>
  <c r="I255" i="5" s="1"/>
  <c r="I282" i="5" s="1"/>
  <c r="I207" i="5" l="1"/>
  <c r="I217" i="5" l="1"/>
  <c r="I226" i="5" s="1"/>
  <c r="I283" i="5" s="1"/>
  <c r="I292" i="5"/>
  <c r="I290" i="5" s="1"/>
  <c r="J284" i="5" l="1"/>
  <c r="K289" i="5" l="1"/>
  <c r="K306" i="5" s="1"/>
  <c r="I289" i="5" l="1"/>
  <c r="I306" i="5" l="1"/>
  <c r="I284" i="5" l="1"/>
  <c r="L284" i="5"/>
  <c r="L289" i="5" l="1"/>
  <c r="L306" i="5" s="1"/>
  <c r="J289" i="5" l="1"/>
  <c r="J306" i="5" s="1"/>
</calcChain>
</file>

<file path=xl/comments1.xml><?xml version="1.0" encoding="utf-8"?>
<comments xmlns="http://schemas.openxmlformats.org/spreadsheetml/2006/main">
  <authors>
    <author>Audra Cepiene</author>
    <author>Indrė Butenienė</author>
  </authors>
  <commentList>
    <comment ref="E17" authorId="0" shapeId="0">
      <text>
        <r>
          <rPr>
            <sz val="9"/>
            <color indexed="81"/>
            <rFont val="Tahoma"/>
            <family val="2"/>
            <charset val="186"/>
          </rPr>
          <t>P1, 3.6. Miesto susisiekimo sistemos tobulinimas užtikrinant didesnį gatvių tinklo pralaidumą;</t>
        </r>
      </text>
    </comment>
    <comment ref="E28"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3.3.2. priemonė 
</t>
        </r>
        <r>
          <rPr>
            <b/>
            <sz val="9"/>
            <color indexed="81"/>
            <rFont val="Tahoma"/>
            <family val="2"/>
            <charset val="186"/>
          </rPr>
          <t xml:space="preserve">
P1, </t>
        </r>
        <r>
          <rPr>
            <sz val="9"/>
            <color indexed="81"/>
            <rFont val="Tahoma"/>
            <family val="2"/>
            <charset val="186"/>
          </rPr>
          <t>2.2. Miestui, uostui ir verslui aktualių investicijų projektų įgyvendinimas (1) Baltijos-Šilutės pl. sankryžos rekonstrukcija; 2) Statybininkų pr. pratęsimas iki 141 kelio; 3) Pietinio aplinkkelio įrengimas)</t>
        </r>
      </text>
    </comment>
    <comment ref="E33"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1) Jūrininkų pr., 2) Pamario g., 3) Tilžės g.; 4) Šilutės pl. nuo Tilžės g. iki pervažos; 5) Pajūrio g.
</t>
        </r>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E40" authorId="0" shapeId="0">
      <text>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K40" authorId="0" shapeId="0">
      <text>
        <r>
          <rPr>
            <sz val="9"/>
            <color indexed="81"/>
            <rFont val="Tahoma"/>
            <family val="2"/>
            <charset val="186"/>
          </rPr>
          <t>2019 metais planuojama atlikti 70 % darbų, nes darbų metu rasta archeologinių radinių, neiškeltas Baltijos laivų statyklos dujotiekis, gamyklos teritorijoje rastos kuro talpos kurias reikalinga utilizuoti. Visi išvardinti faktoriai trukdo laiku atlikti numatytus darbus, todėl projekto užbaigimas nukeliamas į 2020 metus.</t>
        </r>
      </text>
    </comment>
    <comment ref="E42" authorId="0" shapeId="0">
      <text>
        <r>
          <rPr>
            <b/>
            <sz val="9"/>
            <color indexed="81"/>
            <rFont val="Tahoma"/>
            <family val="2"/>
            <charset val="186"/>
          </rPr>
          <t>P1, 4.1.1.</t>
        </r>
        <r>
          <rPr>
            <sz val="9"/>
            <color indexed="81"/>
            <rFont val="Tahoma"/>
            <family val="2"/>
            <charset val="186"/>
          </rPr>
          <t xml:space="preserve"> Pagal universalaus dizaino principus pritaikyta senamiesčio gatvių, vnt. </t>
        </r>
      </text>
    </comment>
    <comment ref="E43" authorId="0" shapeId="0">
      <text>
        <r>
          <rPr>
            <b/>
            <sz val="9"/>
            <color indexed="81"/>
            <rFont val="Tahoma"/>
            <family val="2"/>
            <charset val="186"/>
          </rPr>
          <t>P2,</t>
        </r>
        <r>
          <rPr>
            <sz val="9"/>
            <color indexed="81"/>
            <rFont val="Tahoma"/>
            <family val="2"/>
            <charset val="186"/>
          </rPr>
          <t xml:space="preserve"> Klaipėdos miesto darnaus judumo planas (2018-09-13, T2-185), 
</t>
        </r>
        <r>
          <rPr>
            <b/>
            <sz val="9"/>
            <color indexed="81"/>
            <rFont val="Tahoma"/>
            <family val="2"/>
            <charset val="186"/>
          </rPr>
          <t>P(KSP) 2.1.2.8</t>
        </r>
        <r>
          <rPr>
            <sz val="9"/>
            <color indexed="81"/>
            <rFont val="Tahoma"/>
            <family val="2"/>
            <charset val="186"/>
          </rPr>
          <t xml:space="preserve"> Centrinėje miesto dalyje suformuoti pėsčiųjų takų, zonų ir gatvių tinklą </t>
        </r>
      </text>
    </comment>
    <comment ref="D45" authorId="0" shapeId="0">
      <text>
        <r>
          <rPr>
            <sz val="9"/>
            <color indexed="81"/>
            <rFont val="Tahoma"/>
            <family val="2"/>
            <charset val="186"/>
          </rPr>
          <t>SM programa 06.2.1-TID-R-511 pr.Vietinių kelių vystymas</t>
        </r>
      </text>
    </comment>
    <comment ref="E45" authorId="0" shapeId="0">
      <text>
        <r>
          <rPr>
            <b/>
            <sz val="9"/>
            <color indexed="81"/>
            <rFont val="Tahoma"/>
            <family val="2"/>
            <charset val="186"/>
          </rPr>
          <t xml:space="preserve">P1, 4.1.1. </t>
        </r>
        <r>
          <rPr>
            <sz val="9"/>
            <color indexed="81"/>
            <rFont val="Tahoma"/>
            <family val="2"/>
            <charset val="186"/>
          </rPr>
          <t xml:space="preserve">Pagal universalaus dizaino principus pritaikyta senamiesčio gatvių, vnt. </t>
        </r>
      </text>
    </comment>
    <comment ref="E47" authorId="0" shapeId="0">
      <text>
        <r>
          <rPr>
            <b/>
            <sz val="9"/>
            <color indexed="81"/>
            <rFont val="Tahoma"/>
            <family val="2"/>
            <charset val="186"/>
          </rPr>
          <t xml:space="preserve">P1, </t>
        </r>
        <r>
          <rPr>
            <sz val="9"/>
            <color indexed="81"/>
            <rFont val="Tahoma"/>
            <family val="2"/>
            <charset val="186"/>
          </rPr>
          <t>3.6. Miesto susisiekimo sistemos tobulinimas užtikrinant didesnį gatvių tinklo pralaidumą:
 1) Jūrininkų pr., 2) Pamario g., 3) Tilžės g.; 4) Šilutės pl. nuo Tilžės g. iki pervažos; 5) Pajūrio g.</t>
        </r>
      </text>
    </comment>
    <comment ref="E49" authorId="1" shapeId="0">
      <text>
        <r>
          <rPr>
            <sz val="9"/>
            <color indexed="81"/>
            <rFont val="Tahoma"/>
            <family val="2"/>
            <charset val="186"/>
          </rPr>
          <t>P1, 1.1.2. Parengtas ir įgyvendintas žvyruotų kelių asfaltavimo priemonių planas siekiant asfaltuoti ne mažiau kaip 10 km žvyruotų kelių, vnt</t>
        </r>
      </text>
    </comment>
    <comment ref="E52" authorId="0" shapeId="0">
      <text>
        <r>
          <rPr>
            <b/>
            <sz val="9"/>
            <color indexed="81"/>
            <rFont val="Tahoma"/>
            <family val="2"/>
            <charset val="186"/>
          </rPr>
          <t xml:space="preserve">P1, 2.2. </t>
        </r>
        <r>
          <rPr>
            <sz val="9"/>
            <color indexed="81"/>
            <rFont val="Tahoma"/>
            <family val="2"/>
            <charset val="186"/>
          </rPr>
          <t xml:space="preserve">Miestui, uostui ir verslui aktualių investicijų projektų įgyvendinimas 
</t>
        </r>
        <r>
          <rPr>
            <b/>
            <sz val="9"/>
            <color indexed="81"/>
            <rFont val="Tahoma"/>
            <family val="2"/>
            <charset val="186"/>
          </rPr>
          <t>P1, 3.6.1.</t>
        </r>
        <r>
          <rPr>
            <sz val="9"/>
            <color indexed="81"/>
            <rFont val="Tahoma"/>
            <family val="2"/>
            <charset val="186"/>
          </rPr>
          <t xml:space="preserve"> Įgyvendinta magistralinių gatvių rekonstrukcijos projektų.
 1) Jūrininkų pr., 2) Pamario g., 3) Tilžės g.; 4) Šilutės pl. nuo Tilžės g. iki pervažos; 5) Pajūrio g.</t>
        </r>
      </text>
    </comment>
    <comment ref="D58" authorId="0" shapeId="0">
      <text>
        <r>
          <rPr>
            <sz val="9"/>
            <color indexed="81"/>
            <rFont val="Tahoma"/>
            <family val="2"/>
            <charset val="186"/>
          </rPr>
          <t>Vadovaujantis  2005-04-21  Vyriausybės nutarimu Nr.447 įtraukiama nauja priemonė - parengti Mėgėjų sodų teritorijos kelių remonto techninius projektus. Susisiekimo ministerijos 2019-06-03 rašte Nr.2-4375 buvo pateiktas lėšų skyrimo tvarkos išaiškinimas, jog  savivaldybė turi skirti ne mažiau kaip 30 proc., tačiau ne daugiau kai 50 proc. nuosavų lėšų sodų bendrijų kelių remontui</t>
        </r>
      </text>
    </comment>
    <comment ref="E58" authorId="1" shapeId="0">
      <text>
        <r>
          <rPr>
            <sz val="9"/>
            <color indexed="81"/>
            <rFont val="Tahoma"/>
            <family val="2"/>
            <charset val="186"/>
          </rPr>
          <t>P1, 1.1.2. Parengtas ir įgyvendintas žvyruotų kelių asfaltavimo priemonių planas siekiant asfaltuoti ne mažiau kaip 10 km žvyruotų kelių, vnt</t>
        </r>
      </text>
    </comment>
    <comment ref="J58" authorId="0" shapeId="0">
      <text>
        <r>
          <rPr>
            <b/>
            <sz val="9"/>
            <color indexed="81"/>
            <rFont val="Tahoma"/>
            <family val="2"/>
            <charset val="186"/>
          </rPr>
          <t>Sodų bendrijo:</t>
        </r>
        <r>
          <rPr>
            <sz val="9"/>
            <color indexed="81"/>
            <rFont val="Tahoma"/>
            <family val="2"/>
            <charset val="186"/>
          </rPr>
          <t xml:space="preserve">
Aušrinės g. (Sodininkų bendrija "Aušra");
Baltijos 13-oji g. (Sodininkų bendrija "Baltija");
Tylos g. (Sodininkų bendrija "Diana I");
Dianos g. (Sodininkų bendrija "Diana II");
Baltijos 1-oji g. (Sodininkų bendrija "Baltija");
Inkaro 1-oji g. (Sodininkų bendrija "Inkaras");
Sąrašas pagal atliktą gatvių reitingavimą, tarybos aprašas tvirtintas taryboje spalio 24 d.
</t>
        </r>
      </text>
    </comment>
    <comment ref="D61" authorId="0" shapeId="0">
      <text>
        <r>
          <rPr>
            <sz val="9"/>
            <color indexed="81"/>
            <rFont val="Tahoma"/>
            <family val="2"/>
            <charset val="186"/>
          </rPr>
          <t>Nauja priemonė. 2017 m. kovo 30 d. tarybos sprendimas Nr. T2-75 patvirtintu Fizinių ar juridinių asmenų, pageidaujančių skirti tikslinių lėšų Klaipėdos miesto savivaldybės teritorijoje esančiai viešai susisiekimo infrastruktūrai, pasiūlymų teikimo, vertinimo, pripažinimo tinkamais įgyvendinti ir finansavimo tvarkos aprašas (pakeitimas 2018 m. liepos 26 d. tarybos sprendimu Nr. T2-181). 2019-09-24 rašte Nr. VS-4824 siūloma įgyvendinti Užlaukio ir Dienovidžio gatvių įrengimo I-ąjį etapą (~700m) ir Dailės gatvės remonto projektą (~200m).</t>
        </r>
      </text>
    </comment>
    <comment ref="J63" authorId="0" shapeId="0">
      <text>
        <r>
          <rPr>
            <sz val="9"/>
            <color indexed="81"/>
            <rFont val="Tahoma"/>
            <family val="2"/>
            <charset val="186"/>
          </rPr>
          <t>Poreikis paaiškės po pasiūlymų tekimo ir gatvių atrankos. Naujas konkursas bus skelbiamas 2022 m.</t>
        </r>
      </text>
    </comment>
    <comment ref="E69" authorId="0" shapeId="0">
      <text>
        <r>
          <rPr>
            <b/>
            <sz val="9"/>
            <color indexed="81"/>
            <rFont val="Tahoma"/>
            <family val="2"/>
            <charset val="186"/>
          </rPr>
          <t>P (KSP) 2.1.2.8</t>
        </r>
        <r>
          <rPr>
            <sz val="9"/>
            <color indexed="81"/>
            <rFont val="Tahoma"/>
            <family val="2"/>
            <charset val="186"/>
          </rPr>
          <t xml:space="preserve">
Centrinėje miesto dalyje suformuoti pėsčiųjų takų, zonų ir gatvių tinklą </t>
        </r>
      </text>
    </comment>
    <comment ref="E71"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79" authorId="0" shapeId="0">
      <text>
        <r>
          <rPr>
            <b/>
            <sz val="9"/>
            <color indexed="81"/>
            <rFont val="Tahoma"/>
            <family val="2"/>
            <charset val="186"/>
          </rPr>
          <t xml:space="preserve">Klaipėdos miesto darnaus judumo planas (2018-09-13, T2-185)
</t>
        </r>
        <r>
          <rPr>
            <sz val="9"/>
            <color indexed="81"/>
            <rFont val="Tahoma"/>
            <family val="2"/>
            <charset val="186"/>
          </rPr>
          <t xml:space="preserve">
</t>
        </r>
      </text>
    </comment>
    <comment ref="K99" authorId="0" shapeId="0">
      <text>
        <r>
          <rPr>
            <sz val="9"/>
            <color indexed="81"/>
            <rFont val="Tahoma"/>
            <family val="2"/>
            <charset val="186"/>
          </rPr>
          <t xml:space="preserve">44 875 kv.m
Hektaras (ha) – ploto matavimo vienetas, lygus 10 000 m² </t>
        </r>
      </text>
    </comment>
    <comment ref="K100" authorId="0" shapeId="0">
      <text>
        <r>
          <rPr>
            <sz val="9"/>
            <color indexed="81"/>
            <rFont val="Tahoma"/>
            <family val="2"/>
            <charset val="186"/>
          </rPr>
          <t xml:space="preserve">12960 kv.m
Hektaras (ha) – ploto matavimo vienetas, lygus 10 000 m² 
</t>
        </r>
      </text>
    </comment>
    <comment ref="K102" authorId="0" shapeId="0">
      <text>
        <r>
          <rPr>
            <b/>
            <sz val="9"/>
            <color indexed="81"/>
            <rFont val="Tahoma"/>
            <family val="2"/>
            <charset val="186"/>
          </rPr>
          <t xml:space="preserve">17800 kv.m </t>
        </r>
        <r>
          <rPr>
            <sz val="9"/>
            <color indexed="81"/>
            <rFont val="Tahoma"/>
            <family val="2"/>
            <charset val="186"/>
          </rPr>
          <t xml:space="preserve">
</t>
        </r>
      </text>
    </comment>
    <comment ref="K104" authorId="0" shapeId="0">
      <text>
        <r>
          <rPr>
            <b/>
            <sz val="9"/>
            <color indexed="81"/>
            <rFont val="Tahoma"/>
            <family val="2"/>
            <charset val="186"/>
          </rPr>
          <t>8000 kv.m</t>
        </r>
        <r>
          <rPr>
            <sz val="9"/>
            <color indexed="81"/>
            <rFont val="Tahoma"/>
            <family val="2"/>
            <charset val="186"/>
          </rPr>
          <t xml:space="preserve">
</t>
        </r>
      </text>
    </comment>
    <comment ref="K107" authorId="0" shapeId="0">
      <text>
        <r>
          <rPr>
            <b/>
            <sz val="9"/>
            <color indexed="81"/>
            <rFont val="Tahoma"/>
            <family val="2"/>
            <charset val="186"/>
          </rPr>
          <t>2020 m.  bus 4 įstaigos (209.000 Eur):</t>
        </r>
        <r>
          <rPr>
            <sz val="9"/>
            <color indexed="81"/>
            <rFont val="Tahoma"/>
            <family val="2"/>
            <charset val="186"/>
          </rPr>
          <t xml:space="preserve">
1. "Žaliakalnio" gimnazija (iš 2019 m.);
2. "Versmės" progimnazija;
3.  L/d "Bangelė";
4. Nakvynės namai, Viršutinės g. 21.
5. Klaipėdos Vydūno gimnazijos kiemo remontas</t>
        </r>
      </text>
    </comment>
    <comment ref="L107" authorId="0" shapeId="0">
      <text>
        <r>
          <rPr>
            <b/>
            <sz val="9"/>
            <color indexed="81"/>
            <rFont val="Tahoma"/>
            <family val="2"/>
            <charset val="186"/>
          </rPr>
          <t>2021 m. bus 8 įstaigos( 543.000 Eur):</t>
        </r>
        <r>
          <rPr>
            <sz val="9"/>
            <color indexed="81"/>
            <rFont val="Tahoma"/>
            <family val="2"/>
            <charset val="186"/>
          </rPr>
          <t xml:space="preserve">
1. L/d Pakalnutė;
2. Gabijos progimnazija;
3. Vyturio progimnazija;
4. Martyno Mažvydo progimnazija;
5. L/d Žemuogėlė;
6. Vydūno gimnazija;
7. Jaronimo Kačinsko muzikos mokykla
8. Vėtrungės gimnazija.
</t>
        </r>
      </text>
    </comment>
    <comment ref="M107" authorId="0" shapeId="0">
      <text>
        <r>
          <rPr>
            <b/>
            <sz val="9"/>
            <color indexed="81"/>
            <rFont val="Tahoma"/>
            <family val="2"/>
            <charset val="186"/>
          </rPr>
          <t>2022 m. bus 8 įstaigos (416.900 Eur):</t>
        </r>
        <r>
          <rPr>
            <sz val="9"/>
            <color indexed="81"/>
            <rFont val="Tahoma"/>
            <family val="2"/>
            <charset val="186"/>
          </rPr>
          <t xml:space="preserve">
1. L/d Inkarėlis;
2. L/d Aitvarėlis;
3. L/d Radastėlė;
4. L/d Žuvėdra;
5. L/d Šermukšnėlė;
6. Maksimo Gorkio progimnazija;
7. Klaipėdos suaugusiųjų gimanzija;
8. Verdenės gimnazija.
</t>
        </r>
      </text>
    </comment>
    <comment ref="D115" authorId="0" shapeId="0">
      <text>
        <r>
          <rPr>
            <sz val="9"/>
            <color indexed="81"/>
            <rFont val="Tahoma"/>
            <family val="2"/>
            <charset val="186"/>
          </rPr>
          <t>parkavimo vietų subraižymas, žaliųjų vejų ir skverų sutvarkymas</t>
        </r>
      </text>
    </comment>
    <comment ref="E126"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31" authorId="0" shapeId="0">
      <text>
        <r>
          <rPr>
            <b/>
            <sz val="9"/>
            <color indexed="81"/>
            <rFont val="Tahoma"/>
            <family val="2"/>
            <charset val="186"/>
          </rPr>
          <t>P1 1.3. Ekologiško bei visiems prieinamo viešojo transporto  sistemos įdiegimas</t>
        </r>
        <r>
          <rPr>
            <sz val="9"/>
            <color indexed="81"/>
            <rFont val="Tahoma"/>
            <family val="2"/>
            <charset val="186"/>
          </rPr>
          <t xml:space="preserve">
1.3.2. Socialiai jautrių visuomenės grupių (moksleiviai, studentai ir senjorai), kuriems įvestos papildomos nuolaidos įsigyjant viešojo transporto bilietus, skaičius </t>
        </r>
      </text>
    </comment>
    <comment ref="J134" authorId="0" shapeId="0">
      <text>
        <r>
          <rPr>
            <sz val="9"/>
            <color indexed="81"/>
            <rFont val="Tahoma"/>
            <family val="2"/>
            <charset val="186"/>
          </rPr>
          <t xml:space="preserve">Vadovaujantis 2019-04-12 savivaldybės tarybos sprendimu Nr. T2-111, kuriame numatyta nuolaida įsigyjant viešojo transporto bilietus Klaipėdos mieste esančių mokyklų 1–4 klasių mokiniams, siūloma kainų skirtumą (118,8 tūkst. Eur)  finansuoti iš savivaldybės biudžeto lėšų. Numatyta, kad šiai tikslinei grupei 9 mokslo metų mėnesių vardinis bilietas, galiosiantis tik darbo dienomis, kainuos 10 Eur (taikoma 94 proc. nuolaida). Iš viso sprendimo įgyvendinimui reikalinga 194 tūkst. Eur  kompensavimo lėšų. 75,2 tūkst. Eur buvo suplanuoti ankstesniu  sprendimu (2019 m. gegužės 30 d. sprendimas Nr. T2-145), kuriuo keistas strateginis veiklos planas
</t>
        </r>
      </text>
    </comment>
    <comment ref="K137" authorId="0" shapeId="0">
      <text>
        <r>
          <rPr>
            <b/>
            <sz val="9"/>
            <color indexed="81"/>
            <rFont val="Tahoma"/>
            <family val="2"/>
            <charset val="186"/>
          </rPr>
          <t xml:space="preserve">2020 m. </t>
        </r>
        <r>
          <rPr>
            <sz val="9"/>
            <color indexed="81"/>
            <rFont val="Tahoma"/>
            <family val="2"/>
            <charset val="186"/>
          </rPr>
          <t xml:space="preserve">
</t>
        </r>
        <r>
          <rPr>
            <b/>
            <sz val="9"/>
            <color indexed="81"/>
            <rFont val="Tahoma"/>
            <family val="2"/>
            <charset val="186"/>
          </rPr>
          <t>1.1. visiems keleiviams:</t>
        </r>
        <r>
          <rPr>
            <sz val="9"/>
            <color indexed="81"/>
            <rFont val="Tahoma"/>
            <family val="2"/>
            <charset val="186"/>
          </rPr>
          <t xml:space="preserve">
1.1.1. Lietuvos valstybės atkūrimo dienos ir Klaipėdos šviesų festivalio metu, 2020 m. vasario 14–16 d.;
1.1.2. Jūros šventės metu, 2020 m. liepos 24–26 d.; 
1.1.3. Dieną be automobilio, 2020 m. rugsėjo 22 d.;
</t>
        </r>
        <r>
          <rPr>
            <b/>
            <sz val="9"/>
            <color indexed="81"/>
            <rFont val="Tahoma"/>
            <family val="2"/>
            <charset val="186"/>
          </rPr>
          <t>1.2. tik renginio dalyviams:</t>
        </r>
        <r>
          <rPr>
            <sz val="9"/>
            <color indexed="81"/>
            <rFont val="Tahoma"/>
            <family val="2"/>
            <charset val="186"/>
          </rPr>
          <t xml:space="preserve">
1.2.1. Lietuvos vakarų krašto dainų šventės metu, 2020 m. birželio 13–14 d.;
1.2.2. Tarptautinio festivalio „Europiada“ metu, 2020 m. rugpjūčio 5–9 d.;
1.2.3. Pasaulio salės futbolo čempionato metu, 2020 m. rugpjūčio 29 d.–spalio 5 d.
</t>
        </r>
        <r>
          <rPr>
            <b/>
            <i/>
            <sz val="9"/>
            <color indexed="81"/>
            <rFont val="Tahoma"/>
            <family val="2"/>
            <charset val="186"/>
          </rPr>
          <t>bet ne daugiau kaip 201,59 tūkst. Eur</t>
        </r>
      </text>
    </comment>
    <comment ref="E151"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E152" authorId="0" shapeId="0">
      <text>
        <r>
          <rPr>
            <sz val="9"/>
            <color indexed="81"/>
            <rFont val="Tahoma"/>
            <family val="2"/>
            <charset val="186"/>
          </rPr>
          <t xml:space="preserve">P2 Klaipėdos miesto darnaus judumo planas (2018-09-13, T2-185)
</t>
        </r>
        <r>
          <rPr>
            <b/>
            <sz val="9"/>
            <color indexed="81"/>
            <rFont val="Tahoma"/>
            <family val="2"/>
            <charset val="186"/>
          </rPr>
          <t xml:space="preserve">KEPS </t>
        </r>
        <r>
          <rPr>
            <sz val="9"/>
            <color indexed="81"/>
            <rFont val="Tahoma"/>
            <family val="2"/>
            <charset val="186"/>
          </rPr>
          <t>Klaipėdos miesto ekonominės plėtros strategija ir įgyvendinimo veiksmų planas iki 2030 metų, 3.3.4. priemonė</t>
        </r>
      </text>
    </comment>
    <comment ref="J152" authorId="0" shapeId="0">
      <text>
        <r>
          <rPr>
            <b/>
            <sz val="9"/>
            <color indexed="81"/>
            <rFont val="Tahoma"/>
            <family val="2"/>
            <charset val="186"/>
          </rPr>
          <t>Integruota autobusų ir maršrutinių taksi yra 205 vnt.</t>
        </r>
        <r>
          <rPr>
            <sz val="9"/>
            <color indexed="81"/>
            <rFont val="Tahoma"/>
            <family val="2"/>
            <charset val="186"/>
          </rPr>
          <t xml:space="preserve">
</t>
        </r>
      </text>
    </comment>
    <comment ref="E156"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K157" authorId="0" shapeId="0">
      <text>
        <r>
          <rPr>
            <b/>
            <sz val="9"/>
            <color indexed="81"/>
            <rFont val="Tahoma"/>
            <family val="2"/>
            <charset val="186"/>
          </rPr>
          <t>Stotelės</t>
        </r>
        <r>
          <rPr>
            <sz val="9"/>
            <color indexed="81"/>
            <rFont val="Tahoma"/>
            <family val="2"/>
            <charset val="186"/>
          </rPr>
          <t xml:space="preserve">
2020 m. 
1. Kauno stotelė pietų kryptimi (Taikos pr. 52C);
2. Baltijos stotelė šiaurės kryptimi (Taikos pr. 71A);
3. Baltijos stotelė pietų kryptimi (Taikos pr. 66A);
4. Vėtrungės stotelė pietų kryptimi (Taikos pr. 28); 
Papildomai 2020 m.:
1. Bibliotekos stotelė šiaurės kryptimi (H. Manto g. 36);
2. Bibliotekos stotelė pietų kryptimi (H. Manto g. 27);
3. Sveikatos priežiūros centro stotelė šiaurės kryptimi (Taikos pr. 97B);
4. Atgimimo stotelė šiaurės kryptimi (Liepų g. 2).
</t>
        </r>
      </text>
    </comment>
    <comment ref="K158" authorId="0" shapeId="0">
      <text>
        <r>
          <rPr>
            <b/>
            <sz val="9"/>
            <color indexed="81"/>
            <rFont val="Tahoma"/>
            <family val="2"/>
            <charset val="186"/>
          </rPr>
          <t xml:space="preserve">Įrengta švieslenčių 13 stotelių: 
2019-2020 m. 
</t>
        </r>
        <r>
          <rPr>
            <sz val="9"/>
            <color indexed="81"/>
            <rFont val="Tahoma"/>
            <family val="2"/>
            <charset val="186"/>
          </rPr>
          <t>1. Kauno stotelė pietų kryptimi (Taikos pr. 52C);
2. Baltijos stotelė šiaurės kryptimi (Taikos pr. 71A);
3. Baltijos stotelė pietų kryptimi (Taikos pr. 66A);
4. Vėtrungės stotelė pietų kryptimi (Taikos pr. 28); 
5. Kauno stotelė šiaurės kryptimi (Taikos pr. 55A);
6. Vėtrungės stotelė šiaurės kryptimi (Taikos pr. 29/33);
7. Naujojo Turgaus stotelė šiaurės kryptimi (Taikos pr. 109);
8. Smiltelės stotelė pietų kryptimi (prie PC „BIG“, Taikos pr. 139);
9. Rasos stotelė šiaurės kryptimi (Šilutės pl. 49B);
10. Žardės stotelė šiaurės kryptimi (Taikos pr. 115);
11. Vyturio stotelė šiaurės kryptimi (Vingio g.39);
12. Bandužių stotelė šiaurės kryptimi (Vingio g. 21A);
13. Sausio 15-osios stotelė pietų kryptimi (Taikos pr.18/18T).</t>
        </r>
      </text>
    </comment>
    <comment ref="K159" authorId="0" shapeId="0">
      <text>
        <r>
          <rPr>
            <b/>
            <sz val="9"/>
            <color indexed="81"/>
            <rFont val="Tahoma"/>
            <family val="2"/>
            <charset val="186"/>
          </rPr>
          <t xml:space="preserve">Rengiamas techninis projektas prie šių stotelių:
</t>
        </r>
        <r>
          <rPr>
            <sz val="9"/>
            <color indexed="81"/>
            <rFont val="Tahoma"/>
            <family val="2"/>
            <charset val="186"/>
          </rPr>
          <t>1.Priestočio g. (Autobusų stoties st.);
2.Kauno g. (Ąžuolyno st.);
3.Liepų g. (Savivaldybės st.);
4.Sausio 15-osios g. (Malūno tvenkinio st.);
5-6.Joniškės g. (Žemaičių g. ir Slyvų st.);
7.Mogiliovo g. (Mogiliovo st.);
8.Statybininkų pr. (Šilutės st.);
9.Taikos pr. (Kurėno st.);
10.Šilutės pl. (Rimkų Pervažos st.)</t>
        </r>
        <r>
          <rPr>
            <b/>
            <sz val="9"/>
            <color indexed="81"/>
            <rFont val="Tahoma"/>
            <family val="2"/>
            <charset val="186"/>
          </rPr>
          <t xml:space="preserve">
</t>
        </r>
        <r>
          <rPr>
            <sz val="9"/>
            <color indexed="81"/>
            <rFont val="Tahoma"/>
            <family val="2"/>
            <charset val="186"/>
          </rPr>
          <t xml:space="preserve">
</t>
        </r>
      </text>
    </comment>
    <comment ref="K160" authorId="0" shapeId="0">
      <text>
        <r>
          <rPr>
            <sz val="9"/>
            <color indexed="81"/>
            <rFont val="Tahoma"/>
            <family val="2"/>
            <charset val="186"/>
          </rPr>
          <t xml:space="preserve">2020-2021 m.
 Smiltelės g. 
(Minijos; Šiaurės ir pietų kryptis) </t>
        </r>
      </text>
    </comment>
    <comment ref="E164" authorId="0" shapeId="0">
      <text>
        <r>
          <rPr>
            <b/>
            <sz val="9"/>
            <color indexed="81"/>
            <rFont val="Tahoma"/>
            <family val="2"/>
            <charset val="186"/>
          </rPr>
          <t xml:space="preserve">P1 1.3.1. </t>
        </r>
        <r>
          <rPr>
            <sz val="9"/>
            <color indexed="81"/>
            <rFont val="Tahoma"/>
            <family val="2"/>
            <charset val="186"/>
          </rPr>
          <t xml:space="preserve">Parengtas ir įgyvendintas viešojo transporto parko atnaujinimo veiksmų planas siekiant padidinti alternatyviu kuru varomų viešojo transporto priemonių dalį iki 65 proc.
</t>
        </r>
      </text>
    </comment>
    <comment ref="E165" authorId="1" shapeId="0">
      <text>
        <r>
          <rPr>
            <b/>
            <sz val="9"/>
            <color indexed="81"/>
            <rFont val="Tahoma"/>
            <family val="2"/>
            <charset val="186"/>
          </rPr>
          <t>KEPS 6.1.2.</t>
        </r>
        <r>
          <rPr>
            <sz val="9"/>
            <color indexed="81"/>
            <rFont val="Tahoma"/>
            <family val="2"/>
            <charset val="186"/>
          </rPr>
          <t xml:space="preserve"> Skatinti vietinių įmonių elektrinio transporto priemonių gamybą, vykdant ikiprekybinius pirkimus ir atnaujinant Klaipėdos autobusų parką </t>
        </r>
      </text>
    </comment>
    <comment ref="E169" authorId="1" shapeId="0">
      <text>
        <r>
          <rPr>
            <sz val="9"/>
            <color indexed="81"/>
            <rFont val="Tahoma"/>
            <family val="2"/>
            <charset val="186"/>
          </rPr>
          <t>P2, Klaipėdos miesto darnaus judumo planas (2018-09-13, T2-185),</t>
        </r>
      </text>
    </comment>
    <comment ref="E173"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K174" authorId="0" shapeId="0">
      <text>
        <r>
          <rPr>
            <sz val="9"/>
            <color indexed="81"/>
            <rFont val="Tahoma"/>
            <family val="2"/>
            <charset val="186"/>
          </rPr>
          <t xml:space="preserve">Įrengta 5 vnt. šviesoforų, buvo ekploatuojami 66 šviesoforai
</t>
        </r>
      </text>
    </comment>
    <comment ref="K179" authorId="0" shapeId="0">
      <text>
        <r>
          <rPr>
            <b/>
            <sz val="9"/>
            <color indexed="81"/>
            <rFont val="Tahoma"/>
            <family val="2"/>
            <charset val="186"/>
          </rPr>
          <t>2020 m. planuojama projektuoti 7 perėjas:</t>
        </r>
        <r>
          <rPr>
            <sz val="9"/>
            <color indexed="81"/>
            <rFont val="Tahoma"/>
            <family val="2"/>
            <charset val="186"/>
          </rPr>
          <t xml:space="preserve">
1. Liepų g. ((prie Klaipėdos valstybinės kolegijos);
2. Taikos pr. (ties Saturnu);
3. Taikos pr. ir Debreceno g.;
4. Baltijos pr. 103;
5. Dubysos g. 21; 
6. K. Donelaičio g. ir S. Daukanto g. sankryža;
7. Šilutės pl. ir Svajonės g.</t>
        </r>
      </text>
    </comment>
    <comment ref="E193"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E202" authorId="0" shapeId="0">
      <text>
        <r>
          <rPr>
            <b/>
            <sz val="9"/>
            <color indexed="81"/>
            <rFont val="Tahoma"/>
            <family val="2"/>
            <charset val="186"/>
          </rPr>
          <t xml:space="preserve">P1, 3.6.2. </t>
        </r>
        <r>
          <rPr>
            <sz val="9"/>
            <color indexed="81"/>
            <rFont val="Tahoma"/>
            <family val="2"/>
            <charset val="186"/>
          </rPr>
          <t>Diegiama koordinuotų eismo valdymo sistemų, vnt.</t>
        </r>
      </text>
    </comment>
    <comment ref="E203"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E204"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E205" authorId="0" shapeId="0">
      <text>
        <r>
          <rPr>
            <b/>
            <sz val="9"/>
            <color indexed="81"/>
            <rFont val="Tahoma"/>
            <family val="2"/>
            <charset val="186"/>
          </rPr>
          <t xml:space="preserve">P1, </t>
        </r>
        <r>
          <rPr>
            <sz val="9"/>
            <color indexed="81"/>
            <rFont val="Tahoma"/>
            <family val="2"/>
            <charset val="186"/>
          </rPr>
          <t xml:space="preserve">3.6.2. Diegiama koordinuotų eismo valdymo sistemų, vnt.
</t>
        </r>
      </text>
    </comment>
    <comment ref="E207" authorId="0" shapeId="0">
      <text>
        <r>
          <rPr>
            <b/>
            <sz val="9"/>
            <color indexed="81"/>
            <rFont val="Tahoma"/>
            <family val="2"/>
            <charset val="186"/>
          </rPr>
          <t xml:space="preserve">P2 </t>
        </r>
        <r>
          <rPr>
            <sz val="9"/>
            <color indexed="81"/>
            <rFont val="Tahoma"/>
            <family val="2"/>
            <charset val="186"/>
          </rPr>
          <t xml:space="preserve">Klaipėdos miesto darnaus judumo planas (2018-09-13, T2-185);
</t>
        </r>
        <r>
          <rPr>
            <b/>
            <sz val="9"/>
            <color indexed="81"/>
            <rFont val="Tahoma"/>
            <family val="2"/>
            <charset val="186"/>
          </rPr>
          <t xml:space="preserve">P1 1.3. </t>
        </r>
        <r>
          <rPr>
            <sz val="9"/>
            <color indexed="81"/>
            <rFont val="Tahoma"/>
            <family val="2"/>
            <charset val="186"/>
          </rPr>
          <t>Ekologiško bei visiems prieinamo viešojo transporto  sistemos įdiegimas</t>
        </r>
      </text>
    </comment>
    <comment ref="E208" authorId="0" shapeId="0">
      <text>
        <r>
          <rPr>
            <b/>
            <sz val="9"/>
            <color indexed="81"/>
            <rFont val="Tahoma"/>
            <family val="2"/>
            <charset val="186"/>
          </rPr>
          <t xml:space="preserve">
KEPS 3.3.4. </t>
        </r>
        <r>
          <rPr>
            <sz val="9"/>
            <color indexed="81"/>
            <rFont val="Tahoma"/>
            <family val="2"/>
            <charset val="186"/>
          </rPr>
          <t xml:space="preserve">Formuoti pagrindinę greitojo viešojo transporto ašį, įrengiant tramvajaus sistemą ar įsigyjant kitų transporto alternatyvų 
</t>
        </r>
      </text>
    </comment>
    <comment ref="E209" authorId="0" shapeId="0">
      <text>
        <r>
          <rPr>
            <sz val="9"/>
            <color indexed="81"/>
            <rFont val="Tahoma"/>
            <family val="2"/>
            <charset val="186"/>
          </rPr>
          <t>P (KSP) 2.1.2.5. Sudaryti sąlygas naujų ekologiškų viešojo transporto rūšių atsiradimui</t>
        </r>
      </text>
    </comment>
    <comment ref="E210" authorId="0" shapeId="0">
      <text>
        <r>
          <rPr>
            <sz val="9"/>
            <color indexed="81"/>
            <rFont val="Tahoma"/>
            <family val="2"/>
            <charset val="186"/>
          </rPr>
          <t>P 2.1.2.5. Sudaryti sąlygas naujų ekologiškų viešojo transporto rūšių atsiradimui;
P2 Klaipėdos miesto darnaus judumo planas (2018-09-13, T2-185);</t>
        </r>
      </text>
    </comment>
    <comment ref="E213" authorId="0" shapeId="0">
      <text>
        <r>
          <rPr>
            <sz val="9"/>
            <color indexed="81"/>
            <rFont val="Tahoma"/>
            <family val="2"/>
            <charset val="186"/>
          </rPr>
          <t>P 2.1.2.5. Sudaryti sąlygas naujų ekologiškų viešojo transporto rūšių atsiradimui;
P2 Klaipėdos miesto darnaus judumo planas (2018-09-13, T2-185);</t>
        </r>
      </text>
    </comment>
    <comment ref="E216" authorId="0" shapeId="0">
      <text>
        <r>
          <rPr>
            <b/>
            <sz val="9"/>
            <color indexed="81"/>
            <rFont val="Tahoma"/>
            <family val="2"/>
            <charset val="186"/>
          </rPr>
          <t xml:space="preserve">P KSP </t>
        </r>
        <r>
          <rPr>
            <sz val="9"/>
            <color indexed="81"/>
            <rFont val="Tahoma"/>
            <family val="2"/>
            <charset val="186"/>
          </rPr>
          <t>2.1.2.5. Sudaryti sąlygas naujų ekologiškų viešojo transporto rūšių atsiradimui
KEPS 6.1.5. Sukurti Klaipėdos regione elektriniam transportui pritaikytą infrastruktūrą</t>
        </r>
      </text>
    </comment>
    <comment ref="K216" authorId="0" shapeId="0">
      <text>
        <r>
          <rPr>
            <b/>
            <sz val="9"/>
            <color indexed="81"/>
            <rFont val="Tahoma"/>
            <family val="2"/>
            <charset val="186"/>
          </rPr>
          <t>2020 m. 5 stotelės, 8 prieigos:</t>
        </r>
        <r>
          <rPr>
            <sz val="9"/>
            <color indexed="81"/>
            <rFont val="Tahoma"/>
            <family val="2"/>
            <charset val="186"/>
          </rPr>
          <t xml:space="preserve">
Liepų g. 11 (2 vnt.);
Liepojos g. 43 A (1 vnt.);
Pilies g. 2 A (2 vnt.);
Tilžės g. 56 b (šalia Lidll) (1 vnt.);
Smiltynės g. (šalia naujosios perkėlos Smlitynės pusėje) (2 vnt.)</t>
        </r>
      </text>
    </comment>
    <comment ref="K217" authorId="0" shapeId="0">
      <text>
        <r>
          <rPr>
            <sz val="9"/>
            <color indexed="81"/>
            <rFont val="Tahoma"/>
            <family val="2"/>
            <charset val="186"/>
          </rPr>
          <t xml:space="preserve">Pagal ES projektą 2019-10 įrengtos 3 stotelės, 6 prieigos ir priežiūros paslauga. Elektrą apmoką savivaldybė.
</t>
        </r>
        <r>
          <rPr>
            <b/>
            <sz val="9"/>
            <color indexed="81"/>
            <rFont val="Tahoma"/>
            <family val="2"/>
            <charset val="186"/>
          </rPr>
          <t>2020 m. 3 stotelės, 6 prieigos:</t>
        </r>
        <r>
          <rPr>
            <sz val="9"/>
            <color indexed="81"/>
            <rFont val="Tahoma"/>
            <family val="2"/>
            <charset val="186"/>
          </rPr>
          <t xml:space="preserve">
Taikos pr. 80 (2 vnt.);
Jūrininkų pr. 16 (2 vnt.)
S. Neries g. 16A (2 vnt.)
Savivaldybė 5 metus po stotelių įrengimo turi užtikrinti nemokamą elektromobilių įkrovimo paslaugų teikimą. Elektros išlaidos suplanuotos 7 programoje.
</t>
        </r>
      </text>
    </comment>
    <comment ref="G227" authorId="0" shapeId="0">
      <text>
        <r>
          <rPr>
            <b/>
            <sz val="9"/>
            <color indexed="81"/>
            <rFont val="Tahoma"/>
            <family val="2"/>
            <charset val="186"/>
          </rPr>
          <t>15233,7 biudžetas</t>
        </r>
        <r>
          <rPr>
            <sz val="9"/>
            <color indexed="81"/>
            <rFont val="Tahoma"/>
            <family val="2"/>
            <charset val="186"/>
          </rPr>
          <t xml:space="preserve">
</t>
        </r>
      </text>
    </comment>
    <comment ref="G229" authorId="0" shapeId="0">
      <text>
        <r>
          <rPr>
            <b/>
            <sz val="9"/>
            <color indexed="81"/>
            <rFont val="Tahoma"/>
            <family val="2"/>
            <charset val="186"/>
          </rPr>
          <t>1900</t>
        </r>
      </text>
    </comment>
  </commentList>
</comments>
</file>

<file path=xl/comments2.xml><?xml version="1.0" encoding="utf-8"?>
<comments xmlns="http://schemas.openxmlformats.org/spreadsheetml/2006/main">
  <authors>
    <author>Audra Cepiene</author>
    <author>Indrė Butenienė</author>
  </authors>
  <commentList>
    <comment ref="F14"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t>
        </r>
      </text>
    </comment>
    <comment ref="F25"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3.3.2. priemonė 
</t>
        </r>
        <r>
          <rPr>
            <b/>
            <sz val="9"/>
            <color indexed="81"/>
            <rFont val="Tahoma"/>
            <family val="2"/>
            <charset val="186"/>
          </rPr>
          <t xml:space="preserve">
P1, </t>
        </r>
        <r>
          <rPr>
            <sz val="9"/>
            <color indexed="81"/>
            <rFont val="Tahoma"/>
            <family val="2"/>
            <charset val="186"/>
          </rPr>
          <t>2.2. Miestui, uostui ir verslui aktualių investicijų projektų įgyvendinimas (1) Baltijos-Šilutės pl. sankryžos rekonstrukcija; 2) Statybininkų pr. pratęsimas iki 141 kelio; 3) Pietinio aplinkkelio įrengimas)</t>
        </r>
      </text>
    </comment>
    <comment ref="M25" authorId="0" shapeId="0">
      <text>
        <r>
          <rPr>
            <sz val="9"/>
            <color indexed="81"/>
            <rFont val="Tahoma"/>
            <family val="2"/>
            <charset val="186"/>
          </rPr>
          <t xml:space="preserve">Techn. projekto </t>
        </r>
        <r>
          <rPr>
            <b/>
            <sz val="9"/>
            <color indexed="81"/>
            <rFont val="Tahoma"/>
            <family val="2"/>
            <charset val="186"/>
          </rPr>
          <t xml:space="preserve">kaina 534 tūkst. eur </t>
        </r>
        <r>
          <rPr>
            <sz val="8"/>
            <color indexed="81"/>
            <rFont val="Tahoma"/>
            <family val="2"/>
            <charset val="186"/>
          </rPr>
          <t xml:space="preserve">(Geologinių, topografinių (geodezinių) tyrinėjimo dokumentų parengimas; Techninis projektas; Investicinis projektas; Detaliojo plano koregavimas) </t>
        </r>
        <r>
          <rPr>
            <b/>
            <sz val="8"/>
            <color indexed="81"/>
            <rFont val="Tahoma"/>
            <family val="2"/>
            <charset val="186"/>
          </rPr>
          <t>10 tūkst. eur ekspertizė</t>
        </r>
      </text>
    </comment>
    <comment ref="J28" authorId="0" shapeId="0">
      <text>
        <r>
          <rPr>
            <b/>
            <sz val="9"/>
            <color indexed="81"/>
            <rFont val="Tahoma"/>
            <family val="2"/>
            <charset val="186"/>
          </rPr>
          <t>2020-2022 VIP gauta</t>
        </r>
        <r>
          <rPr>
            <sz val="9"/>
            <color indexed="81"/>
            <rFont val="Tahoma"/>
            <family val="2"/>
            <charset val="186"/>
          </rPr>
          <t xml:space="preserve">
</t>
        </r>
      </text>
    </comment>
    <comment ref="F34"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1) Jūrininkų pr., 2) Pamario g., 3) Tilžės g.; 4) Šilutės pl. nuo Tilžės g. iki pervažos; 5) Pajūrio g.
</t>
        </r>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H39" authorId="0" shapeId="0">
      <text>
        <r>
          <rPr>
            <b/>
            <sz val="9"/>
            <color indexed="81"/>
            <rFont val="Tahoma"/>
            <family val="2"/>
            <charset val="186"/>
          </rPr>
          <t>ŽP</t>
        </r>
        <r>
          <rPr>
            <sz val="9"/>
            <color indexed="81"/>
            <rFont val="Tahoma"/>
            <family val="2"/>
            <charset val="186"/>
          </rPr>
          <t xml:space="preserve">
</t>
        </r>
      </text>
    </comment>
    <comment ref="F47" authorId="0" shapeId="0">
      <text>
        <r>
          <rPr>
            <b/>
            <sz val="9"/>
            <color indexed="81"/>
            <rFont val="Tahoma"/>
            <family val="2"/>
            <charset val="186"/>
          </rPr>
          <t xml:space="preserve">P1, 2.2. </t>
        </r>
        <r>
          <rPr>
            <sz val="9"/>
            <color indexed="81"/>
            <rFont val="Tahoma"/>
            <family val="2"/>
            <charset val="186"/>
          </rPr>
          <t>Miestui, uostui ir verslui aktualių investicijų projektų įgyvendinimas</t>
        </r>
        <r>
          <rPr>
            <b/>
            <sz val="9"/>
            <color indexed="81"/>
            <rFont val="Tahoma"/>
            <family val="2"/>
            <charset val="186"/>
          </rPr>
          <t xml:space="preserve"> 
</t>
        </r>
      </text>
    </comment>
    <comment ref="O47" authorId="0" shapeId="0">
      <text>
        <r>
          <rPr>
            <sz val="9"/>
            <color indexed="81"/>
            <rFont val="Tahoma"/>
            <family val="2"/>
            <charset val="186"/>
          </rPr>
          <t>2019 metais planuojama atlikti 70 % darbų, nes darbų metu rasta archeologinių radinių, neiškeltas Baltijos laivų statyklos dujotiekis, gamyklos teritorijoje rastos kuro talpos kurias reikalinga utilizuoti. Visi išvardinti faktoriai trukdo laiku atlikti numatytus darbus, todėl projekto užbaigimas nukeliamas į 2020 metus.</t>
        </r>
      </text>
    </comment>
    <comment ref="F52" authorId="0" shapeId="0">
      <text>
        <r>
          <rPr>
            <b/>
            <sz val="9"/>
            <color indexed="81"/>
            <rFont val="Tahoma"/>
            <family val="2"/>
            <charset val="186"/>
          </rPr>
          <t>P1, 4.1.1.</t>
        </r>
        <r>
          <rPr>
            <sz val="9"/>
            <color indexed="81"/>
            <rFont val="Tahoma"/>
            <family val="2"/>
            <charset val="186"/>
          </rPr>
          <t xml:space="preserve"> Pagal universalaus dizaino principus pritaikyta senamiesčio gatvių, vnt. </t>
        </r>
      </text>
    </comment>
    <comment ref="M52" authorId="0" shapeId="0">
      <text>
        <r>
          <rPr>
            <b/>
            <sz val="9"/>
            <color indexed="81"/>
            <rFont val="Tahoma"/>
            <family val="2"/>
            <charset val="186"/>
          </rPr>
          <t>Į senamiesčio grindinio atnaujinimo projektą įtraukta priemonė "</t>
        </r>
        <r>
          <rPr>
            <sz val="9"/>
            <color indexed="81"/>
            <rFont val="Tahoma"/>
            <family val="2"/>
            <charset val="186"/>
          </rPr>
          <t>Tomo ir Pylimo g. rekonstravimas", iš viso bus tvarkomos 8 gatvės:
Žvejų g., Teatro g., Sukilėlių g., Daržų g. (nuo Pilies g. iki Aukštosios g.), Aukštoji g. (nuo Daržų g. iki Didžiosios Vandens g.), Didžioji Vandens g. (nuo Aukštosios g. iki Tiltų g.), Vežėjų g. (nuo Turgaus g. iki Daržų g.), Tomo ir Pylimo g.</t>
        </r>
      </text>
    </comment>
    <comment ref="F53" authorId="0" shapeId="0">
      <text>
        <r>
          <rPr>
            <b/>
            <sz val="9"/>
            <color indexed="81"/>
            <rFont val="Tahoma"/>
            <family val="2"/>
            <charset val="186"/>
          </rPr>
          <t>P2,</t>
        </r>
        <r>
          <rPr>
            <sz val="9"/>
            <color indexed="81"/>
            <rFont val="Tahoma"/>
            <family val="2"/>
            <charset val="186"/>
          </rPr>
          <t xml:space="preserve"> Klaipėdos miesto darnaus judumo planas (2018-09-13, T2-185), 
</t>
        </r>
        <r>
          <rPr>
            <b/>
            <sz val="9"/>
            <color indexed="81"/>
            <rFont val="Tahoma"/>
            <family val="2"/>
            <charset val="186"/>
          </rPr>
          <t>2.1.2.8</t>
        </r>
        <r>
          <rPr>
            <sz val="9"/>
            <color indexed="81"/>
            <rFont val="Tahoma"/>
            <family val="2"/>
            <charset val="186"/>
          </rPr>
          <t xml:space="preserve"> Centrinėje miesto dalyje suformuoti pėsčiųjų takų, zonų ir gatvių tinklą </t>
        </r>
      </text>
    </comment>
    <comment ref="E55" authorId="0" shapeId="0">
      <text>
        <r>
          <rPr>
            <sz val="9"/>
            <color indexed="81"/>
            <rFont val="Tahoma"/>
            <family val="2"/>
            <charset val="186"/>
          </rPr>
          <t>SM programa 06.2.1-TID-R-511 pr.Vietinių kelių vystymas</t>
        </r>
      </text>
    </comment>
    <comment ref="F55" authorId="0" shapeId="0">
      <text>
        <r>
          <rPr>
            <b/>
            <sz val="9"/>
            <color indexed="81"/>
            <rFont val="Tahoma"/>
            <family val="2"/>
            <charset val="186"/>
          </rPr>
          <t xml:space="preserve">P1, 4.1.1. </t>
        </r>
        <r>
          <rPr>
            <sz val="9"/>
            <color indexed="81"/>
            <rFont val="Tahoma"/>
            <family val="2"/>
            <charset val="186"/>
          </rPr>
          <t xml:space="preserve">Pagal universalaus dizaino principus pritaikyta senamiesčio gatvių, vnt. </t>
        </r>
      </text>
    </comment>
    <comment ref="M55" authorId="0" shapeId="0">
      <text>
        <r>
          <rPr>
            <sz val="9"/>
            <color indexed="81"/>
            <rFont val="Tahoma"/>
            <family val="2"/>
            <charset val="186"/>
          </rPr>
          <t xml:space="preserve"> Šios gatvės buvo sudėtinė projekto "Senamiesčio grindinio atnaujinimas ir universalaus dizaino pritaikymas", dalis, tačiau, esant situacijai, kai Bastionų g. tiesimui skirtas ES lėšas reikalinga panaudoti kitoms gatvėms tiesti, siūloma Teatro ir Sukilėlių gatves išskirti į atskirą investicinį projektą ir teikti paraišką dėl ES lėšų gavimo. </t>
        </r>
      </text>
    </comment>
    <comment ref="F57" authorId="0" shapeId="0">
      <text>
        <r>
          <rPr>
            <b/>
            <sz val="9"/>
            <color indexed="81"/>
            <rFont val="Tahoma"/>
            <family val="2"/>
            <charset val="186"/>
          </rPr>
          <t xml:space="preserve">P1, </t>
        </r>
        <r>
          <rPr>
            <sz val="9"/>
            <color indexed="81"/>
            <rFont val="Tahoma"/>
            <family val="2"/>
            <charset val="186"/>
          </rPr>
          <t>3.6. Miesto susisiekimo sistemos tobulinimas užtikrinant didesnį gatvių tinklo pralaidumą:
 1) Jūrininkų pr., 2) Pamario g., 3) Tilžės g.; 4) Šilutės pl. nuo Tilžės g. iki pervažos; 5) Pajūrio g.</t>
        </r>
      </text>
    </comment>
    <comment ref="M57" authorId="0" shapeId="0">
      <text>
        <r>
          <rPr>
            <sz val="9"/>
            <color indexed="81"/>
            <rFont val="Tahoma"/>
            <family val="2"/>
            <charset val="186"/>
          </rPr>
          <t>Rekonstrukcija vykdoma kartu su LAKD (jie vykdo viešuosius pirkimus ir pasirašo sutartis)., vertė padidinta +400 dėl kapitalinių remonto darbų ir įgyvendinimo laikotarpis sutrumpintas iki 2021 metų (buvo iki 2022m.).</t>
        </r>
      </text>
    </comment>
    <comment ref="H58" authorId="0" shapeId="0">
      <text>
        <r>
          <rPr>
            <b/>
            <sz val="9"/>
            <color indexed="81"/>
            <rFont val="Tahoma"/>
            <family val="2"/>
            <charset val="186"/>
          </rPr>
          <t>ŽP</t>
        </r>
        <r>
          <rPr>
            <sz val="9"/>
            <color indexed="81"/>
            <rFont val="Tahoma"/>
            <family val="2"/>
            <charset val="186"/>
          </rPr>
          <t xml:space="preserve">
</t>
        </r>
      </text>
    </comment>
    <comment ref="F61" authorId="1" shapeId="0">
      <text>
        <r>
          <rPr>
            <sz val="9"/>
            <color indexed="81"/>
            <rFont val="Tahoma"/>
            <family val="2"/>
            <charset val="186"/>
          </rPr>
          <t>P1, 1.1.2. Parengtas ir įgyvendintas žvyruotų kelių asfaltavimo priemonių planas siekiant asfaltuoti ne mažiau kaip 10 km žvyruotų kelių, vnt</t>
        </r>
      </text>
    </comment>
    <comment ref="F66" authorId="0" shapeId="0">
      <text>
        <r>
          <rPr>
            <b/>
            <sz val="9"/>
            <color indexed="81"/>
            <rFont val="Tahoma"/>
            <family val="2"/>
            <charset val="186"/>
          </rPr>
          <t xml:space="preserve">P1, 2.2. </t>
        </r>
        <r>
          <rPr>
            <sz val="9"/>
            <color indexed="81"/>
            <rFont val="Tahoma"/>
            <family val="2"/>
            <charset val="186"/>
          </rPr>
          <t xml:space="preserve">Miestui, uostui ir verslui aktualių investicijų projektų įgyvendinimas 
</t>
        </r>
        <r>
          <rPr>
            <b/>
            <sz val="9"/>
            <color indexed="81"/>
            <rFont val="Tahoma"/>
            <family val="2"/>
            <charset val="186"/>
          </rPr>
          <t>P1, 3.6.1.</t>
        </r>
        <r>
          <rPr>
            <sz val="9"/>
            <color indexed="81"/>
            <rFont val="Tahoma"/>
            <family val="2"/>
            <charset val="186"/>
          </rPr>
          <t xml:space="preserve"> Įgyvendinta magistralinių gatvių rekonstrukcijos projektų.
 1) Jūrininkų pr., 2) Pamario g., 3) Tilžės g.; 4) Šilutės pl. nuo Tilžės g. iki pervažos; 5) Pajūrio g.</t>
        </r>
      </text>
    </comment>
    <comment ref="H71" authorId="0" shapeId="0">
      <text>
        <r>
          <rPr>
            <sz val="9"/>
            <color indexed="81"/>
            <rFont val="Tahoma"/>
            <family val="2"/>
            <charset val="186"/>
          </rPr>
          <t>Gyventojų lėšos</t>
        </r>
      </text>
    </comment>
    <comment ref="E75" authorId="0" shapeId="0">
      <text>
        <r>
          <rPr>
            <sz val="9"/>
            <color indexed="81"/>
            <rFont val="Tahoma"/>
            <family val="2"/>
            <charset val="186"/>
          </rPr>
          <t>Vadovaujantis  2005-04-21  Vyriausybės nutarimu Nr.447 įtraukiama nauja priemonė - parengti Mėgėjų sodų teritorijos kelių remonto techninius projektus. Susisiekimo ministerijos 2019-06-03 rašte Nr.2-4375 buvo pateiktas lėšų skyrimo tvarkos išaiškinimas, jog  savivaldybė turi skirti ne mažiau kaip 30 proc., tačiau ne daugiau kai 50 proc. nuosavų lėšų sodų bendrijų kelių remontui</t>
        </r>
      </text>
    </comment>
    <comment ref="F75" authorId="1" shapeId="0">
      <text>
        <r>
          <rPr>
            <sz val="9"/>
            <color indexed="81"/>
            <rFont val="Tahoma"/>
            <family val="2"/>
            <charset val="186"/>
          </rPr>
          <t>P1, 1.1.2. Parengtas ir įgyvendintas žvyruotų kelių asfaltavimo priemonių planas siekiant asfaltuoti ne mažiau kaip 10 km žvyruotų kelių, vnt</t>
        </r>
      </text>
    </comment>
    <comment ref="M75" authorId="0" shapeId="0">
      <text>
        <r>
          <rPr>
            <b/>
            <sz val="9"/>
            <color indexed="81"/>
            <rFont val="Tahoma"/>
            <family val="2"/>
            <charset val="186"/>
          </rPr>
          <t>Sodų bendrijo:</t>
        </r>
        <r>
          <rPr>
            <sz val="9"/>
            <color indexed="81"/>
            <rFont val="Tahoma"/>
            <family val="2"/>
            <charset val="186"/>
          </rPr>
          <t xml:space="preserve">
Aušrinės g. (Sodininkų bendrija "Aušra");
Baltijos 13-oji g. (Sodininkų bendrija "Baltija");
Tylos g. (Sodininkų bendrija "Diana I");
Dianos g. (Sodininkų bendrija "Diana II");
Baltijos 1-oji g. (Sodininkų bendrija "Baltija");
Inkaro 1-oji g. (Sodininkų bendrija "Inkaras");
Sąrašas pagal atliktą gatvių reitingavimą, tarybos aprašas tvirtintas taryboje spalio 24 d.
</t>
        </r>
      </text>
    </comment>
    <comment ref="E78" authorId="0" shapeId="0">
      <text>
        <r>
          <rPr>
            <sz val="9"/>
            <color indexed="81"/>
            <rFont val="Tahoma"/>
            <family val="2"/>
            <charset val="186"/>
          </rPr>
          <t>Nauja priemonė. 2017 m. kovo 30 d. tarybos sprendimas Nr. T2-75 patvirtintu Fizinių ar juridinių asmenų, pageidaujančių skirti tikslinių lėšų Klaipėdos miesto savivaldybės teritorijoje esančiai viešai susisiekimo infrastruktūrai, pasiūlymų teikimo, vertinimo, pripažinimo tinkamais įgyvendinti ir finansavimo tvarkos aprašas (pakeitimas 2018 m. liepos 26 d. tarybos sprendimu Nr. T2-181). 2019-09-24 rašte Nr. VS-4824 siūloma įgyvendinti Užlaukio ir Dienovidžio gatvių įrengimo I-ąjį etapą (~700m) ir Dailės gatvės remonto projektą (~200m).</t>
        </r>
      </text>
    </comment>
    <comment ref="M80" authorId="0" shapeId="0">
      <text>
        <r>
          <rPr>
            <sz val="9"/>
            <color indexed="81"/>
            <rFont val="Tahoma"/>
            <family val="2"/>
            <charset val="186"/>
          </rPr>
          <t>Poreikis paaiškės po pasiūlymų tekimo ir gatvių atrankos. Naujas konkursas bus skelbiamas 2022 m.</t>
        </r>
      </text>
    </comment>
    <comment ref="L83" authorId="0" shapeId="0">
      <text>
        <r>
          <rPr>
            <b/>
            <sz val="9"/>
            <color indexed="81"/>
            <rFont val="Tahoma"/>
            <family val="2"/>
            <charset val="186"/>
          </rPr>
          <t>pirminis SVP</t>
        </r>
      </text>
    </comment>
    <comment ref="M83" authorId="0" shapeId="0">
      <text>
        <r>
          <rPr>
            <sz val="9"/>
            <color indexed="81"/>
            <rFont val="Tahoma"/>
            <family val="2"/>
            <charset val="186"/>
          </rPr>
          <t xml:space="preserve">Paupių bendruomenės pastaba, pradinis SVP
</t>
        </r>
      </text>
    </comment>
    <comment ref="F86"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88"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M88" authorId="0" shapeId="0">
      <text>
        <r>
          <rPr>
            <sz val="9"/>
            <color indexed="81"/>
            <rFont val="Tahoma"/>
            <family val="2"/>
            <charset val="186"/>
          </rPr>
          <t>darbai nebus vykdomi dėl per didelės projekto finansinės vertės.</t>
        </r>
      </text>
    </comment>
    <comment ref="M90" authorId="0" shapeId="0">
      <text>
        <r>
          <rPr>
            <sz val="9"/>
            <color indexed="81"/>
            <rFont val="Tahoma"/>
            <family val="2"/>
            <charset val="186"/>
          </rPr>
          <t>Savivaldybė LR Aplinkos ministerijai buvo pateikusi siūlymus susijusius su Pajūrio juostos žemyninės dalies specialiojo plano (SP) koregavimu. Dėl  SP grafinės dalies ir vieno iš sprendinių, kuriame vietoje nurodyto privažiavimo prie jūros palei Klaipėdos miesto ir rajono savivaldybių ribą paprašyta pakeisti į žvejų ir žvejybos įmonių naudojamą privažiavimą prie jūros arčiau Girulių.  Taip pat paprašyta sprendinį, kuriame nurodomos vietos galimoms žvejų prieplaukoms papildyti Klaipėdos miesto rekreaciniu ruožu. Į prašymus dėl SP papildymo naujais sprendiniais buvo atsižvelgta ir patvirtinta 2019-06-28 LR Žemės ūkio ministro įsakymu Nr.3D-392. Norint gauti ES paramą, savivaldybė teisėtais pagrindais turi valdyti iškrovimo vietą, kurioje numatoma atlikti investicijas, t. y. žemė turi priklausyti savivaldybei. Būtina atlikti žemės perdavimo  naudotis savivaldybei procedūras ( arba sudaryti panaudos sutartį, arba nustatyti servitutą).Kol nebus atliktos šios procedūros, nėra galimybės organizuoti projektavimo darbus.</t>
        </r>
      </text>
    </comment>
    <comment ref="F96"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H96"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F102"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F109" authorId="0" shapeId="0">
      <text>
        <r>
          <rPr>
            <b/>
            <sz val="9"/>
            <color indexed="81"/>
            <rFont val="Tahoma"/>
            <family val="2"/>
            <charset val="186"/>
          </rPr>
          <t xml:space="preserve">P6, Klaipėdos miesto ekonominės plėtros strategija ir įgyvendinimo veiksmų planas iki 2030 metų, 3.3.3. priemonė </t>
        </r>
        <r>
          <rPr>
            <sz val="9"/>
            <color indexed="81"/>
            <rFont val="Tahoma"/>
            <family val="2"/>
            <charset val="186"/>
          </rPr>
          <t xml:space="preserve">
</t>
        </r>
        <r>
          <rPr>
            <b/>
            <sz val="9"/>
            <color indexed="81"/>
            <rFont val="Tahoma"/>
            <family val="2"/>
            <charset val="186"/>
          </rPr>
          <t>P1,</t>
        </r>
        <r>
          <rPr>
            <sz val="9"/>
            <color indexed="81"/>
            <rFont val="Tahoma"/>
            <family val="2"/>
            <charset val="186"/>
          </rPr>
          <t xml:space="preserve"> 2.2. Miestui, uostui ir verslui aktualių investicijų projektų įgyvendinimas (1) Baltijos-Šilutės pl. sankryžos rekonstrukcija; 2) Statybininkų pr. pratęsimas iki 141 kelio; 3) Pietinio aplinkkelio įrengimas)</t>
        </r>
      </text>
    </comment>
    <comment ref="F112" authorId="0" shapeId="0">
      <text>
        <r>
          <rPr>
            <b/>
            <sz val="9"/>
            <color indexed="81"/>
            <rFont val="Tahoma"/>
            <family val="2"/>
            <charset val="186"/>
          </rPr>
          <t xml:space="preserve">P1, 2.2. </t>
        </r>
        <r>
          <rPr>
            <sz val="9"/>
            <color indexed="81"/>
            <rFont val="Tahoma"/>
            <family val="2"/>
            <charset val="186"/>
          </rPr>
          <t xml:space="preserve">Miestui, uostui ir verslui aktualių investicijų projektų įgyvendinimas 
</t>
        </r>
        <r>
          <rPr>
            <b/>
            <sz val="9"/>
            <color indexed="81"/>
            <rFont val="Tahoma"/>
            <family val="2"/>
            <charset val="186"/>
          </rPr>
          <t>P1, 3.6.1.</t>
        </r>
        <r>
          <rPr>
            <sz val="9"/>
            <color indexed="81"/>
            <rFont val="Tahoma"/>
            <family val="2"/>
            <charset val="186"/>
          </rPr>
          <t xml:space="preserve"> Įgyvendinta magistralinių gatvių rekonstrukcijos projektų.
 1) Jūrininkų pr., 2) Pamario g., 3) Tilžės g.; 4) Šilutės pl. nuo Tilžės g. iki pervažos; 5) Pajūrio g.</t>
        </r>
      </text>
    </comment>
    <comment ref="F114" authorId="0" shapeId="0">
      <text>
        <r>
          <rPr>
            <b/>
            <sz val="9"/>
            <color indexed="81"/>
            <rFont val="Tahoma"/>
            <family val="2"/>
            <charset val="186"/>
          </rPr>
          <t xml:space="preserve">P1, </t>
        </r>
        <r>
          <rPr>
            <sz val="9"/>
            <color indexed="81"/>
            <rFont val="Tahoma"/>
            <family val="2"/>
            <charset val="186"/>
          </rPr>
          <t xml:space="preserve">3.6. Miesto susisiekimo sistemos tobulinimas užtikrinant didesnį gatvių tinklo pralaidumą;
</t>
        </r>
        <r>
          <rPr>
            <b/>
            <sz val="9"/>
            <color indexed="81"/>
            <rFont val="Tahoma"/>
            <family val="2"/>
            <charset val="186"/>
          </rPr>
          <t>P1, 3.6.1.</t>
        </r>
        <r>
          <rPr>
            <sz val="9"/>
            <color indexed="81"/>
            <rFont val="Tahoma"/>
            <family val="2"/>
            <charset val="186"/>
          </rPr>
          <t xml:space="preserve"> Įgyvendinta magistralinių gatvių rekonstrukcijos projektų.
 1) Jūrininkų pr., 2) Pamario g., 3) Tilžės g.; 4) Šilutės pl. nuo Tilžės g. iki pervažos; 5) Pajūrio g.</t>
        </r>
      </text>
    </comment>
    <comment ref="E117" authorId="0" shapeId="0">
      <text>
        <r>
          <rPr>
            <sz val="9"/>
            <color indexed="81"/>
            <rFont val="Tahoma"/>
            <family val="2"/>
            <charset val="186"/>
          </rPr>
          <t>priemonė įvykdyta, atlikti paprastojo remonto darbai</t>
        </r>
      </text>
    </comment>
    <comment ref="N133" authorId="0" shapeId="0">
      <text>
        <r>
          <rPr>
            <b/>
            <sz val="9"/>
            <color indexed="81"/>
            <rFont val="Tahoma"/>
            <family val="2"/>
            <charset val="186"/>
          </rPr>
          <t>59 445 kv.m</t>
        </r>
        <r>
          <rPr>
            <sz val="9"/>
            <color indexed="81"/>
            <rFont val="Tahoma"/>
            <family val="2"/>
            <charset val="186"/>
          </rPr>
          <t xml:space="preserve">
</t>
        </r>
      </text>
    </comment>
    <comment ref="J142" authorId="0" shapeId="0">
      <text>
        <r>
          <rPr>
            <sz val="9"/>
            <color indexed="81"/>
            <rFont val="Tahoma"/>
            <family val="2"/>
            <charset val="186"/>
          </rPr>
          <t xml:space="preserve">perkelta į šviesoforus
</t>
        </r>
      </text>
    </comment>
    <comment ref="N142" authorId="0" shapeId="0">
      <text>
        <r>
          <rPr>
            <sz val="9"/>
            <color indexed="81"/>
            <rFont val="Tahoma"/>
            <family val="2"/>
            <charset val="186"/>
          </rPr>
          <t xml:space="preserve">44 875 kv.m
</t>
        </r>
      </text>
    </comment>
    <comment ref="O142" authorId="0" shapeId="0">
      <text>
        <r>
          <rPr>
            <sz val="9"/>
            <color indexed="81"/>
            <rFont val="Tahoma"/>
            <family val="2"/>
            <charset val="186"/>
          </rPr>
          <t xml:space="preserve">44 875 kv.m
Hektaras (ha) – ploto matavimo vienetas, lygus 10 000 m² </t>
        </r>
      </text>
    </comment>
    <comment ref="O143" authorId="0" shapeId="0">
      <text>
        <r>
          <rPr>
            <sz val="9"/>
            <color indexed="81"/>
            <rFont val="Tahoma"/>
            <family val="2"/>
            <charset val="186"/>
          </rPr>
          <t xml:space="preserve">12960 kv.m
Hektaras (ha) – ploto matavimo vienetas, lygus 10 000 m² 
</t>
        </r>
      </text>
    </comment>
    <comment ref="M144" authorId="0" shapeId="0">
      <text>
        <r>
          <rPr>
            <sz val="9"/>
            <color indexed="81"/>
            <rFont val="Tahoma"/>
            <family val="2"/>
            <charset val="186"/>
          </rPr>
          <t>Pasirašyta sutartis senamiesčio dangų pritaikymo neįgaliesiems pritaikymo darbams. Darbai bus pradėti spalio pradžioje. Vyksta paruošiamieji darbai (derinami leidimai, perkamos medžiagos).
Priežiūros darbai vykdomi pagal poreikį.
Senamiesčio dangų pirtaikymas neįgaliesiems pagal parengtą aprašą (2018-09-18  UAB "Klaipėdos projektas" sutartis Nr. J9-1944)</t>
        </r>
      </text>
    </comment>
    <comment ref="M145" authorId="0" shapeId="0">
      <text>
        <r>
          <rPr>
            <sz val="9"/>
            <color indexed="81"/>
            <rFont val="Tahoma"/>
            <family val="2"/>
            <charset val="186"/>
          </rPr>
          <t xml:space="preserve">kasmet susidaro apie nuo 131-140 kiemų
</t>
        </r>
      </text>
    </comment>
    <comment ref="N145" authorId="0" shapeId="0">
      <text>
        <r>
          <rPr>
            <sz val="9"/>
            <color indexed="81"/>
            <rFont val="Tahoma"/>
            <family val="2"/>
            <charset val="186"/>
          </rPr>
          <t>18 180 kv.m</t>
        </r>
      </text>
    </comment>
    <comment ref="O145" authorId="0" shapeId="0">
      <text>
        <r>
          <rPr>
            <b/>
            <sz val="9"/>
            <color indexed="81"/>
            <rFont val="Tahoma"/>
            <family val="2"/>
            <charset val="186"/>
          </rPr>
          <t>Audra Cepiene:</t>
        </r>
        <r>
          <rPr>
            <sz val="9"/>
            <color indexed="81"/>
            <rFont val="Tahoma"/>
            <family val="2"/>
            <charset val="186"/>
          </rPr>
          <t xml:space="preserve">
17800 kv.m </t>
        </r>
      </text>
    </comment>
    <comment ref="N148" authorId="0" shapeId="0">
      <text>
        <r>
          <rPr>
            <sz val="9"/>
            <color indexed="81"/>
            <rFont val="Tahoma"/>
            <family val="2"/>
            <charset val="186"/>
          </rPr>
          <t xml:space="preserve">6600 kv.m
</t>
        </r>
      </text>
    </comment>
    <comment ref="O148" authorId="0" shapeId="0">
      <text>
        <r>
          <rPr>
            <b/>
            <sz val="9"/>
            <color indexed="81"/>
            <rFont val="Tahoma"/>
            <family val="2"/>
            <charset val="186"/>
          </rPr>
          <t>4000 kv.m</t>
        </r>
        <r>
          <rPr>
            <sz val="9"/>
            <color indexed="81"/>
            <rFont val="Tahoma"/>
            <family val="2"/>
            <charset val="186"/>
          </rPr>
          <t xml:space="preserve">
</t>
        </r>
      </text>
    </comment>
    <comment ref="M149" authorId="0" shapeId="0">
      <text>
        <r>
          <rPr>
            <b/>
            <sz val="9"/>
            <color indexed="81"/>
            <rFont val="Tahoma"/>
            <family val="2"/>
            <charset val="186"/>
          </rPr>
          <t xml:space="preserve">2019 m. </t>
        </r>
        <r>
          <rPr>
            <sz val="9"/>
            <color indexed="81"/>
            <rFont val="Tahoma"/>
            <family val="2"/>
            <charset val="186"/>
          </rPr>
          <t xml:space="preserve">
Senamiesčio gatvės 
Ligoninės g.
Vytauto g.
Gedminų g.
Pievų tako g.
Jurginų g.
Poilsio g.
Medžiotojų g.
Naikupės g.
Tilžės g.
</t>
        </r>
      </text>
    </comment>
    <comment ref="N149" authorId="0" shapeId="0">
      <text>
        <r>
          <rPr>
            <b/>
            <sz val="9"/>
            <color indexed="81"/>
            <rFont val="Tahoma"/>
            <family val="2"/>
            <charset val="186"/>
          </rPr>
          <t>11 000 kv.m</t>
        </r>
        <r>
          <rPr>
            <sz val="9"/>
            <color indexed="81"/>
            <rFont val="Tahoma"/>
            <family val="2"/>
            <charset val="186"/>
          </rPr>
          <t xml:space="preserve">
</t>
        </r>
      </text>
    </comment>
    <comment ref="M150" authorId="0" shapeId="0">
      <text>
        <r>
          <rPr>
            <sz val="9"/>
            <color indexed="81"/>
            <rFont val="Tahoma"/>
            <family val="2"/>
            <charset val="186"/>
          </rPr>
          <t>aprašas yra</t>
        </r>
      </text>
    </comment>
    <comment ref="M152" authorId="0" shapeId="0">
      <text>
        <r>
          <rPr>
            <sz val="9"/>
            <color indexed="81"/>
            <rFont val="Tahoma"/>
            <family val="2"/>
            <charset val="186"/>
          </rPr>
          <t>S. Neries g. šaligatviai buvo tvarkyti 2016 m. Kompleksiško atnaujinimo klausimas bus sprendžiamas priėmus sprendimą dėl želdinių tvarkymo.</t>
        </r>
      </text>
    </comment>
    <comment ref="N153" authorId="0" shapeId="0">
      <text>
        <r>
          <rPr>
            <b/>
            <sz val="9"/>
            <color indexed="81"/>
            <rFont val="Tahoma"/>
            <family val="2"/>
            <charset val="186"/>
          </rPr>
          <t xml:space="preserve">2019 m. išasfaltuota kiemų: </t>
        </r>
        <r>
          <rPr>
            <sz val="9"/>
            <color indexed="81"/>
            <rFont val="Tahoma"/>
            <family val="2"/>
            <charset val="186"/>
          </rPr>
          <t>Dėl išaugusių darbų kainų kiemų ir privažiuojamųjų kelių dangų remonto darbai atlikti tik prie 8 įstaigų (Žaliakalnio gimnazija, l/d „Berželis“, l/d „Atžalynas“, l/d „Želmenėlis“, vaikų globos namai „Smiltelė“, Vitės progimnazija, Ąžuolyno gimnazija, Kadetų mokykla)</t>
        </r>
        <r>
          <rPr>
            <b/>
            <sz val="9"/>
            <color indexed="81"/>
            <rFont val="Tahoma"/>
            <family val="2"/>
            <charset val="186"/>
          </rPr>
          <t xml:space="preserve">
Planuota 14 vnt. UKD </t>
        </r>
        <r>
          <rPr>
            <sz val="9"/>
            <color indexed="81"/>
            <rFont val="Tahoma"/>
            <family val="2"/>
            <charset val="186"/>
          </rPr>
          <t xml:space="preserve">pateikė poreikį šioms įstaigoms: 7 bendrojo ugdymo mokykloms ir 7 lopšeliams darželiams: </t>
        </r>
        <r>
          <rPr>
            <b/>
            <sz val="9"/>
            <color indexed="81"/>
            <rFont val="Tahoma"/>
            <family val="2"/>
            <charset val="186"/>
          </rPr>
          <t xml:space="preserve">
(darbai jau vykdomi prie šių įstaigų)
L/d "Berželis";
 L/d "Vėrinėlis"
L/d "Atžalynas"; 
Vitės progimnazija; 
"Žaliakalnio" gimnazija;
"Ąžuolyno" gimnazija;
</t>
        </r>
        <r>
          <rPr>
            <sz val="9"/>
            <color indexed="81"/>
            <rFont val="Tahoma"/>
            <family val="2"/>
            <charset val="186"/>
          </rPr>
          <t xml:space="preserve">(nepradėti vykdyti)
L/d "Želemenėlis";
L/d "Bangelė";
L/d "Pakalnutė";
L/d "Linelis";
"Gabijos" progimnazija;
"Versmės"  progimnazija;
"Vyturio" progimnazija;
Martyno Mažvydo progimnazija.
</t>
        </r>
        <r>
          <rPr>
            <b/>
            <sz val="9"/>
            <color indexed="81"/>
            <rFont val="Tahoma"/>
            <family val="2"/>
            <charset val="186"/>
          </rPr>
          <t xml:space="preserve">
2019 m. pradžioje SRD</t>
        </r>
        <r>
          <rPr>
            <sz val="9"/>
            <color indexed="81"/>
            <rFont val="Tahoma"/>
            <family val="2"/>
            <charset val="186"/>
          </rPr>
          <t xml:space="preserve"> pateikė poreikį 1 įstaigai, tačiau 23,1 tūkst. Eur lėšos nebuvo suplanuotos.
BĮ Klaipėdos vaikų globos namuose „Smiltelė“ kelio dangos remontas, kv. m. (darbai vykdomi) </t>
        </r>
        <r>
          <rPr>
            <b/>
            <sz val="9"/>
            <color indexed="81"/>
            <rFont val="Tahoma"/>
            <family val="2"/>
            <charset val="186"/>
          </rPr>
          <t xml:space="preserve">
</t>
        </r>
      </text>
    </comment>
    <comment ref="O153" authorId="0" shapeId="0">
      <text>
        <r>
          <rPr>
            <b/>
            <sz val="9"/>
            <color indexed="81"/>
            <rFont val="Tahoma"/>
            <family val="2"/>
            <charset val="186"/>
          </rPr>
          <t>2020 m.  bus 4 įstaigos (209.000 Eur):</t>
        </r>
        <r>
          <rPr>
            <sz val="9"/>
            <color indexed="81"/>
            <rFont val="Tahoma"/>
            <family val="2"/>
            <charset val="186"/>
          </rPr>
          <t xml:space="preserve">
1. "Žaliakalnio" gimnazija (iš 2019 m.);
2. "Versmės" progimnazija;
3.  L/d "Bangelė";
4. Nakvynės namai, Viršutinės g. 21.
5. Klaipėdos Vydūno gimnazijos kiemo remontas</t>
        </r>
      </text>
    </comment>
    <comment ref="P153" authorId="0" shapeId="0">
      <text>
        <r>
          <rPr>
            <b/>
            <sz val="9"/>
            <color indexed="81"/>
            <rFont val="Tahoma"/>
            <family val="2"/>
            <charset val="186"/>
          </rPr>
          <t>2021 m. bus 8 įstaigos( 543.000 Eur):</t>
        </r>
        <r>
          <rPr>
            <sz val="9"/>
            <color indexed="81"/>
            <rFont val="Tahoma"/>
            <family val="2"/>
            <charset val="186"/>
          </rPr>
          <t xml:space="preserve">
1. L/d Pakalnutė;
2. Gabijos progimnazija;
3. Vyturio progimnazija;
4. Martyno Mažvydo progimnazija;
5. L/d Žemuogėlė;
6. Vydūno gimnazija;
7. Jaronimo Kačinsko muzikos mokykla
8. Vėtrungės gimnazija.
</t>
        </r>
      </text>
    </comment>
    <comment ref="Q153" authorId="0" shapeId="0">
      <text>
        <r>
          <rPr>
            <b/>
            <sz val="9"/>
            <color indexed="81"/>
            <rFont val="Tahoma"/>
            <family val="2"/>
            <charset val="186"/>
          </rPr>
          <t>2022 m. bus 8 įstaigos (416.900 Eur):</t>
        </r>
        <r>
          <rPr>
            <sz val="9"/>
            <color indexed="81"/>
            <rFont val="Tahoma"/>
            <family val="2"/>
            <charset val="186"/>
          </rPr>
          <t xml:space="preserve">
1. L/d Inkarėlis;
2. L/d Aitvarėlis;
3. L/d Radastėlė;
4. L/d Žuvėdra;
5. L/d Šermukšnėlė;
6. Maksimo Gorkio progimnazija;
7. Klaipėdos suaugusiųjų gimanzija;
8. Verdenės gimnazija.
</t>
        </r>
      </text>
    </comment>
    <comment ref="N159" authorId="0" shapeId="0">
      <text>
        <r>
          <rPr>
            <sz val="9"/>
            <color indexed="81"/>
            <rFont val="Tahoma"/>
            <family val="2"/>
            <charset val="186"/>
          </rPr>
          <t xml:space="preserve">Pasirašyta sutartis projektavimui. </t>
        </r>
      </text>
    </comment>
    <comment ref="M160" authorId="0" shapeId="0">
      <text>
        <r>
          <rPr>
            <sz val="9"/>
            <color indexed="81"/>
            <rFont val="Tahoma"/>
            <family val="2"/>
            <charset val="186"/>
          </rPr>
          <t>Bus sujungiamos dvi automobilių aikštelės. Darbų apimtis - 10 metrų važiuojamosios dalies.</t>
        </r>
      </text>
    </comment>
    <comment ref="E163" authorId="0" shapeId="0">
      <text>
        <r>
          <rPr>
            <sz val="9"/>
            <color indexed="81"/>
            <rFont val="Tahoma"/>
            <family val="2"/>
            <charset val="186"/>
          </rPr>
          <t>parkavimo vietų subraižymas, žaliųjų vejų ir skverų sutvarkymas</t>
        </r>
      </text>
    </comment>
    <comment ref="F174"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F176" authorId="0" shapeId="0">
      <text>
        <r>
          <rPr>
            <b/>
            <sz val="9"/>
            <color indexed="81"/>
            <rFont val="Tahoma"/>
            <family val="2"/>
            <charset val="186"/>
          </rPr>
          <t>P1 1.3. Ekologiško bei visiems prieinamo viešojo transporto  sistemos įdiegimas</t>
        </r>
        <r>
          <rPr>
            <sz val="9"/>
            <color indexed="81"/>
            <rFont val="Tahoma"/>
            <family val="2"/>
            <charset val="186"/>
          </rPr>
          <t xml:space="preserve">
1.3.2. Socialiai jautrių visuomenės grupių (moksleiviai, studentai ir senjorai), kuriems įvestos papildomos nuolaidos įsigyjant viešojo transporto bilietus, skaičius </t>
        </r>
      </text>
    </comment>
    <comment ref="M178" authorId="0" shapeId="0">
      <text>
        <r>
          <rPr>
            <sz val="9"/>
            <color indexed="81"/>
            <rFont val="Tahoma"/>
            <family val="2"/>
            <charset val="186"/>
          </rPr>
          <t xml:space="preserve">Vadovaujantis 2019-04-12 savivaldybės tarybos sprendimu Nr. T2-111, kuriame numatyta nuolaida įsigyjant viešojo transporto bilietus Klaipėdos mieste esančių mokyklų 1–4 klasių mokiniams, siūloma kainų skirtumą (118,8 tūkst. Eur)  finansuoti iš savivaldybės biudžeto lėšų. Numatyta, kad šiai tikslinei grupei 9 mokslo metų mėnesių vardinis bilietas, galiosiantis tik darbo dienomis, kainuos 10 Eur (taikoma 94 proc. nuolaida). Iš viso sprendimo įgyvendinimui reikalinga 194 tūkst. Eur  kompensavimo lėšų. 75,2 tūkst. Eur buvo suplanuoti ankstesniu  sprendimu (2019 m. gegužės 30 d. sprendimas Nr. T2-145), kuriuo keistas strateginis veiklos planas
</t>
        </r>
      </text>
    </comment>
    <comment ref="M182" authorId="0" shapeId="0">
      <text>
        <r>
          <rPr>
            <b/>
            <sz val="9"/>
            <color indexed="81"/>
            <rFont val="Tahoma"/>
            <family val="2"/>
            <charset val="186"/>
          </rPr>
          <t>socialinės grupės</t>
        </r>
        <r>
          <rPr>
            <sz val="9"/>
            <color indexed="81"/>
            <rFont val="Tahoma"/>
            <family val="2"/>
            <charset val="186"/>
          </rPr>
          <t xml:space="preserve"> 
1. senjorai 80+ viso ~180 000
2. senjorai 70-79 viso ~1 000 000, papildomai nuo dabar mokamų 400 000
3. Senjorai 63-69 (išėjus į pensiją) viso 500 000,  papildomai nuo dabar mokamų 300 000  </t>
        </r>
      </text>
    </comment>
    <comment ref="N183" authorId="0" shapeId="0">
      <text>
        <r>
          <rPr>
            <sz val="9"/>
            <color indexed="81"/>
            <rFont val="Tahoma"/>
            <family val="2"/>
            <charset val="186"/>
          </rPr>
          <t xml:space="preserve">2019 m.
1.1. Lietuvos valstybės atkūrimo dieną, 2019 m. vasario 16 d.;
1.2. Klaipėdos šviesų festivalio metu, 2019 m. vasario 17 d.;
1.3. Lietuvos vaikų ir jaunimo dainų šventė “Mes Lietuvos vaikai“, 2019 m. birželio 14-16 d. (renginio dalyviams)
1.4. Tarptautinio nematerialiojo paveldo festivalis ”Lauksnos“, 2019 m. liepos 11-14 d.  (renginio dalyviams)
1.5. Jūros šventės metu, 2019 m. liepos 26-28 d.
1.6. Dieną be automobilio, 2019 m. rugsėjo 20 d.
</t>
        </r>
      </text>
    </comment>
    <comment ref="O183" authorId="0" shapeId="0">
      <text>
        <r>
          <rPr>
            <b/>
            <sz val="9"/>
            <color indexed="81"/>
            <rFont val="Tahoma"/>
            <family val="2"/>
            <charset val="186"/>
          </rPr>
          <t xml:space="preserve">2020 m. </t>
        </r>
        <r>
          <rPr>
            <sz val="9"/>
            <color indexed="81"/>
            <rFont val="Tahoma"/>
            <family val="2"/>
            <charset val="186"/>
          </rPr>
          <t xml:space="preserve">
</t>
        </r>
        <r>
          <rPr>
            <b/>
            <sz val="9"/>
            <color indexed="81"/>
            <rFont val="Tahoma"/>
            <family val="2"/>
            <charset val="186"/>
          </rPr>
          <t>1.1. visiems keleiviams:</t>
        </r>
        <r>
          <rPr>
            <sz val="9"/>
            <color indexed="81"/>
            <rFont val="Tahoma"/>
            <family val="2"/>
            <charset val="186"/>
          </rPr>
          <t xml:space="preserve">
1.1.1. Lietuvos valstybės atkūrimo dienos ir Klaipėdos šviesų festivalio metu, 2020 m. vasario 14–16 d.;
1.1.2. Jūros šventės metu, 2020 m. liepos 24–26 d.; 
1.1.3. Dieną be automobilio, 2020 m. rugsėjo 22 d.;
</t>
        </r>
        <r>
          <rPr>
            <b/>
            <sz val="9"/>
            <color indexed="81"/>
            <rFont val="Tahoma"/>
            <family val="2"/>
            <charset val="186"/>
          </rPr>
          <t>1.2. tik renginio dalyviams:</t>
        </r>
        <r>
          <rPr>
            <sz val="9"/>
            <color indexed="81"/>
            <rFont val="Tahoma"/>
            <family val="2"/>
            <charset val="186"/>
          </rPr>
          <t xml:space="preserve">
1.2.1. Lietuvos vakarų krašto dainų šventės metu, 2020 m. birželio 13–14 d.;
1.2.2. Tarptautinio festivalio „Europiada“ metu, 2020 m. rugpjūčio 5–9 d.;
1.2.3. Pasaulio salės futbolo čempionato metu, 2020 m. rugpjūčio 29 d.–spalio 5 d.
</t>
        </r>
        <r>
          <rPr>
            <b/>
            <i/>
            <sz val="9"/>
            <color indexed="81"/>
            <rFont val="Tahoma"/>
            <family val="2"/>
            <charset val="186"/>
          </rPr>
          <t>bet ne daugiau kaip 201,59 tūkst. Eur</t>
        </r>
      </text>
    </comment>
    <comment ref="I187" authorId="0" shapeId="0">
      <text>
        <r>
          <rPr>
            <sz val="9"/>
            <color indexed="81"/>
            <rFont val="Tahoma"/>
            <family val="2"/>
            <charset val="186"/>
          </rPr>
          <t xml:space="preserve">įsakymu bus įrašytos lėšos iš vežėjų už trasportą
</t>
        </r>
      </text>
    </comment>
    <comment ref="O188" authorId="0" shapeId="0">
      <text>
        <r>
          <rPr>
            <sz val="9"/>
            <color indexed="81"/>
            <rFont val="Tahoma"/>
            <family val="2"/>
            <charset val="186"/>
          </rPr>
          <t xml:space="preserve">Nuostoliai auga, nes UAB „Klaipėdos autobusų parkas“ įsigijo 18 ekologiškų autobusų </t>
        </r>
      </text>
    </comment>
    <comment ref="M194" authorId="0" shapeId="0">
      <text>
        <r>
          <rPr>
            <sz val="9"/>
            <color indexed="81"/>
            <rFont val="Tahoma"/>
            <family val="2"/>
            <charset val="186"/>
          </rPr>
          <t>Maršrutas yra nuo 2017-10-01. 2018-2019 metais padidinus šiuo metu vis dar nebrangią kelionės kainą pavyko stabilizuoti situaciją, tačiau nuostolio išvengti nepavyksta. Maršruto tvarkaraštis orientuotas į skydžių tvarkaraštį.</t>
        </r>
      </text>
    </comment>
    <comment ref="M195" authorId="0" shapeId="0">
      <text>
        <r>
          <rPr>
            <sz val="9"/>
            <color indexed="81"/>
            <rFont val="Tahoma"/>
            <family val="2"/>
            <charset val="186"/>
          </rPr>
          <t xml:space="preserve">
2019 metais nusprendus kompensuoti sąnaudas, buvo pratęsta sutartis su vežėju</t>
        </r>
      </text>
    </comment>
    <comment ref="M196" authorId="0" shapeId="0">
      <text>
        <r>
          <rPr>
            <sz val="9"/>
            <color indexed="81"/>
            <rFont val="Tahoma"/>
            <family val="2"/>
            <charset val="186"/>
          </rPr>
          <t>Nuo 2018-04 susitarimas dėl LEZ maršrutų aptarnavimo ir nuostolių kompensavimo. 2020 metams skaičiuojamas poreikis visiems 12 mėn. Nuostolio dydį gali koreguotis, kiekvieną mėn. teikiamoms bilietų pardavimo ataskaitoms</t>
        </r>
      </text>
    </comment>
    <comment ref="F198"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F199" authorId="0" shapeId="0">
      <text>
        <r>
          <rPr>
            <sz val="9"/>
            <color indexed="81"/>
            <rFont val="Tahoma"/>
            <family val="2"/>
            <charset val="186"/>
          </rPr>
          <t xml:space="preserve">P2 Klaipėdos miesto darnaus judumo planas (2018-09-13, T2-185)
</t>
        </r>
        <r>
          <rPr>
            <b/>
            <sz val="9"/>
            <color indexed="81"/>
            <rFont val="Tahoma"/>
            <family val="2"/>
            <charset val="186"/>
          </rPr>
          <t xml:space="preserve">KEPS </t>
        </r>
        <r>
          <rPr>
            <sz val="9"/>
            <color indexed="81"/>
            <rFont val="Tahoma"/>
            <family val="2"/>
            <charset val="186"/>
          </rPr>
          <t>Klaipėdos miesto ekonominės plėtros strategija ir įgyvendinimo veiksmų planas iki 2030 metų, 3.3.4. priemonė</t>
        </r>
      </text>
    </comment>
    <comment ref="M199" authorId="0" shapeId="0">
      <text>
        <r>
          <rPr>
            <b/>
            <sz val="9"/>
            <color indexed="81"/>
            <rFont val="Tahoma"/>
            <family val="2"/>
            <charset val="186"/>
          </rPr>
          <t>Integruota autobusų ir maršrutinių taksi yra 205 vnt.</t>
        </r>
        <r>
          <rPr>
            <sz val="9"/>
            <color indexed="81"/>
            <rFont val="Tahoma"/>
            <family val="2"/>
            <charset val="186"/>
          </rPr>
          <t xml:space="preserve">
</t>
        </r>
      </text>
    </comment>
    <comment ref="O199" authorId="0" shapeId="0">
      <text>
        <r>
          <rPr>
            <b/>
            <sz val="9"/>
            <color indexed="81"/>
            <rFont val="Tahoma"/>
            <family val="2"/>
            <charset val="186"/>
          </rPr>
          <t>Sutarties atsiskaitymas iki 2020 m. balandžio 1 d.</t>
        </r>
        <r>
          <rPr>
            <sz val="9"/>
            <color indexed="81"/>
            <rFont val="Tahoma"/>
            <family val="2"/>
            <charset val="186"/>
          </rPr>
          <t xml:space="preserve">
</t>
        </r>
      </text>
    </comment>
    <comment ref="E201" authorId="0" shapeId="0">
      <text>
        <r>
          <rPr>
            <sz val="9"/>
            <color indexed="81"/>
            <rFont val="Tahoma"/>
            <family val="2"/>
            <charset val="186"/>
          </rPr>
          <t xml:space="preserve">VšĮ KKT siūlo tobulinti viešojo transporto paslaugą bei pagerinti keleivių informavimo sistemą. Tai regėjimo negalią turintiems žmonėms skirtas inovatyvus sprendimas, realiu laiku teikiantis garsinę informaciją apie atvažiuojantį viešąjį transportą. Veikia su Android išmaniaisiais telefonais. Kiekvienoje stotelėje ir kiekviename autobuse įengimas bluetooth švyturys, kuris susijungia su išmaniuoju telefonu ir taip suteikia aplikacijai reikiamus duomenis.
Šis sprendimas veikia Kaune, Šiauliuose ir rudenį planuojamas paleisti Vilniuje. Todėl pačio sprendimo nereikia kurti naujai, o jį reikėtų tik suintegruoti į jau esamą sprendimą. Šis produktas autorinėmis teisėmis priklauso Kauno autobusų parkui. Iš jų VšĮ Klaipėdos keleivinis transportas gavo  sutikimą naudotis šiuo sprendimu. 
</t>
        </r>
        <r>
          <rPr>
            <b/>
            <sz val="9"/>
            <color indexed="81"/>
            <rFont val="Tahoma"/>
            <family val="2"/>
            <charset val="186"/>
          </rPr>
          <t>VšĮ KKT įsipareigotų mokėti 400 eur aplikacijos palaikymo mokestį.</t>
        </r>
      </text>
    </comment>
    <comment ref="F203"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O204" authorId="0" shapeId="0">
      <text>
        <r>
          <rPr>
            <b/>
            <sz val="9"/>
            <color indexed="81"/>
            <rFont val="Tahoma"/>
            <family val="2"/>
            <charset val="186"/>
          </rPr>
          <t>Stotelės</t>
        </r>
        <r>
          <rPr>
            <sz val="9"/>
            <color indexed="81"/>
            <rFont val="Tahoma"/>
            <family val="2"/>
            <charset val="186"/>
          </rPr>
          <t xml:space="preserve">
2020 m. 
1. Kauno stotelė pietų kryptimi (Taikos pr. 52C);
2. Baltijos stotelė šiaurės kryptimi (Taikos pr. 71A);
3. Baltijos stotelė pietų kryptimi (Taikos pr. 66A);
4. Vėtrungės stotelė pietų kryptimi (Taikos pr. 28); 
Papildomai 2020 m.:
1. Bibliotekos stotelė šiaurės kryptimi (H. Manto g. 36);
2. Bibliotekos stotelė pietų kryptimi (H. Manto g. 27);
3. Sveikatos priežiūros centro stotelė šiaurės kryptimi (Taikos pr. 97B);
4. Atgimimo stotelė šiaurės kryptimi (Liepų g. 2).
</t>
        </r>
      </text>
    </comment>
    <comment ref="O206" authorId="0" shapeId="0">
      <text>
        <r>
          <rPr>
            <b/>
            <sz val="9"/>
            <color indexed="81"/>
            <rFont val="Tahoma"/>
            <family val="2"/>
            <charset val="186"/>
          </rPr>
          <t xml:space="preserve">Įrengta švieslenčių 13 stotelių: 
2019-2020 m. 
</t>
        </r>
        <r>
          <rPr>
            <sz val="9"/>
            <color indexed="81"/>
            <rFont val="Tahoma"/>
            <family val="2"/>
            <charset val="186"/>
          </rPr>
          <t>1. Kauno stotelė pietų kryptimi (Taikos pr. 52C);
2. Baltijos stotelė šiaurės kryptimi (Taikos pr. 71A);
3. Baltijos stotelė pietų kryptimi (Taikos pr. 66A);
4. Vėtrungės stotelė pietų kryptimi (Taikos pr. 28); 
5. Kauno stotelė šiaurės kryptimi (Taikos pr. 55A);
6. Vėtrungės stotelė šiaurės kryptimi (Taikos pr. 29/33);
7. Naujojo Turgaus stotelė šiaurės kryptimi (Taikos pr. 109);
8. Smiltelės stotelė pietų kryptimi (prie PC „BIG“, Taikos pr. 139);
9. Rasos stotelė šiaurės kryptimi (Šilutės pl. 49B);
10. Žardės stotelė šiaurės kryptimi (Taikos pr. 115);
11. Vyturio stotelė šiaurės kryptimi (Vingio g.39);
12. Bandužių stotelė šiaurės kryptimi (Vingio g. 21A);
13. Sausio 15-osios stotelė pietų kryptimi (Taikos pr.18/18T).</t>
        </r>
      </text>
    </comment>
    <comment ref="O207" authorId="0" shapeId="0">
      <text>
        <r>
          <rPr>
            <b/>
            <sz val="9"/>
            <color indexed="81"/>
            <rFont val="Tahoma"/>
            <family val="2"/>
            <charset val="186"/>
          </rPr>
          <t xml:space="preserve">Rengiamas techninis projektas prie šių stotelių:
</t>
        </r>
        <r>
          <rPr>
            <sz val="9"/>
            <color indexed="81"/>
            <rFont val="Tahoma"/>
            <family val="2"/>
            <charset val="186"/>
          </rPr>
          <t>1.Priestočio g. (Autobusų stoties st.);
2.Kauno g. (Ąžuolyno st.);
3.Liepų g. (Savivaldybės st.);
4.Sausio 15-osios g. (Malūno tvenkinio st.);
5-6.Joniškės g. (Žemaičių g. ir Slyvų st.);
7.Mogiliovo g. (Mogiliovo st.);
8.Statybininkų pr. (Šilutės st.);
9.Taikos pr. (Kurėno st.);
10.Šilutės pl. (Rimkų Pervažos st.)</t>
        </r>
        <r>
          <rPr>
            <b/>
            <sz val="9"/>
            <color indexed="81"/>
            <rFont val="Tahoma"/>
            <family val="2"/>
            <charset val="186"/>
          </rPr>
          <t xml:space="preserve">
</t>
        </r>
        <r>
          <rPr>
            <sz val="9"/>
            <color indexed="81"/>
            <rFont val="Tahoma"/>
            <family val="2"/>
            <charset val="186"/>
          </rPr>
          <t xml:space="preserve">
</t>
        </r>
      </text>
    </comment>
    <comment ref="O208" authorId="0" shapeId="0">
      <text>
        <r>
          <rPr>
            <sz val="9"/>
            <color indexed="81"/>
            <rFont val="Tahoma"/>
            <family val="2"/>
            <charset val="186"/>
          </rPr>
          <t xml:space="preserve">2020-2021 m.
 Smiltelės g. 
(Minijos; Šiaurės ir pietų kryptis) </t>
        </r>
      </text>
    </comment>
    <comment ref="M210" authorId="0" shapeId="0">
      <text>
        <r>
          <rPr>
            <sz val="9"/>
            <color indexed="81"/>
            <rFont val="Tahoma"/>
            <family val="2"/>
            <charset val="186"/>
          </rPr>
          <t>Įrengta I et. stotelių su įvažomis (Vasaros estrados (pietų ir šiaurės kryptys), Rumpiškės, Kooperacijos, Juodkrantės,  Naikupės, Šilutės, Minijos, Aula Magna, Minijos stotelės), vnt.</t>
        </r>
      </text>
    </comment>
    <comment ref="M211" authorId="0" shapeId="0">
      <text>
        <r>
          <rPr>
            <sz val="9"/>
            <color indexed="81"/>
            <rFont val="Tahoma"/>
            <family val="2"/>
            <charset val="186"/>
          </rPr>
          <t>2018 m. parengtas techninis projektas ir ekpertizės išvada1</t>
        </r>
      </text>
    </comment>
    <comment ref="F213" authorId="0" shapeId="0">
      <text>
        <r>
          <rPr>
            <b/>
            <sz val="9"/>
            <color indexed="81"/>
            <rFont val="Tahoma"/>
            <family val="2"/>
            <charset val="186"/>
          </rPr>
          <t xml:space="preserve">P1 </t>
        </r>
        <r>
          <rPr>
            <sz val="9"/>
            <color indexed="81"/>
            <rFont val="Tahoma"/>
            <family val="2"/>
            <charset val="186"/>
          </rPr>
          <t>1.3.1. Parengtas ir įgyvendintas viešojo transporto parko atnaujinimo veiksmų planas siekiant padidinti alternatyviu kuru varomų viešojo transporto priemonių dalį iki 65 proc.</t>
        </r>
      </text>
    </comment>
    <comment ref="F214" authorId="1" shapeId="0">
      <text>
        <r>
          <rPr>
            <b/>
            <sz val="9"/>
            <color indexed="81"/>
            <rFont val="Tahoma"/>
            <family val="2"/>
            <charset val="186"/>
          </rPr>
          <t>KEPS 6.1.2.</t>
        </r>
        <r>
          <rPr>
            <sz val="9"/>
            <color indexed="81"/>
            <rFont val="Tahoma"/>
            <family val="2"/>
            <charset val="186"/>
          </rPr>
          <t xml:space="preserve"> Skatinti vietinių įmonių elektrinio transporto priemonių gamybą, vykdant ikiprekybinius pirkimus ir atnaujinant Klaipėdos autobusų parką </t>
        </r>
      </text>
    </comment>
    <comment ref="H214" authorId="0" shapeId="0">
      <text>
        <r>
          <rPr>
            <b/>
            <sz val="9"/>
            <color indexed="81"/>
            <rFont val="Tahoma"/>
            <family val="2"/>
            <charset val="186"/>
          </rPr>
          <t>Audra Cepiene:</t>
        </r>
        <r>
          <rPr>
            <sz val="9"/>
            <color indexed="81"/>
            <rFont val="Tahoma"/>
            <family val="2"/>
            <charset val="186"/>
          </rPr>
          <t xml:space="preserve">
</t>
        </r>
      </text>
    </comment>
    <comment ref="F219" authorId="0" shapeId="0">
      <text>
        <r>
          <rPr>
            <sz val="9"/>
            <color indexed="81"/>
            <rFont val="Tahoma"/>
            <family val="2"/>
            <charset val="186"/>
          </rPr>
          <t xml:space="preserve">
Klaipėdos miesto darnaus judumo planas (2018-09-13, T2-185)</t>
        </r>
      </text>
    </comment>
    <comment ref="F220" authorId="0" shapeId="0">
      <text>
        <r>
          <rPr>
            <b/>
            <sz val="9"/>
            <color indexed="81"/>
            <rFont val="Tahoma"/>
            <family val="2"/>
            <charset val="186"/>
          </rPr>
          <t xml:space="preserve">P1 1.3. </t>
        </r>
        <r>
          <rPr>
            <sz val="9"/>
            <color indexed="81"/>
            <rFont val="Tahoma"/>
            <family val="2"/>
            <charset val="186"/>
          </rPr>
          <t xml:space="preserve">Ekologiško bei visiems prieinamo viešojo transporto  sistemos įdiegimas
</t>
        </r>
      </text>
    </comment>
    <comment ref="F222"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M222" authorId="0" shapeId="0">
      <text>
        <r>
          <rPr>
            <b/>
            <sz val="9"/>
            <color indexed="81"/>
            <rFont val="Tahoma"/>
            <family val="2"/>
            <charset val="186"/>
          </rPr>
          <t>2019 gegužės 30 d. tarybos sprendimas Nr. T2-162 „Dėl Klaipėdos miesto savivaldybės turto investavimo ir UAB „Klaipėdos autobusų parkas</t>
        </r>
        <r>
          <rPr>
            <sz val="9"/>
            <color indexed="81"/>
            <rFont val="Tahoma"/>
            <family val="2"/>
            <charset val="186"/>
          </rPr>
          <t xml:space="preserve">
Perduoti Klaipėdos miesto savivaldybei nuosavybės teise priklausantį finansinį turtą – 665 000 Eur kaip savivaldybės turtinį įnašą uždarajai akcinei bendrovei „Klaipėdos autobusų parkas“ (toliau – Bendrovė), didinant Bendrovės įstatinį kapitalą. Šiuo piniginiu įnašu numatoma įsigyti ir apmokėti Bendrovės išleidžiamų 28,96 Eur nominalios vertės 22 962 vienetus paprastųjų vardinių akcijų, nustatant, kad akcijų emisijos kaina lygi jų nominaliai vertei.
Šis sprendimas gali būti skundžiamas Lietuvos administracinių ginčų komisijos Klaipėdos apygardos skyriui arba Regionų apygardos administracinio teismui, skundą (prašymą) paduodant bet kuriuose šio teismo rūmuose, per vieną mėnesį nuo šio sprendimo paskelbimo dienos.
Vadovaujantis 2019 gegužės 30 d. tarybos sprendimu Nr. T2-162 „Dėl Klaipėdos miesto savivaldybės turto investavimo ir UAB „Klaipėdos autobusų parkas“ įstatinio kapitalo didinimo“ reikalinga planuoti 665 000 Eur finansavimą UAB „Klaipėdos autobusų parkas“ įstatinio kapitalo didinimui. Pastaroji įmonė įsigis 2 elektra varomus autobusus </t>
        </r>
      </text>
    </comment>
    <comment ref="F223" authorId="0" shapeId="0">
      <text>
        <r>
          <rPr>
            <b/>
            <sz val="9"/>
            <color indexed="81"/>
            <rFont val="Tahoma"/>
            <family val="2"/>
            <charset val="186"/>
          </rPr>
          <t xml:space="preserve">P1 1.3. </t>
        </r>
        <r>
          <rPr>
            <sz val="9"/>
            <color indexed="81"/>
            <rFont val="Tahoma"/>
            <family val="2"/>
            <charset val="186"/>
          </rPr>
          <t xml:space="preserve">Ekologiško bei visiems prieinamo viešojo transporto  sistemos įdiegimas
</t>
        </r>
      </text>
    </comment>
    <comment ref="F224" authorId="1" shapeId="0">
      <text>
        <r>
          <rPr>
            <b/>
            <sz val="9"/>
            <color indexed="81"/>
            <rFont val="Tahoma"/>
            <family val="2"/>
            <charset val="186"/>
          </rPr>
          <t>Indrė Butenienė:</t>
        </r>
        <r>
          <rPr>
            <sz val="9"/>
            <color indexed="81"/>
            <rFont val="Tahoma"/>
            <family val="2"/>
            <charset val="186"/>
          </rPr>
          <t xml:space="preserve">
</t>
        </r>
        <r>
          <rPr>
            <b/>
            <sz val="9"/>
            <color indexed="81"/>
            <rFont val="Tahoma"/>
            <family val="2"/>
            <charset val="186"/>
          </rPr>
          <t>KEPS 6.1.2.</t>
        </r>
        <r>
          <rPr>
            <sz val="9"/>
            <color indexed="81"/>
            <rFont val="Tahoma"/>
            <family val="2"/>
            <charset val="186"/>
          </rPr>
          <t xml:space="preserve"> Skatinti vietinių įmonių elektrinio transporto priemonių gamybą, vykdant ikiprekybinius pirkimus ir atnaujinant Klaipėdos autobusų parką </t>
        </r>
      </text>
    </comment>
    <comment ref="F228" authorId="1" shapeId="0">
      <text>
        <r>
          <rPr>
            <sz val="9"/>
            <color indexed="81"/>
            <rFont val="Tahoma"/>
            <family val="2"/>
            <charset val="186"/>
          </rPr>
          <t>P2, Klaipėdos miesto darnaus judumo planas (2018-09-13, T2-185),</t>
        </r>
      </text>
    </comment>
    <comment ref="F229"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O230" authorId="0" shapeId="0">
      <text>
        <r>
          <rPr>
            <sz val="9"/>
            <color indexed="81"/>
            <rFont val="Tahoma"/>
            <family val="2"/>
            <charset val="186"/>
          </rPr>
          <t xml:space="preserve">Įrengta 5 vnt. šviesoforų, buvo ekploatuojami 66 šviesoforai
</t>
        </r>
      </text>
    </comment>
    <comment ref="O235" authorId="0" shapeId="0">
      <text>
        <r>
          <rPr>
            <b/>
            <sz val="9"/>
            <color indexed="81"/>
            <rFont val="Tahoma"/>
            <family val="2"/>
            <charset val="186"/>
          </rPr>
          <t>2020 m. planuojama projektuoti 7 perėjas:</t>
        </r>
        <r>
          <rPr>
            <sz val="9"/>
            <color indexed="81"/>
            <rFont val="Tahoma"/>
            <family val="2"/>
            <charset val="186"/>
          </rPr>
          <t xml:space="preserve">
1. Liepų g. ((prie Klaipėdos valstybinės kolegijos);
2. Taikos pr. (ties Saturnu);
3. Taikos pr. ir Debreceno g.;
4. Baltijos pr. 103;
5. Dubysos g. 21; 
6. K. Donelaičio g. ir S. Daukanto g. sankryža;
7. Šilutės pl. ir Svajonės g.
</t>
        </r>
      </text>
    </comment>
    <comment ref="O236" authorId="0" shapeId="0">
      <text>
        <r>
          <rPr>
            <sz val="9"/>
            <color indexed="81"/>
            <rFont val="Tahoma"/>
            <family val="2"/>
            <charset val="186"/>
          </rPr>
          <t xml:space="preserve">2020 m. planuojama įrengti 3 naujas šviesoforines perėjas – Šilutės pl. 48; Šilutės pl. 62; Smiltelės g. 47.
</t>
        </r>
      </text>
    </comment>
    <comment ref="M245" authorId="0" shapeId="0">
      <text>
        <r>
          <rPr>
            <sz val="9"/>
            <color indexed="81"/>
            <rFont val="Tahoma"/>
            <family val="2"/>
            <charset val="186"/>
          </rPr>
          <t>Kasmet sąrašą teikia Keleivinis transportas</t>
        </r>
      </text>
    </comment>
    <comment ref="O245" authorId="0" shapeId="0">
      <text>
        <r>
          <rPr>
            <b/>
            <sz val="9"/>
            <color indexed="81"/>
            <rFont val="Tahoma"/>
            <family val="2"/>
            <charset val="186"/>
          </rPr>
          <t xml:space="preserve">Rūko g.–Jaunystės g. </t>
        </r>
        <r>
          <rPr>
            <sz val="9"/>
            <color indexed="81"/>
            <rFont val="Tahoma"/>
            <family val="2"/>
            <charset val="186"/>
          </rPr>
          <t xml:space="preserve">
</t>
        </r>
      </text>
    </comment>
    <comment ref="M249" authorId="0" shapeId="0">
      <text>
        <r>
          <rPr>
            <sz val="9"/>
            <color indexed="81"/>
            <rFont val="Tahoma"/>
            <family val="2"/>
            <charset val="186"/>
          </rPr>
          <t>Siekiant greičiau grąžinti žaliąsias rodykles, reikia atlikti transporto srautų analizės pirkimo procedūras. Reikalavimą atlikti analizę  įvedė Transporto kompetencijų agentūra.</t>
        </r>
      </text>
    </comment>
    <comment ref="E251" authorId="0" shapeId="0">
      <text>
        <r>
          <rPr>
            <b/>
            <sz val="9"/>
            <color indexed="81"/>
            <rFont val="Tahoma"/>
            <family val="2"/>
            <charset val="186"/>
          </rPr>
          <t>Tikslas</t>
        </r>
        <r>
          <rPr>
            <sz val="9"/>
            <color indexed="81"/>
            <rFont val="Tahoma"/>
            <family val="2"/>
            <charset val="186"/>
          </rPr>
          <t xml:space="preserve">
1. Parengti Klaipėdos miesto saugaus eismo strategiją „Vizija 0“ kartu su pasiekimų vertinimo rodikliais (KPI‘s) ir tipinių saugaus eismo priemonių aprašymais ir detalizavimu.
2. Kiekvienam įgyvendinamam susisiekimo infrastruktūros projektui atlikti eismo laidumo modeliavimą dėl poveikio laidumui, patogumui ir saugaus eismo auditui. 
</t>
        </r>
        <r>
          <rPr>
            <b/>
            <sz val="9"/>
            <color indexed="81"/>
            <rFont val="Tahoma"/>
            <family val="2"/>
            <charset val="186"/>
          </rPr>
          <t>Darbai:</t>
        </r>
        <r>
          <rPr>
            <sz val="9"/>
            <color indexed="81"/>
            <rFont val="Tahoma"/>
            <family val="2"/>
            <charset val="186"/>
          </rPr>
          <t xml:space="preserve">
1. Parengiama reali saugaus eismo strategija „Vizija 0“ su priemonių planu, kartu su siektinais KPI‘s. Taip pat parengiami tipiniai detalizuoti saugaus eismo sprendiniai:
2. Modeliai;
3. Saugaus eismo auditas
</t>
        </r>
      </text>
    </comment>
    <comment ref="M251" authorId="0" shapeId="0">
      <text>
        <r>
          <rPr>
            <sz val="9"/>
            <color indexed="81"/>
            <rFont val="Tahoma"/>
            <family val="2"/>
            <charset val="186"/>
          </rPr>
          <t>Modeliavimo paslauga apima  – Transporto srautų (probleminiuose kelių objektuose) matavimą realiu laiku, taikant inovatyvias technologijas, bei siekiant suvaldyti „kamščius“ mieste</t>
        </r>
      </text>
    </comment>
    <comment ref="F253"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M254" authorId="0" shapeId="0">
      <text>
        <r>
          <rPr>
            <b/>
            <sz val="9"/>
            <color indexed="81"/>
            <rFont val="Tahoma"/>
            <family val="2"/>
            <charset val="186"/>
          </rPr>
          <t xml:space="preserve">7 greičio matuokliai 2020–2022 m. </t>
        </r>
        <r>
          <rPr>
            <sz val="9"/>
            <color indexed="81"/>
            <rFont val="Tahoma"/>
            <family val="2"/>
            <charset val="186"/>
          </rPr>
          <t xml:space="preserve">
</t>
        </r>
        <r>
          <rPr>
            <b/>
            <sz val="9"/>
            <color indexed="81"/>
            <rFont val="Tahoma"/>
            <family val="2"/>
            <charset val="186"/>
          </rPr>
          <t>1 sutartis</t>
        </r>
        <r>
          <rPr>
            <sz val="9"/>
            <color indexed="81"/>
            <rFont val="Tahoma"/>
            <family val="2"/>
            <charset val="186"/>
          </rPr>
          <t xml:space="preserve"> (2020-2022 m. - m.  po 59,4 tūkst. eur).  Įsigyjama paslauga kartu su 2 greičio matuokliais. Paslauga brangesnė. Matuokliai nebus savivaldybės turtas.
</t>
        </r>
        <r>
          <rPr>
            <b/>
            <sz val="9"/>
            <color indexed="81"/>
            <rFont val="Tahoma"/>
            <family val="2"/>
            <charset val="186"/>
          </rPr>
          <t>2 sutartis</t>
        </r>
        <r>
          <rPr>
            <sz val="9"/>
            <color indexed="81"/>
            <rFont val="Tahoma"/>
            <family val="2"/>
            <charset val="186"/>
          </rPr>
          <t xml:space="preserve"> (2019–2022 m. po 27,7 tūkst. eur). Įsigyta 2 pažangesnių nauji greičio matuoklių priežiūra. Savivaldybės turtas. Matuokliai pigesni, nes nauji.
</t>
        </r>
        <r>
          <rPr>
            <b/>
            <sz val="9"/>
            <color indexed="81"/>
            <rFont val="Tahoma"/>
            <family val="2"/>
            <charset val="186"/>
          </rPr>
          <t>3 sutartis</t>
        </r>
        <r>
          <rPr>
            <sz val="9"/>
            <color indexed="81"/>
            <rFont val="Tahoma"/>
            <family val="2"/>
            <charset val="186"/>
          </rPr>
          <t xml:space="preserve"> iki 2020-10 mėn. (reikalinga po 59,9 tūkst. eur). Planuojama nauja sutartis dėl 3 senų greičio matuoklių priežiūros. Savivaldybės turtas. Senų greičio matuoklių priežiūros kaina yra brangesnė.
</t>
        </r>
      </text>
    </comment>
    <comment ref="F258" authorId="0" shapeId="0">
      <text>
        <r>
          <rPr>
            <b/>
            <sz val="9"/>
            <color indexed="81"/>
            <rFont val="Tahoma"/>
            <family val="2"/>
            <charset val="186"/>
          </rPr>
          <t xml:space="preserve">P1, 3.6.2. </t>
        </r>
        <r>
          <rPr>
            <sz val="9"/>
            <color indexed="81"/>
            <rFont val="Tahoma"/>
            <family val="2"/>
            <charset val="186"/>
          </rPr>
          <t>Diegiama koordinuotų eismo valdymo sistemų, vnt.</t>
        </r>
      </text>
    </comment>
    <comment ref="M258" authorId="0" shapeId="0">
      <text>
        <r>
          <rPr>
            <sz val="9"/>
            <color indexed="81"/>
            <rFont val="Tahoma"/>
            <family val="2"/>
            <charset val="186"/>
          </rPr>
          <t xml:space="preserve">Projekto metu vykdyti vieši renginiai darnaus judumo temomis, parengtas techninis projektas ir planuojama įsigyti dalį eismo valdymo sistemos įdiegimo rangos, planuojama įrengti 3 vnt. bendro tipo (25 vietų) dviračių saugyklas ir 1 vnt. individualaus tipo (10 vietų) dviračių saugyklą. </t>
        </r>
      </text>
    </comment>
    <comment ref="F259" authorId="0" shapeId="0">
      <text>
        <r>
          <rPr>
            <b/>
            <sz val="9"/>
            <color indexed="81"/>
            <rFont val="Tahoma"/>
            <family val="2"/>
            <charset val="186"/>
          </rPr>
          <t>P2</t>
        </r>
        <r>
          <rPr>
            <sz val="9"/>
            <color indexed="81"/>
            <rFont val="Tahoma"/>
            <family val="2"/>
            <charset val="186"/>
          </rPr>
          <t xml:space="preserve">, Klaipėdos miesto darnaus judumo planas (2018-09-13, T2-185);
</t>
        </r>
      </text>
    </comment>
    <comment ref="F260"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text>
    </comment>
    <comment ref="F263" authorId="0" shapeId="0">
      <text>
        <r>
          <rPr>
            <b/>
            <sz val="9"/>
            <color indexed="81"/>
            <rFont val="Tahoma"/>
            <family val="2"/>
            <charset val="186"/>
          </rPr>
          <t>P1,</t>
        </r>
        <r>
          <rPr>
            <sz val="9"/>
            <color indexed="81"/>
            <rFont val="Tahoma"/>
            <family val="2"/>
            <charset val="186"/>
          </rPr>
          <t xml:space="preserve"> 3.6.2. Diegiama koordinuotų eismo valdymo sistemų, vnt.</t>
        </r>
      </text>
    </comment>
    <comment ref="F265" authorId="0" shapeId="0">
      <text>
        <r>
          <rPr>
            <b/>
            <sz val="9"/>
            <color indexed="81"/>
            <rFont val="Tahoma"/>
            <family val="2"/>
            <charset val="186"/>
          </rPr>
          <t xml:space="preserve">P2 </t>
        </r>
        <r>
          <rPr>
            <sz val="9"/>
            <color indexed="81"/>
            <rFont val="Tahoma"/>
            <family val="2"/>
            <charset val="186"/>
          </rPr>
          <t xml:space="preserve">Klaipėdos miesto darnaus judumo planas (2018-09-13, T2-185);
</t>
        </r>
        <r>
          <rPr>
            <b/>
            <sz val="9"/>
            <color indexed="81"/>
            <rFont val="Tahoma"/>
            <family val="2"/>
            <charset val="186"/>
          </rPr>
          <t xml:space="preserve">P1 1.3. </t>
        </r>
        <r>
          <rPr>
            <sz val="9"/>
            <color indexed="81"/>
            <rFont val="Tahoma"/>
            <family val="2"/>
            <charset val="186"/>
          </rPr>
          <t>Ekologiško bei visiems prieinamo viešojo transporto  sistemos įdiegimas</t>
        </r>
      </text>
    </comment>
    <comment ref="F266" authorId="1" shapeId="0">
      <text>
        <r>
          <rPr>
            <b/>
            <sz val="9"/>
            <color indexed="81"/>
            <rFont val="Tahoma"/>
            <family val="2"/>
            <charset val="186"/>
          </rPr>
          <t>Indrė Butenienė:</t>
        </r>
        <r>
          <rPr>
            <sz val="9"/>
            <color indexed="81"/>
            <rFont val="Tahoma"/>
            <family val="2"/>
            <charset val="186"/>
          </rPr>
          <t xml:space="preserve">
</t>
        </r>
        <r>
          <rPr>
            <b/>
            <sz val="9"/>
            <color indexed="81"/>
            <rFont val="Tahoma"/>
            <family val="2"/>
            <charset val="186"/>
          </rPr>
          <t>KEPS 3.3.4.</t>
        </r>
        <r>
          <rPr>
            <sz val="9"/>
            <color indexed="81"/>
            <rFont val="Tahoma"/>
            <family val="2"/>
            <charset val="186"/>
          </rPr>
          <t xml:space="preserve"> Formuoti pagrindinę greitojo viešojo transporto ašį, įrengiant tramvajaus sistemą ar įsigyjant kitų transporto alternatyvų </t>
        </r>
      </text>
    </comment>
    <comment ref="F267" authorId="0" shapeId="0">
      <text>
        <r>
          <rPr>
            <b/>
            <sz val="9"/>
            <color indexed="81"/>
            <rFont val="Tahoma"/>
            <family val="2"/>
            <charset val="186"/>
          </rPr>
          <t>KSP 2.1.2.5.</t>
        </r>
        <r>
          <rPr>
            <sz val="9"/>
            <color indexed="81"/>
            <rFont val="Tahoma"/>
            <family val="2"/>
            <charset val="186"/>
          </rPr>
          <t xml:space="preserve"> Sudaryti sąlygas naujų ekologiškų viešojo transporto rūšių atsiradimui
</t>
        </r>
      </text>
    </comment>
    <comment ref="F269"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
</t>
        </r>
        <r>
          <rPr>
            <b/>
            <sz val="9"/>
            <color indexed="81"/>
            <rFont val="Tahoma"/>
            <family val="2"/>
            <charset val="186"/>
          </rPr>
          <t>P2</t>
        </r>
        <r>
          <rPr>
            <sz val="9"/>
            <color indexed="81"/>
            <rFont val="Tahoma"/>
            <family val="2"/>
            <charset val="186"/>
          </rPr>
          <t xml:space="preserve"> Klaipėdos miesto darnaus judumo planas (2018-09-13, T2-185);</t>
        </r>
      </text>
    </comment>
    <comment ref="M269" authorId="0" shapeId="0">
      <text>
        <r>
          <rPr>
            <b/>
            <sz val="9"/>
            <color indexed="81"/>
            <rFont val="Tahoma"/>
            <family val="2"/>
            <charset val="186"/>
          </rPr>
          <t>Rezultatai:</t>
        </r>
        <r>
          <rPr>
            <sz val="9"/>
            <color indexed="81"/>
            <rFont val="Tahoma"/>
            <family val="2"/>
            <charset val="186"/>
          </rPr>
          <t xml:space="preserve">
SPG ir miesto Tarybai pritarus sprendimo projektui, kartu su Projekto partneriais būtų rengiama Projekto paraiška, siekiant miestiečiams parodyti ekonominę ir socialinę darnaus judumo (mobilumo) naudą.
Klaipėdos miesto savivaldybė, dalyvaudama Projekte, tikisi koncentruotis į pagrindinių trijų sričių problematiką (tačiau ji gali būti papildyta, modifikuota pagal vietos veiklos grupės diskusijas):
1) saugumas viešose miesto erdvėse;
2) senamiesčio centrinė dalis bemotoriam transportui; 
3) gyventojų motyvavimas keisti mobilumo įpročius.
Numatomos šios pagrindinės Projekto veiklos:
- partnerių susitikimas problemų identifikavimui ir projekto veiklų įgyvendinimo aptarimas;
- vietos veiklos grupės iš skirtingų visuomenės grupių sudarymas ir jų įtraukties į diskusijų užtikrinimas;
- keitimasis gerąją praktika tarp Projekto partnerių;
- integruoto veiksmų plano rengimas; 
- veiklų viešinimas.
Klaipėdos miesto savivaldybės tarybai pritarus dalyvavimui Projekte partnerio teisėmis bei laimėjus paraiškų konkursą, Klaipėdos miesto savivaldybė prisidėtų prie Klaipėdos miesto darnaus judumo strateginių tikslų siekimo. 
Laukiamas galutinis Projekto rezultatas - kartu su užsienio partneriais, mokslo, vietos valdžios, verslo ir bendruomenių atstovais parengtas integruotas veiksmų planas (IAP) dėl ekonominės ir socialinės darnaus judumo priemonių įgyvendinimo Klaipėdos miesto naudos įvertinimo. 
</t>
        </r>
      </text>
    </comment>
    <comment ref="E272" authorId="0" shapeId="0">
      <text>
        <r>
          <rPr>
            <b/>
            <sz val="9"/>
            <color indexed="81"/>
            <rFont val="Tahoma"/>
            <family val="2"/>
            <charset val="186"/>
          </rPr>
          <t>Apie projektą SUMP_PLUS:</t>
        </r>
        <r>
          <rPr>
            <sz val="9"/>
            <color indexed="81"/>
            <rFont val="Tahoma"/>
            <family val="2"/>
            <charset val="186"/>
          </rPr>
          <t xml:space="preserve">
Klaipėdos miesto savivaldybė partnerio teisėmis dalyvauja ES komisijos programos „Horizon 2020“ finansuojamame projekte „Darnaus judumo planavimas: kryptys bei sąsajos urbanistinėje sistemoje (sustainable urban mobility planning: pathways and links to urban system (SUMP-PLUS)“ (toliau – Projektas) kartu su kitais Europos miestais: Alba Julija (Rumunija), Antverpenas (Belgija), Luka (Italija), Mančesteris (Jungtinė Karalystė), Platanija (Graikija). 
Projekto pradžia – 2019 m. rugsėjo 1 d.; tai trejų metų mokslinių tyrimų ir inovacijų projektas, skirtas spręsti darnaus judumo iššūkius. 
Projekto tikslas – paaiškinti, patarti bei pasidalinti savo patirtimi, žiniomis su kitais Europos miestais, kaip įgyvendinti darnaus judumo viziją bei priemones. Bendromis jėgomis surasti ir parodyti naujus partnerystės ir verslo modelius siekiant įgyvendini darnaus judumo tikslus.
</t>
        </r>
      </text>
    </comment>
    <comment ref="F272"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
</t>
        </r>
        <r>
          <rPr>
            <b/>
            <sz val="9"/>
            <color indexed="81"/>
            <rFont val="Tahoma"/>
            <family val="2"/>
            <charset val="186"/>
          </rPr>
          <t>P2</t>
        </r>
        <r>
          <rPr>
            <sz val="9"/>
            <color indexed="81"/>
            <rFont val="Tahoma"/>
            <family val="2"/>
            <charset val="186"/>
          </rPr>
          <t xml:space="preserve"> Klaipėdos miesto darnaus judumo planas (2018-09-13, T2-185);</t>
        </r>
      </text>
    </comment>
    <comment ref="M272" authorId="0" shapeId="0">
      <text>
        <r>
          <rPr>
            <b/>
            <sz val="9"/>
            <color indexed="81"/>
            <rFont val="Tahoma"/>
            <family val="2"/>
            <charset val="186"/>
          </rPr>
          <t>Projekto tikslai:</t>
        </r>
        <r>
          <rPr>
            <sz val="9"/>
            <color indexed="81"/>
            <rFont val="Tahoma"/>
            <family val="2"/>
            <charset val="186"/>
          </rPr>
          <t xml:space="preserve">
SUMP-PLUS pagrindiniai tikslai: 
• Plėtoti ir taikyti efektyvius būdus, metodus bei priemones miestams, susiduriantiems su sparčiu eismo augimu (susijusiu su automobilių nuosavybės ir naudojimo padidėjimu), kad jie galėtų nustatyti praktinį būdą kuris per tam tikrą laiką nustatytų kliūtis, kurios trukdo įgyvendinti darnaus judumo tikslus. 
• Parodyti, kaip miestai gali sukurti stipresnius ryšius su kitomis miesto sistemos sudedamosiomis dalimis, kurios sukuria judumo reikalavimus (švietimas, sveikata, mažmeninė prekyba, žemės naudojimo planavimas ir kt.). 
• Nustatyti ir parodyti naujus partnerystės ir verslo modelius, kurie leistų ekonomiškai efektyviai įgyvendinti įvairius judumo tikslus per tinkamas viešojo ir privataus sektoriaus partnerystes.
• Plačiai bendradarbiauti su miestiečiais, lankytojais ir įmonėmis, siekiant susitarti dėl miesto transporto vizijos ir bendrai kurti konkrečius sprendimus
</t>
        </r>
        <r>
          <rPr>
            <b/>
            <sz val="9"/>
            <color indexed="81"/>
            <rFont val="Tahoma"/>
            <family val="2"/>
            <charset val="186"/>
          </rPr>
          <t xml:space="preserve"> Projekto rezultatai:
</t>
        </r>
        <r>
          <rPr>
            <sz val="9"/>
            <color indexed="81"/>
            <rFont val="Tahoma"/>
            <family val="2"/>
            <charset val="186"/>
          </rPr>
          <t>• Klaipėdos miesto Darnaus judumo plano įgyvendinimo proceso stebėsena.
• Konkrečių priemonių įgyvendinimas.</t>
        </r>
        <r>
          <rPr>
            <b/>
            <sz val="9"/>
            <color indexed="81"/>
            <rFont val="Tahoma"/>
            <family val="2"/>
            <charset val="186"/>
          </rPr>
          <t xml:space="preserve">
</t>
        </r>
      </text>
    </comment>
    <comment ref="F275"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
</t>
        </r>
        <r>
          <rPr>
            <b/>
            <sz val="9"/>
            <color indexed="81"/>
            <rFont val="Tahoma"/>
            <family val="2"/>
            <charset val="186"/>
          </rPr>
          <t>KEPS 6.1.5.</t>
        </r>
        <r>
          <rPr>
            <sz val="9"/>
            <color indexed="81"/>
            <rFont val="Tahoma"/>
            <family val="2"/>
            <charset val="186"/>
          </rPr>
          <t xml:space="preserve"> Sukurti Klaipėdos regione elektriniam transportui pritaikytą infrastruktūrą</t>
        </r>
      </text>
    </comment>
    <comment ref="O275" authorId="0" shapeId="0">
      <text>
        <r>
          <rPr>
            <b/>
            <sz val="9"/>
            <color indexed="81"/>
            <rFont val="Tahoma"/>
            <family val="2"/>
            <charset val="186"/>
          </rPr>
          <t>2020 m. 5 stotelės, 8 prieigos:</t>
        </r>
        <r>
          <rPr>
            <sz val="9"/>
            <color indexed="81"/>
            <rFont val="Tahoma"/>
            <family val="2"/>
            <charset val="186"/>
          </rPr>
          <t xml:space="preserve">
Liepų g. 11 (2 vnt.);
Liepojos g. 43 A (1 vnt.);
Pilies g. 2 A (2 vnt.);
Tilžės g. 56 b (šalia Lidll) (1 vnt.);
Smiltynės g. (šalia naujosios perkėlos Smlitynės pusėje) (2 vnt.)</t>
        </r>
      </text>
    </comment>
    <comment ref="O276" authorId="0" shapeId="0">
      <text>
        <r>
          <rPr>
            <sz val="9"/>
            <color indexed="81"/>
            <rFont val="Tahoma"/>
            <family val="2"/>
            <charset val="186"/>
          </rPr>
          <t xml:space="preserve">Pagal ES projektą 2019-10 įrengtos 3 stotelės, 6 prieigos ir priežiūros paslauga. Elektrą apmoką savivaldybė.
</t>
        </r>
        <r>
          <rPr>
            <b/>
            <sz val="9"/>
            <color indexed="81"/>
            <rFont val="Tahoma"/>
            <family val="2"/>
            <charset val="186"/>
          </rPr>
          <t>2020 m. 3 stotelės, 6 prieigos:</t>
        </r>
        <r>
          <rPr>
            <sz val="9"/>
            <color indexed="81"/>
            <rFont val="Tahoma"/>
            <family val="2"/>
            <charset val="186"/>
          </rPr>
          <t xml:space="preserve">
Taikos pr. 80 (2 vnt.);
Jūrininkų pr. 16 (2 vnt.)
S. Neries g. 16A (2 vnt.)
Savivaldybė 5 metus po stotelių įrengimo turi užtikrinti nemokamą elektromobilių įkrovimo paslaugų teikimą. Elektros išlaidos suplanuotos 7 programoje.
</t>
        </r>
      </text>
    </comment>
    <comment ref="F277"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N277" authorId="0" shapeId="0">
      <text>
        <r>
          <rPr>
            <sz val="9"/>
            <color indexed="81"/>
            <rFont val="Tahoma"/>
            <family val="2"/>
            <charset val="186"/>
          </rPr>
          <t>techninis aptarnavimas jau apmokėtas 5 metams į priekį, ekloatacija perduota MŪD</t>
        </r>
      </text>
    </comment>
    <comment ref="F280"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I290" authorId="0" shapeId="0">
      <text>
        <r>
          <rPr>
            <b/>
            <sz val="9"/>
            <color indexed="81"/>
            <rFont val="Tahoma"/>
            <family val="2"/>
            <charset val="186"/>
          </rPr>
          <t xml:space="preserve">19721 III SVP keitimas
</t>
        </r>
        <r>
          <rPr>
            <sz val="9"/>
            <color indexed="81"/>
            <rFont val="Tahoma"/>
            <family val="2"/>
            <charset val="186"/>
          </rPr>
          <t xml:space="preserve">
</t>
        </r>
      </text>
    </comment>
    <comment ref="J290" authorId="0" shapeId="0">
      <text>
        <r>
          <rPr>
            <b/>
            <sz val="9"/>
            <color indexed="81"/>
            <rFont val="Tahoma"/>
            <family val="2"/>
            <charset val="186"/>
          </rPr>
          <t>15233,7 biudžetas</t>
        </r>
        <r>
          <rPr>
            <sz val="9"/>
            <color indexed="81"/>
            <rFont val="Tahoma"/>
            <family val="2"/>
            <charset val="186"/>
          </rPr>
          <t xml:space="preserve">
</t>
        </r>
      </text>
    </comment>
    <comment ref="J292" authorId="0" shapeId="0">
      <text>
        <r>
          <rPr>
            <b/>
            <sz val="9"/>
            <color indexed="81"/>
            <rFont val="Tahoma"/>
            <family val="2"/>
            <charset val="186"/>
          </rPr>
          <t>1900</t>
        </r>
      </text>
    </comment>
  </commentList>
</comments>
</file>

<file path=xl/comments3.xml><?xml version="1.0" encoding="utf-8"?>
<comments xmlns="http://schemas.openxmlformats.org/spreadsheetml/2006/main">
  <authors>
    <author>Audra Cepiene</author>
  </authors>
  <commentList>
    <comment ref="M3" authorId="0" shapeId="0">
      <text>
        <r>
          <rPr>
            <b/>
            <sz val="9"/>
            <color indexed="81"/>
            <rFont val="Tahoma"/>
            <family val="2"/>
            <charset val="186"/>
          </rPr>
          <t>A. Samuilovas</t>
        </r>
        <r>
          <rPr>
            <sz val="9"/>
            <color indexed="81"/>
            <rFont val="Tahoma"/>
            <family val="2"/>
            <charset val="186"/>
          </rPr>
          <t xml:space="preserve">
socialinės grupės 
1. senjorai 80+ viso ~180 000
2. senjorai 70-79 viso ~1 000 000, papildomai nuo dabar mokamų 400 000
3. Senjorai 63-69 (išėjus į pensiją) viso 500 000,  papildomai nuo dabar mokamų 300 000  
</t>
        </r>
      </text>
    </comment>
  </commentList>
</comments>
</file>

<file path=xl/sharedStrings.xml><?xml version="1.0" encoding="utf-8"?>
<sst xmlns="http://schemas.openxmlformats.org/spreadsheetml/2006/main" count="1130" uniqueCount="412">
  <si>
    <t>Uždavinio kodas</t>
  </si>
  <si>
    <t>Priemonės kodas</t>
  </si>
  <si>
    <t>Priemonės požymis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</si>
  <si>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</si>
  <si>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</si>
  <si>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</si>
  <si>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</si>
  <si>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</si>
  <si>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</si>
  <si>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</si>
  <si>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</si>
  <si>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</si>
  <si>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</si>
  <si>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</si>
  <si>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</si>
  <si>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</si>
  <si>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</si>
  <si>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</si>
  <si>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</si>
  <si>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</si>
  <si>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</si>
  <si>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</si>
  <si>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</si>
  <si>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</si>
  <si>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</si>
  <si>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Papriemonės kodas</t>
  </si>
  <si>
    <t>03</t>
  </si>
  <si>
    <t>SUSISIEKIMO SISTEMOS PRIEŽIŪROS IR PLĖTROS PROGRAMOS (NR. 06)</t>
  </si>
  <si>
    <t>Didinti gatvių tinklo pralaidumą ir užtikrinti jų tankumą</t>
  </si>
  <si>
    <t xml:space="preserve"> Užtikrinti patogios viešojo transporto sistemos funkcionavimą</t>
  </si>
  <si>
    <t>04</t>
  </si>
  <si>
    <t>05</t>
  </si>
  <si>
    <t>06</t>
  </si>
  <si>
    <t>07</t>
  </si>
  <si>
    <t>6</t>
  </si>
  <si>
    <t>Eksploatuojama šviesoforų, vnt.</t>
  </si>
  <si>
    <t>Tiltų ir kelio statinių priežiūra</t>
  </si>
  <si>
    <t>Suremontuota asfaltbetonio dangos duobių gatvėse, ha</t>
  </si>
  <si>
    <t>Parduota lengvatinių bilietų, mln. vnt.</t>
  </si>
  <si>
    <t>Viešojo transporto priežiūros ir paslaugų kokybės kontroliavimas</t>
  </si>
  <si>
    <t>5</t>
  </si>
  <si>
    <t>ES</t>
  </si>
  <si>
    <t>Kt</t>
  </si>
  <si>
    <t>Parengtas techninis projektas, vnt.</t>
  </si>
  <si>
    <t>I</t>
  </si>
  <si>
    <t>KVJUD</t>
  </si>
  <si>
    <t>Transporto kompensacijų mokėjimas:</t>
  </si>
  <si>
    <t>Asfaltuotų daugiabučių kiemų dangų remontas</t>
  </si>
  <si>
    <t>Patikrinta viešojo transporto priemonių, tūkst. vnt.</t>
  </si>
  <si>
    <t>1</t>
  </si>
  <si>
    <t>Viešojo transporto paslaugų organizavimas:</t>
  </si>
  <si>
    <t xml:space="preserve">Iš viso  programai:  </t>
  </si>
  <si>
    <t>Pajūrio g. rekonstravimas</t>
  </si>
  <si>
    <t>Pamario gatvės rekonstravimas</t>
  </si>
  <si>
    <t>SB(L)</t>
  </si>
  <si>
    <t>Strateginis tikslas 02. Kurti mieste patrauklią, švarią ir saugią gyvenamąją aplinką</t>
  </si>
  <si>
    <t>Vykdytojas (skyrius / asmuo)</t>
  </si>
  <si>
    <t>Viešosios tvarkos skyrius</t>
  </si>
  <si>
    <t>Miesto gatvių ženklinimas</t>
  </si>
  <si>
    <t>Prižiūrima žvyruotos dangos, ha</t>
  </si>
  <si>
    <t>Paklota ištisinio asfaltbetonio dangos, ha</t>
  </si>
  <si>
    <t>Eksploatuojama prietaisų, vnt.</t>
  </si>
  <si>
    <t>SB(VR)</t>
  </si>
  <si>
    <r>
      <t xml:space="preserve">Vietinių rinkliavų lėšos </t>
    </r>
    <r>
      <rPr>
        <b/>
        <sz val="10"/>
        <rFont val="Times New Roman"/>
        <family val="1"/>
        <charset val="186"/>
      </rPr>
      <t>SB(VR)</t>
    </r>
  </si>
  <si>
    <t xml:space="preserve">IED Projektų skyrius </t>
  </si>
  <si>
    <t>SB(VRL)</t>
  </si>
  <si>
    <t>P2.1.2.9</t>
  </si>
  <si>
    <t xml:space="preserve"> - vežėjams už lengvatas turinčių keleivių vežimą</t>
  </si>
  <si>
    <t xml:space="preserve"> - moksleiviams</t>
  </si>
  <si>
    <t xml:space="preserve"> - profesinių mokyklų moksleiviams</t>
  </si>
  <si>
    <t>Suženklinta gatvių, ha</t>
  </si>
  <si>
    <t>Eksploatuojama greičio matuoklių, vnt.</t>
  </si>
  <si>
    <t>Parengtas paviljono su aikštele techninis projektas, vnt.</t>
  </si>
  <si>
    <t xml:space="preserve">Savivaldybės biudžetas, iš jo: </t>
  </si>
  <si>
    <t xml:space="preserve">Parengtas techninis projektas, vnt. </t>
  </si>
  <si>
    <t>Planas</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</si>
  <si>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</si>
  <si>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</si>
  <si>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t>SB(ŽPL)</t>
  </si>
  <si>
    <t>SB(KPP)</t>
  </si>
  <si>
    <t>Kiemų ir privažiuojamųjų kelių  prie biudžetinių įstaigų dangos remontas</t>
  </si>
  <si>
    <t>Asfaltbetonio dangos, žvyruotos dangos ir akmenimis grįstų miesto gatvių dangos remontas</t>
  </si>
  <si>
    <t>Eismo reguliavimo infrastruktūros eksploatacija ir įrengimas</t>
  </si>
  <si>
    <t>Mokamo automobilių stovėjimo sistemos mieste kūrimas ir išlaikymas</t>
  </si>
  <si>
    <t>Eismo srautų reguliavimo ir saugumo priemonių įgyvendinimas:</t>
  </si>
  <si>
    <t>2.1.2.8</t>
  </si>
  <si>
    <t>tūkst. Eur</t>
  </si>
  <si>
    <t xml:space="preserve">Diegti eismo srautų reguliavimo ir saugumo priemones </t>
  </si>
  <si>
    <t xml:space="preserve">Eksploatuojama eismo reguliavimo priemonių, tūkst. vnt. </t>
  </si>
  <si>
    <t>P2.1.2.3</t>
  </si>
  <si>
    <t xml:space="preserve">Susisiekimo sistemos objektų pritaikymas neįgaliesiems  </t>
  </si>
  <si>
    <t>Aiškinamojo rašto priedas Nr.3</t>
  </si>
  <si>
    <t>2019-ieji metai</t>
  </si>
  <si>
    <t>Klaipėdos miesto viešojo transporto atnaujinimas (autobusų įsigijimas)</t>
  </si>
  <si>
    <t>Klaipėdos miesto viešojo transporto švieslenčių ir informacinių švieslenčių įrengimas ir atnaujinimas</t>
  </si>
  <si>
    <t xml:space="preserve">Įrengta švieslenčių miesto autobusų stotelėse, vnt.  </t>
  </si>
  <si>
    <t>P2.1.2.5</t>
  </si>
  <si>
    <r>
      <rPr>
        <b/>
        <sz val="10"/>
        <rFont val="Times New Roman"/>
        <family val="1"/>
        <charset val="186"/>
      </rPr>
      <t>II etapas.</t>
    </r>
    <r>
      <rPr>
        <sz val="10"/>
        <rFont val="Times New Roman"/>
        <family val="1"/>
        <charset val="186"/>
      </rPr>
      <t xml:space="preserve"> Žiedinės Tilžės g., Mokyklos g. ir Šilutės pl. sankryžos pertvarkymas į šviesoforinę </t>
    </r>
  </si>
  <si>
    <t>Kombinuotų kelionių jungčių (PARK&amp;RIDE) įrengimas (šiaurinėje miesto dalyje)</t>
  </si>
  <si>
    <t>Įdiegta transporto valdymo sistema. Užbaigtumas, proc.</t>
  </si>
  <si>
    <t>Viešojo transporto (autobusų ir maršrutinių taksi) integravimo sistemos įrangos įsigijimas ir atnaujinimas</t>
  </si>
  <si>
    <t>Baltijos pr. ir Šilutės pl. žiedinės sankryžos rekonstravimas</t>
  </si>
  <si>
    <t>- nuostolių, patirtų vežant keleivius vietinio reguliaraus susisiekimo autobusų maršrutais renginių metu, kompensavimas</t>
  </si>
  <si>
    <t>Statybininkų prospekto tęsinio tiesimas nuo Šilutės pl. per LEZ teritoriją iki 141 kelio: II etapas – Lypkių gatvės ruožo nuo Šilutės plento tiesimas</t>
  </si>
  <si>
    <t>Apšviesta pėsčiųjų perėjų, vnt</t>
  </si>
  <si>
    <t xml:space="preserve">Privažiuojamojo kelio prie pastato Debreceno g. 48  įrengimas ir pastato aplinkos sutvarkymas </t>
  </si>
  <si>
    <t>Suteikta gatvių dangų, konstruktyvo ir betoninių gaminių kontrolinių bandymų paslaugų. Užbaigtumas, proc.</t>
  </si>
  <si>
    <t>Eksploatuojama bilietų automatų, vnt.</t>
  </si>
  <si>
    <t>Įrengtas naujas žvejų laivams skirtas slipas (aikštelė, skirta valtims nuleisti ir ištraukti iš vandens). Užbaigtumas, proc.</t>
  </si>
  <si>
    <t>Kompensuota bilietų moksleiviams, tūkst. vnt.</t>
  </si>
  <si>
    <t>Kompensuota bilietų profesinių mokyklų moksleiviams, tūkst. vnt.</t>
  </si>
  <si>
    <t>Atlikta rekonstravimo darbų. Užbaigtumas, proc.</t>
  </si>
  <si>
    <t>Atlikta gatvės (1374 m ) rekonstravimo darbų. Užbaigtumas, proc.</t>
  </si>
  <si>
    <t>Įstaigų, kurių kiemuose atlikta asfalto dangos remonto darbų, skaičius</t>
  </si>
  <si>
    <t>Kūlių Vartų g. ir Bangų g., Tiltų g., Galinio Pylimo g., Taikos pr. sankryžos rekonstravimas</t>
  </si>
  <si>
    <r>
      <rPr>
        <b/>
        <sz val="10"/>
        <rFont val="Times New Roman"/>
        <family val="1"/>
        <charset val="186"/>
      </rPr>
      <t xml:space="preserve">I etapas. </t>
    </r>
    <r>
      <rPr>
        <sz val="10"/>
        <rFont val="Times New Roman"/>
        <family val="1"/>
        <charset val="186"/>
      </rPr>
      <t>Tilžės g. nuo Šilutės pl. iki geležinkelio pervažos rekonstravimas</t>
    </r>
  </si>
  <si>
    <t xml:space="preserve">Klaipėdos miesto gatvių pėsčiųjų perėjų kryptinis apšvietimas </t>
  </si>
  <si>
    <t>Parengtas II etapo techninis projektas (Klaipėdos g., Virkučių g., Slengių g., Lietaus g., Vaivorykštės g., Griaustinio g. ir Arimų g.), vnt.</t>
  </si>
  <si>
    <t>Maršruto „Klaipėdos autobusų stotis–Palangos oro uostas“ kursavimas</t>
  </si>
  <si>
    <t>Kompensuota nuostolingų maršrutų, vnt.</t>
  </si>
  <si>
    <r>
      <t xml:space="preserve">Europos Sąjungos paramos lėšos, kurios įtrauktos į Savivaldybės biudžetą </t>
    </r>
    <r>
      <rPr>
        <b/>
        <sz val="10"/>
        <rFont val="Times New Roman"/>
        <family val="1"/>
        <charset val="186"/>
      </rPr>
      <t>SB(ES)</t>
    </r>
  </si>
  <si>
    <t>Elektromobilių įkrovimo stotelių įrengimas  Klaipėdos mieste</t>
  </si>
  <si>
    <t xml:space="preserve">Nuostolių kompensacijų mokėjimas: </t>
  </si>
  <si>
    <t>patirtų įgyvendinant ES Sanglaudos fondų finansuojamus ekologiškų viešojo transporto  priemonių įsigijimo projektus</t>
  </si>
  <si>
    <t>Parengta galimybių studija, vnt.</t>
  </si>
  <si>
    <t>2020-ieji metai</t>
  </si>
  <si>
    <t>Atlikta gatvės tiesimo darbų. Užbaigtumas, proc.</t>
  </si>
  <si>
    <t>2.1.2.2.</t>
  </si>
  <si>
    <r>
      <t xml:space="preserve">Programų lėšų likučių lėšos </t>
    </r>
    <r>
      <rPr>
        <b/>
        <sz val="10"/>
        <rFont val="Times New Roman"/>
        <family val="1"/>
        <charset val="186"/>
      </rPr>
      <t xml:space="preserve">SB(L) </t>
    </r>
  </si>
  <si>
    <t>Šermukšnių g.;</t>
  </si>
  <si>
    <t>2019 m.</t>
  </si>
  <si>
    <t>2020 m.</t>
  </si>
  <si>
    <t>S. Šimkaus g.;</t>
  </si>
  <si>
    <t>Jurginų g.;</t>
  </si>
  <si>
    <t>Subsidijuojamų maršrutų skaičius:</t>
  </si>
  <si>
    <t>Atliktas gatvių – Akmenų g. (405 m), Vėjo g. (1373 m), Smėlio g. (960 m) ir Debesų g. (890 m) rekonstravimas. Užbaigtumas, proc.</t>
  </si>
  <si>
    <t>Atliktas gatvių –  Klaipėdos g. (500 m) ir Virkučių g. (1004 m) rekonstravimas. Užbaigtumas, proc.</t>
  </si>
  <si>
    <t>Atliktas gatvių – Slengių g., Lietaus g., Vaivorykštės g., Griaustinio g. ,Arimų g., Vėjo g. (II dalies), Žvaigždžių g. rekonstravimas. Užbaigtumas, proc.</t>
  </si>
  <si>
    <t>Atlikta gatvės (600 m) rekonstravimo darbų.
Užbaigtumas, proc.</t>
  </si>
  <si>
    <t>Atlikta žiedinės sankryžos rekonstravimo darbų. Užbaigtumas, proc.</t>
  </si>
  <si>
    <t>Atlikta Pamario g. (4400 m) rekonstravimo darbų (II-IV etapai). Užbaigtumas, proc.</t>
  </si>
  <si>
    <t>Atlikta prospekto atkarpos rekonstravimo darbų.  Užbaigtumas, proc.</t>
  </si>
  <si>
    <t>10</t>
  </si>
  <si>
    <t>08</t>
  </si>
  <si>
    <t>Elektra varomo viešojo transporto naujų galimybių plėtra (DEPO), ELENA</t>
  </si>
  <si>
    <t>Parengtas tramvajaus ir elektrinių autobusų pirkimo strategijos dokumentų paketas, vnt.</t>
  </si>
  <si>
    <t>Įrengta elektromobilių įkrovimo prieigų, vnt.</t>
  </si>
  <si>
    <t>Įdiegta dviračių saugojimo (angl. bike-storing) sistema, vnt.</t>
  </si>
  <si>
    <t>Lengvųjų automobilių taksi  ženklinimo  sprendinių projekto parengimas</t>
  </si>
  <si>
    <t>Parengtas ženklinimo sprendinių projektas, vnt.</t>
  </si>
  <si>
    <t>Transporto skyrius</t>
  </si>
  <si>
    <t>Įrengta elektros įvadų švieslenčių įrengimui, vnt.</t>
  </si>
  <si>
    <t>Tauralaukio gyvenvietės gatvių rekonstravimas</t>
  </si>
  <si>
    <t xml:space="preserve">Naujo įvažiuojamojo kelio (Priešpilio g.) į piliavietę ir Kruizinių laivų terminalą tiesimas </t>
  </si>
  <si>
    <t xml:space="preserve">Puodžių gatvės rekonstravimas  </t>
  </si>
  <si>
    <t xml:space="preserve">Dubliuojančios gatvės nuo Šiltnamių g. iki Klaipėdos g. su pėsčiųjų ir dviračių taku ir įvažomis į Liepojos g. įrengimas                          </t>
  </si>
  <si>
    <t xml:space="preserve">Joniškės g. rekonstravimas (II etapas – nuo Klemiškės g. iki Liepų g., Šienpjovių g.) </t>
  </si>
  <si>
    <r>
      <t>Uostamiesčiai: darnaus judumo principų integravimas (PORT Cities: Integrating Sustainability, PORTIS)</t>
    </r>
    <r>
      <rPr>
        <sz val="10"/>
        <color rgb="FFFF0000"/>
        <rFont val="Times New Roman"/>
        <family val="1"/>
        <charset val="186"/>
      </rPr>
      <t xml:space="preserve"> </t>
    </r>
  </si>
  <si>
    <t>Automobilių stovėjimo aikštelės teritorijoje  Bangų g., Klaipėdoje, įrengimas</t>
  </si>
  <si>
    <t xml:space="preserve">Sodų bendrija „Vaiteliai“–„Rasa“ kursavimas </t>
  </si>
  <si>
    <t xml:space="preserve">Atlikta gatvės rekonstravimo darbų. Užbaigtumas, proc.
</t>
  </si>
  <si>
    <t>Ekologiškų viešojo transporto priemonių, kuriomis važiuojant patiriami nuostoliai, vnt.</t>
  </si>
  <si>
    <t>Įsigyta naujų ekologiškų autobusų, vnt.</t>
  </si>
  <si>
    <t>Klaipėdos miestui priklausančių elektromobilių įkrovimo stotelių eksploatavimas ir priežiūra</t>
  </si>
  <si>
    <t>Senamiesčio grindinio atnaujinimas ir universalaus dizaino pritaikymas</t>
  </si>
  <si>
    <t>Įrengta neregių vedimo dangos autobusų stotelėse, vnt</t>
  </si>
  <si>
    <t>Klemiškės g. rekonstravimas</t>
  </si>
  <si>
    <t>SB(ES)</t>
  </si>
  <si>
    <t>2021-ųjų metų lėšų projektas</t>
  </si>
  <si>
    <t>2021-ieji metai</t>
  </si>
  <si>
    <t>Eksploatuojama elektromobilių įkrovimo stotelių, vnt.</t>
  </si>
  <si>
    <t>Atliktas poveikio aplinkai vertinimo dokumentas, vnt.</t>
  </si>
  <si>
    <t>I, P2</t>
  </si>
  <si>
    <t>P2</t>
  </si>
  <si>
    <t>Atlikta sankryžos rekonstravimo darbų. Užbaigtumas, proc.</t>
  </si>
  <si>
    <t>40</t>
  </si>
  <si>
    <t>Atlikta senamiesčio gatvių atnaujinimo darbų. Užbaigtumas, proc.</t>
  </si>
  <si>
    <t>Žvejybos produktų iškrovimo vietos prie jūros Klaipėdos miesto teritorijoje įrengimas</t>
  </si>
  <si>
    <t>LRVB</t>
  </si>
  <si>
    <t>8</t>
  </si>
  <si>
    <t>Įrengta (I etapo) stotelių su įvažomis, vnt.</t>
  </si>
  <si>
    <r>
      <t xml:space="preserve">Valstybės biudžeto specialiosios tikslinės dotacijos lėšos </t>
    </r>
    <r>
      <rPr>
        <b/>
        <sz val="10"/>
        <rFont val="Times New Roman"/>
        <family val="1"/>
        <charset val="186"/>
      </rPr>
      <t>SB(VB)</t>
    </r>
  </si>
  <si>
    <t>Atlikta eismo juostos įrengimo darbų. Užbaigtumas, proc.</t>
  </si>
  <si>
    <t>Maršrutas į LEZ teritoriją</t>
  </si>
  <si>
    <t>Naktinis maršrutas</t>
  </si>
  <si>
    <t>Išmokėta už 2018 m. gautą autobusų integracijos įrangą ir sistemą. Užbaigtumas, proc.</t>
  </si>
  <si>
    <t>Parengta projektų, vnt.</t>
  </si>
  <si>
    <t>Rekonstruotas šviesoforas (Tilžės g. ir Sausio 15-osios g. sankryžoje), vnt.</t>
  </si>
  <si>
    <t>2021 m.</t>
  </si>
  <si>
    <t>Gedminų g.;</t>
  </si>
  <si>
    <t>Prižiūrėta tiltų ir viadukų, vnt.</t>
  </si>
  <si>
    <t>Pėsčiųjų ir dviračių takų, šaligatvių (su dviračių takais) remonto bei įrengimo darbai</t>
  </si>
  <si>
    <t>Keleivinio transporto stotelių su įvažomis Klaipėdos miesto gatvėse projektavimas ir įrengimas</t>
  </si>
  <si>
    <t>Įrengtas įvažos pratęsimas, vnt.</t>
  </si>
  <si>
    <t xml:space="preserve">Neeksploatuojamų požeminių perėjų Šilutės pl. kapitalinis remontas </t>
  </si>
  <si>
    <t xml:space="preserve"> Miesto tvarkymo skyrius</t>
  </si>
  <si>
    <t>Tilžės g. nuo Šilutės pl. iki geležinkelio pervažos rekonstravimas, pertvarkant žiedinę Mokyklos g. ir Šilutės pl. sankryžą</t>
  </si>
  <si>
    <t>1,3</t>
  </si>
  <si>
    <t>1,8</t>
  </si>
  <si>
    <t>Suremontuota asfaltbetonio dangos duobių kiemuose, ha</t>
  </si>
  <si>
    <t>Atnaujinta šaligatvių miesto gatvėse, ha</t>
  </si>
  <si>
    <t>0,15</t>
  </si>
  <si>
    <t>Suremontuota gatvių akmens grindinio dangos  senamiesčio gatvėse, ha</t>
  </si>
  <si>
    <t>4,5</t>
  </si>
  <si>
    <t>Suremontuota šaligatvių (su dviračių takais), ha</t>
  </si>
  <si>
    <t>Atnaujinta dekoratyvinių kelio ženklų stovų, vnt.</t>
  </si>
  <si>
    <t>Nuostolingų maršrutų subsidijavimas priemiesčio ir miesto maršrutus aptarnaujantiems vežėjams</t>
  </si>
  <si>
    <t>Automatinės eismo priežiūros prietaisų eksploatacija</t>
  </si>
  <si>
    <r>
      <t xml:space="preserve">Kelių priežiūros ir plėtros programos lėšos įtrauktos į savivaldybės biudžetą </t>
    </r>
    <r>
      <rPr>
        <b/>
        <sz val="10"/>
        <rFont val="Times New Roman"/>
        <family val="1"/>
        <charset val="186"/>
      </rPr>
      <t>SB(KPP)</t>
    </r>
  </si>
  <si>
    <r>
      <t xml:space="preserve">Planuojamos kelių priežiūros ir plėtros programos lėšos </t>
    </r>
    <r>
      <rPr>
        <b/>
        <sz val="10"/>
        <rFont val="Times New Roman"/>
        <family val="1"/>
        <charset val="186"/>
      </rPr>
      <t>SB(KPP)</t>
    </r>
  </si>
  <si>
    <t>I, P2, P6</t>
  </si>
  <si>
    <t xml:space="preserve">Renginių, kurių metu keleiviams bus taikomos lengvatos, vnt. </t>
  </si>
  <si>
    <t>priedas</t>
  </si>
  <si>
    <t>Įrengta kintamos informacijos ženklų Prano Lideikio g. Užbaigtumas, proc.</t>
  </si>
  <si>
    <t>Smiltelės g. (ruožas nuo Taikos pr. iki Minijos g.);</t>
  </si>
  <si>
    <t>Vytauto g. (ruožas nuo S. Šimkaus g. iki Puodžių g.);</t>
  </si>
  <si>
    <t>H. Manto g. (labiausiai pažeisti ruožai, įvažos);</t>
  </si>
  <si>
    <t>Įvažiuojamųjų kelių atnaujinimas:</t>
  </si>
  <si>
    <t>Įvažiuojamojo kelio į Taikos pr. 101;</t>
  </si>
  <si>
    <t>Įvažiuojamojo kelio  į Debreceno g. 61</t>
  </si>
  <si>
    <t>Parengtas S. Neries gatvės šaligatvių kompleksiško atnaujinimo projektas</t>
  </si>
  <si>
    <t xml:space="preserve">Klaipėdos miesto savivaldybės susisiekimo sistemos  priežiūros ir plėtros programos (Nr. 06) aprašymo             
</t>
  </si>
  <si>
    <t xml:space="preserve">10  </t>
  </si>
  <si>
    <t>0,66</t>
  </si>
  <si>
    <t>1,1</t>
  </si>
  <si>
    <t>Kompensuota bilietų pradinių klasių moksleivaims, tūkst. vnt.</t>
  </si>
  <si>
    <t>URBACT III projekto „Gyvos gatvės“ įgyvendinimas</t>
  </si>
  <si>
    <t>Atnaujinta senamiesčio dangų pritaikant neįgaliesiems, ha</t>
  </si>
  <si>
    <t>0,13</t>
  </si>
  <si>
    <t>Įgyvendintas projektas, vnt.</t>
  </si>
  <si>
    <t>Parengtas  techninis projektas (ruožas nuo Laivų skersgatvio iki Artojų g.), vnt.</t>
  </si>
  <si>
    <t>P6</t>
  </si>
  <si>
    <t>Medžiagų tyrimas ir kontroliniai bandymai, topografinių nuotraukų, išpildomųjų geodezinių nuotraukų įsigijimas, statinių projektų ekspertizių bei kitos inžinerinės paslaugos</t>
  </si>
  <si>
    <t>18</t>
  </si>
  <si>
    <t>50</t>
  </si>
  <si>
    <t>100</t>
  </si>
  <si>
    <t>Įgyvendintas projekto, vnt.</t>
  </si>
  <si>
    <t>Mėgėjų sodų teritorijoje savivaldybių institucijų valdomų kelių remontas</t>
  </si>
  <si>
    <t>UAB „Klaipėdos autobusų parkas" įstatinio kapitalo didinimas įsigyjant du elektra varomus autobusus</t>
  </si>
  <si>
    <t>Padidintas UAB „Klaipėdos autobusų parkas" įstatinis kapitalas, proc.</t>
  </si>
  <si>
    <t xml:space="preserve">Teatro ir Sukilėlių g. rekonstrukcija </t>
  </si>
  <si>
    <t>Senamiesčio gatvės</t>
  </si>
  <si>
    <t>2022-ieji metai</t>
  </si>
  <si>
    <t>2020-ųjų metų asignavimų planas</t>
  </si>
  <si>
    <t>2022-ųjų metų lėšų projektas</t>
  </si>
  <si>
    <t xml:space="preserve">2019–2022 M. KLAIPĖDOS MIESTO SAVIVALDYBĖS     </t>
  </si>
  <si>
    <t>67</t>
  </si>
  <si>
    <t>7,2</t>
  </si>
  <si>
    <t>7,5</t>
  </si>
  <si>
    <t>Įdiegta paslauga. Užbaigtumas, proc.</t>
  </si>
  <si>
    <t>Parengta naujai įrengiamų šviesoforų projektų, vnt.</t>
  </si>
  <si>
    <t>Naujai įrengta šviesoforų, vnt.</t>
  </si>
  <si>
    <t>Objektų, kuriuose nagrinėjamas transporto srautų pasiskirstymas ir modeliavimo scenarijai, skaičius</t>
  </si>
  <si>
    <t>Nesuremontuotos</t>
  </si>
  <si>
    <t>Šilutės pl. (tarp Baltijos pr. ir Šilutės pl. žiedo ir Mainų g.);</t>
  </si>
  <si>
    <t>Žardininkų g.</t>
  </si>
  <si>
    <t>Parengtas techninis projektas, vnt</t>
  </si>
  <si>
    <t>2022 m.</t>
  </si>
  <si>
    <t>Mogiliovo gyvenamojo rajono gatvės (pagal poreikį remontuojamos kitos gatvės);</t>
  </si>
  <si>
    <t xml:space="preserve">Parengtas aprašas, vnt. </t>
  </si>
  <si>
    <t>Atlikta teritorijos paprastojo remonto darbų. Užbaigtumas, proc.</t>
  </si>
  <si>
    <t>0,8</t>
  </si>
  <si>
    <t>S. Daukanto g. nuo Šaulių g. iki J. Zauerveino g. kapitalinis remontas</t>
  </si>
  <si>
    <t>Atlikta gatvės kapitalinio remonto ir eismo juostos įrengimo darbų. Užbaigtumas, proc.</t>
  </si>
  <si>
    <t>Paprastojo remonto ir priežiūros darbų techninė priežiūra</t>
  </si>
  <si>
    <t>Atlikta techninė priežiūra, vnt.</t>
  </si>
  <si>
    <t>Gatvių tiesimas ir rekonstravimas:</t>
  </si>
  <si>
    <t>SB:</t>
  </si>
  <si>
    <t>SB(L):</t>
  </si>
  <si>
    <t>SB(ŽPL):</t>
  </si>
  <si>
    <t>SB(KPP):</t>
  </si>
  <si>
    <t>SB(ES):</t>
  </si>
  <si>
    <t>KVJUD:</t>
  </si>
  <si>
    <t>LRVB:</t>
  </si>
  <si>
    <t>ES:</t>
  </si>
  <si>
    <t>Kt:</t>
  </si>
  <si>
    <t>SB(VR):</t>
  </si>
  <si>
    <t>SB(VRL):</t>
  </si>
  <si>
    <t>Danės g. rekonstravimas</t>
  </si>
  <si>
    <t>Šilutės plento ruožo nuo Tilžės g. iki geležinkelio pervažos (iki Kauno g.) rekonstrukcija (SM programa 06.2.1-TID-R-511 pr.Vietinių kelių vystymas)</t>
  </si>
  <si>
    <t>Įrengtas laikinas kelias (Lypkių pervažoje). Užbaigtumas, proc</t>
  </si>
  <si>
    <t>Atlikti elektros įrenginių iškėlimo ir apsaugos darbai. Užbaigtumas, proc.</t>
  </si>
  <si>
    <t>Įtraukta Lietuvos automobilių kelių direkcijos dalis pagal planuojamą pasirašyti bendradarbiavimo sutartį (lėšos detalizuotos pirkimo vertei pagrįsti)</t>
  </si>
  <si>
    <t>Dokumentacijos, reikalingos žemės perdavimo  naudotis savivaldybei procedūrų atlikimo, parengimas, vnt.</t>
  </si>
  <si>
    <t>Įrengta stotelių su įvažomis, vnt.</t>
  </si>
  <si>
    <t xml:space="preserve">Parengtas techninis projektas (Žvejų g., Teatro g., Sukilėlių g., Daržų g., Aukštoji g., Didžioji Vandens g., Vežėjų g.), vnt. </t>
  </si>
  <si>
    <t>Parengtas Tomo ir Pylimo g. techninis projektas, vnt.</t>
  </si>
  <si>
    <t>Įdiegta transporto (I etapas) valdymo sistema. Užbaigtumas, proc.</t>
  </si>
  <si>
    <t>Atlikta remonto darbų. Užbaigtumas, proc.</t>
  </si>
  <si>
    <t>Atlikta Dailės g. su projekto parengimu  remonto darbų. Užbaigtumas, proc.</t>
  </si>
  <si>
    <t>Atlikta Dienovidžio g. remonto darbų. Užbaigtumas, proc.</t>
  </si>
  <si>
    <t>P1</t>
  </si>
  <si>
    <t>P1, P6</t>
  </si>
  <si>
    <t>Lypkių pervažos įrengimas</t>
  </si>
  <si>
    <t>Kursuojančių ekologiškų elektrinių autobusų skaičius</t>
  </si>
  <si>
    <t>Mogiliovo gyvenamojo rajono gatvės (pagal poreikį viena iš šio gyvenamojo rajono gatvių);</t>
  </si>
  <si>
    <t>Atlikta kelio Taikos pr. 109 ir 101 atnaujinimo darbų. Užbaigtumas, proc.</t>
  </si>
  <si>
    <t>Atlikta kelio  į Debreceno g. 61 atnaujinimo darbų. Užbaigtumas, proc.</t>
  </si>
  <si>
    <t>2</t>
  </si>
  <si>
    <t>2.1.2.5</t>
  </si>
  <si>
    <t>2.1.2.10</t>
  </si>
  <si>
    <r>
      <rPr>
        <b/>
        <sz val="9"/>
        <rFont val="Times New Roman"/>
        <family val="1"/>
        <charset val="186"/>
      </rPr>
      <t xml:space="preserve">P2, </t>
    </r>
    <r>
      <rPr>
        <sz val="9"/>
        <rFont val="Times New Roman"/>
        <family val="1"/>
        <charset val="186"/>
      </rPr>
      <t>2.1.2.5</t>
    </r>
  </si>
  <si>
    <t>laikinai patirtų vykdant keleivinio kelių transporto viešųjų paslaugų vežant keleivius vietinio (miesto) reguliaraus susisiekimo autobusų maršrutais</t>
  </si>
  <si>
    <t>2019-ųjų metų asignavimų planas*</t>
  </si>
  <si>
    <r>
      <rPr>
        <b/>
        <sz val="9"/>
        <rFont val="Times New Roman"/>
        <family val="1"/>
        <charset val="186"/>
      </rPr>
      <t xml:space="preserve">P2, </t>
    </r>
    <r>
      <rPr>
        <sz val="9"/>
        <rFont val="Times New Roman"/>
        <family val="1"/>
        <charset val="186"/>
      </rPr>
      <t xml:space="preserve"> P2.1.2.8</t>
    </r>
  </si>
  <si>
    <t>09</t>
  </si>
  <si>
    <t>Tauralaukio gatvės</t>
  </si>
  <si>
    <t>Planuotos, tačiau 2019 m. nesuremontuotos gatvės. SPG STR3-13 posėdyje nuspręsta 2019-2021 SVP keitime gatvių nekoreguoti</t>
  </si>
  <si>
    <t>Darnaus judumo projektų įgyvendinimas:</t>
  </si>
  <si>
    <t>Parengtas planas, vnt.</t>
  </si>
  <si>
    <t>Viešojo transporto parko atnaujinimo veiksmų plano parengimas ir įgyvendinimas</t>
  </si>
  <si>
    <t>0,4</t>
  </si>
  <si>
    <t>5,3</t>
  </si>
  <si>
    <t>Kursuojančių ekologiškų elektrinių autobusų skaičius, vnt.</t>
  </si>
  <si>
    <t xml:space="preserve">P1, P2 </t>
  </si>
  <si>
    <t>Įsigyti šviesoforų postų eismo valdymo įrendiniai, vnt.</t>
  </si>
  <si>
    <t>11</t>
  </si>
  <si>
    <t>12</t>
  </si>
  <si>
    <t>13</t>
  </si>
  <si>
    <t>14</t>
  </si>
  <si>
    <t>Parengtas pėsčiųjų takų ir laiptų prie Kultūros centro „Žvejų rūmai“ aprašas, vnt.</t>
  </si>
  <si>
    <r>
      <t xml:space="preserve">P2.1.2.5,   </t>
    </r>
    <r>
      <rPr>
        <b/>
        <sz val="10"/>
        <rFont val="Times New Roman"/>
        <family val="1"/>
        <charset val="186"/>
      </rPr>
      <t>P6</t>
    </r>
  </si>
  <si>
    <t>Rekonstruoti, tiesti ir prižiūrėti gatves</t>
  </si>
  <si>
    <t>Atlikta įrengimo darbų. Užbaigtumas, proc.</t>
  </si>
  <si>
    <t xml:space="preserve">Transporto (eismo) valdymo sistemos diegimas </t>
  </si>
  <si>
    <t>Naujo tilto su pakeliamu mechanizmu per Danę statybos dokumentacijos parengimas</t>
  </si>
  <si>
    <t xml:space="preserve"> Projektų skyrius </t>
  </si>
  <si>
    <t>Žemėtvarkos skyrius</t>
  </si>
  <si>
    <t>Statybos ir infrastruktūros plėtros skyrius</t>
  </si>
  <si>
    <t xml:space="preserve">Projektų skyrius </t>
  </si>
  <si>
    <t>Miesto tvarkymo skyrius</t>
  </si>
  <si>
    <t>I, P1</t>
  </si>
  <si>
    <t>I, P1 P2</t>
  </si>
  <si>
    <t>Projekto „Darnaus judumo planavimas: bendradarbiavimas bei ryšiai urbanistinėje sistemoje (SUMP- PLUS)“ įgyvendinimas</t>
  </si>
  <si>
    <t>Projektų skyrius</t>
  </si>
  <si>
    <t xml:space="preserve"> Transporto skyrius</t>
  </si>
  <si>
    <t xml:space="preserve">Atlikta kitų gatvių  remonto darbų. Užbaigtumas, proc. </t>
  </si>
  <si>
    <t xml:space="preserve"> Ištisinio asfaltbetonio dangos įrengimas: </t>
  </si>
  <si>
    <t>Transporto srautų modeliavimas</t>
  </si>
  <si>
    <t>3</t>
  </si>
  <si>
    <t>4</t>
  </si>
  <si>
    <t>7</t>
  </si>
  <si>
    <t xml:space="preserve">2020–2022 M. KLAIPĖDOS MIESTO SAVIVALDYBĖS     </t>
  </si>
  <si>
    <t>P</t>
  </si>
  <si>
    <t>P,  P2</t>
  </si>
  <si>
    <t>Laikino kelio (Lypkių pervažoje) įrengimas</t>
  </si>
  <si>
    <t xml:space="preserve">2020 m. </t>
  </si>
  <si>
    <t>P, P2</t>
  </si>
  <si>
    <t>P, P6</t>
  </si>
  <si>
    <t>Koreguotas techninis projektas, vnt.</t>
  </si>
  <si>
    <t>Paklota ištisinio asfaltbetonio dangos (2022 m. bus planujamas naujas poreikis), ha</t>
  </si>
  <si>
    <t>Įrengtas laikinas kelias (Lypkių pervažoje). Užbaigtumas, proc.</t>
  </si>
  <si>
    <t>Gatvės ir pėsčiųjų bei dviračių takų įrengimas prisidedant prie BĮ Lietuvos jūrų muziejaus projekto „Baltijos jūros gyvūnų reabilitacinis centras“  įgyvendinimo</t>
  </si>
  <si>
    <t xml:space="preserve"> - papildomoms socialinėms grupėms</t>
  </si>
  <si>
    <t>Socialinių grupių, kurioms taikoma 99 proc. nuolaida, skaičius</t>
  </si>
  <si>
    <t>SB"</t>
  </si>
  <si>
    <t>180</t>
  </si>
  <si>
    <t>1000</t>
  </si>
  <si>
    <t>500</t>
  </si>
  <si>
    <t>senjorų virš 80 metų, ( tūkst.)skaičius</t>
  </si>
  <si>
    <t>senjorų nuo 70 iki 79, (tūkst.) skaičius</t>
  </si>
  <si>
    <t>senjorų nuo 63 iki 69, (tūkst.) skaičius</t>
  </si>
  <si>
    <t>180"</t>
  </si>
  <si>
    <t>580"</t>
  </si>
  <si>
    <t>880"</t>
  </si>
  <si>
    <t>SB(ESA)</t>
  </si>
  <si>
    <r>
      <t xml:space="preserve">Savivaldybės biudžeto apyvartos lėšos Europos Sąjungos finansinės paramos programų laikinam lėšų stygiui dengti </t>
    </r>
    <r>
      <rPr>
        <b/>
        <sz val="10"/>
        <rFont val="Times New Roman"/>
        <family val="1"/>
        <charset val="186"/>
      </rPr>
      <t xml:space="preserve"> SB(ESA)</t>
    </r>
  </si>
  <si>
    <t>SB(VB)</t>
  </si>
  <si>
    <t>15</t>
  </si>
  <si>
    <t>16</t>
  </si>
  <si>
    <t>17</t>
  </si>
  <si>
    <t>19</t>
  </si>
  <si>
    <t>20</t>
  </si>
  <si>
    <t>21</t>
  </si>
  <si>
    <t>22</t>
  </si>
  <si>
    <t>23</t>
  </si>
  <si>
    <t>24</t>
  </si>
  <si>
    <t>25</t>
  </si>
  <si>
    <t>26</t>
  </si>
  <si>
    <t>27</t>
  </si>
  <si>
    <t>28</t>
  </si>
  <si>
    <t>29</t>
  </si>
  <si>
    <t>30</t>
  </si>
  <si>
    <t>31</t>
  </si>
  <si>
    <t>32</t>
  </si>
  <si>
    <t>Sankryžų skaičius, kuriose atliktos transporto srautų analizės, vnt.</t>
  </si>
  <si>
    <t>Parengtas techninis projektas (ruožas nuo Laivų skg. iki Artojų g.), vnt.</t>
  </si>
  <si>
    <t>Klaipėdos miesto gatvių rekonstravimas bendromis savivaldybės ir privačių asmenų lėšomis</t>
  </si>
  <si>
    <t>Eismo juostos, skirtos iš Prano Lideikio g. pasukti į H. Manto gatvę, įrengimas</t>
  </si>
  <si>
    <t>Įrengtas Smiltynės g. ruožas su dviračių ir pėsčiųjų takais, proc.</t>
  </si>
  <si>
    <t>Joniškės g. (neremontuotas ruožas šalia Klaipėdos baldų įmonės iki Bangų g.);</t>
  </si>
  <si>
    <t>H. Manto (labiausiai pažeisti ruožai, vietos);</t>
  </si>
  <si>
    <t>Šilutės plento senasis ruožas (projektavimas);</t>
  </si>
  <si>
    <t>Įrengtas Smiltynės g. ruožas su dviračių ir pėsčiųjų takais. Užbaigtumas, proc.</t>
  </si>
  <si>
    <t xml:space="preserve">Jūrininkų prospekto ruožo nuo Šilutės pl. iki Minijos g. rekonstrukcija </t>
  </si>
  <si>
    <t>H. Manto (labiausiai pažeisti ruoži, vietos);</t>
  </si>
  <si>
    <t>Šilutės pl. senasis ruožas;</t>
  </si>
  <si>
    <t>Vingio g. (ruožas nuo Smiltelės g. iki Šilutės pl.);</t>
  </si>
  <si>
    <t>Šilutės pl. senasis ruožasa;</t>
  </si>
  <si>
    <t>Gatvių sarašas bus sudaromas po gatvių apžiūrų 2021–2022 m.</t>
  </si>
  <si>
    <t xml:space="preserve">Šalia Klaipėdos Simono Dacho progimnazijos esančio Jūrininkų tako gatvės pailginimas </t>
  </si>
  <si>
    <t>Vilniaus dailės akademijos Klaipėdos fakulteto teritorijos sutvarkymas</t>
  </si>
  <si>
    <t>Kelio Klaipėda–Kretinga Nr. 168 (Medelyno g.) rekonstravimas</t>
  </si>
  <si>
    <t>Įvažiuojamojo kelio ir šalia esančio skvero į Taikos pr. 109 ;</t>
  </si>
  <si>
    <t>Transporto balso funkcijos, skirtos regėjimo negalią turintiems žmonėms, įdiegimas</t>
  </si>
  <si>
    <r>
      <t>Įvažos pratęsimo Naujojo turgaus autobusų stotelėje įrengimas (</t>
    </r>
    <r>
      <rPr>
        <i/>
        <sz val="10"/>
        <rFont val="Times New Roman"/>
        <family val="1"/>
        <charset val="186"/>
      </rPr>
      <t>kryptis į pietinę miesto dalį</t>
    </r>
    <r>
      <rPr>
        <sz val="10"/>
        <rFont val="Times New Roman"/>
        <family val="1"/>
        <charset val="186"/>
      </rPr>
      <t xml:space="preserve">)  </t>
    </r>
  </si>
  <si>
    <r>
      <t>Įvažos pratęsimo Naujojo turgaus autobusų stotelėjeįrengimas (</t>
    </r>
    <r>
      <rPr>
        <i/>
        <sz val="10"/>
        <rFont val="Times New Roman"/>
        <family val="1"/>
        <charset val="186"/>
      </rPr>
      <t>kryptis į pietinę miesto dalį</t>
    </r>
    <r>
      <rPr>
        <sz val="10"/>
        <rFont val="Times New Roman"/>
        <family val="1"/>
        <charset val="186"/>
      </rPr>
      <t xml:space="preserve">)  </t>
    </r>
  </si>
  <si>
    <t>Transporto srautų analizė, skirta žaliųjų rodyklių grąžinimui</t>
  </si>
  <si>
    <t>Projekto „Darnaus judumo planavimas: bendradarbiavimas bei ryšiai urbanistinėje sistemoje (SUMP-PLUS)“ įgyvendinimas</t>
  </si>
  <si>
    <t>Eksploatuojama elektromobilių įkrovimo stotelių, įrengtų pagal ES projektą, vnt.</t>
  </si>
  <si>
    <t>*Pagal Klaipėdos miesto savivaldybės tarybos 2019-10-24 sprendimą Nr. T2-293</t>
  </si>
  <si>
    <t>Atlikta gatvės rekonstravimo darbų. Užbaigtumas, proc.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</si>
</sst>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t_-;\-* #,##0.00\ _L_t_-;_-* &quot;-&quot;??\ _L_t_-;_-@_-"/>
    <numFmt numFmtId="165" formatCode="#,##0.0"/>
    <numFmt numFmtId="166" formatCode="[$-409]General"/>
  </numFmts>
  <fonts count="39" x14ac:knownFonts="1">
    <font>
      <sz val="10"/>
      <name val="Arial"/>
      <charset val="186"/>
    </font>
    <font>
      <sz val="10"/>
      <name val="Times New Roman"/>
      <family val="1"/>
      <charset val="186"/>
    </font>
    <font>
      <b/>
      <sz val="10"/>
      <name val="Times New Roman"/>
      <family val="1"/>
      <charset val="186"/>
    </font>
    <font>
      <b/>
      <sz val="8"/>
      <name val="Times New Roman"/>
      <family val="1"/>
      <charset val="186"/>
    </font>
    <font>
      <b/>
      <sz val="10"/>
      <name val="Times New Roman"/>
      <family val="1"/>
      <charset val="204"/>
    </font>
    <font>
      <sz val="9"/>
      <name val="Times New Roman"/>
      <family val="1"/>
      <charset val="186"/>
    </font>
    <font>
      <sz val="10"/>
      <name val="Arial"/>
      <family val="2"/>
      <charset val="186"/>
    </font>
    <font>
      <sz val="9"/>
      <color indexed="81"/>
      <name val="Tahoma"/>
      <family val="2"/>
      <charset val="186"/>
    </font>
    <font>
      <b/>
      <sz val="9"/>
      <color indexed="81"/>
      <name val="Tahoma"/>
      <family val="2"/>
      <charset val="186"/>
    </font>
    <font>
      <b/>
      <sz val="9"/>
      <name val="Times New Roman"/>
      <family val="1"/>
      <charset val="186"/>
    </font>
    <font>
      <sz val="8"/>
      <name val="Arial"/>
      <family val="2"/>
      <charset val="186"/>
    </font>
    <font>
      <sz val="10"/>
      <color rgb="FFFF0000"/>
      <name val="Times New Roman"/>
      <family val="1"/>
      <charset val="186"/>
    </font>
    <font>
      <sz val="7"/>
      <name val="Arial"/>
      <family val="2"/>
      <charset val="186"/>
    </font>
    <font>
      <i/>
      <sz val="10"/>
      <name val="Times New Roman"/>
      <family val="1"/>
      <charset val="186"/>
    </font>
    <font>
      <sz val="11"/>
      <name val="Times New Roman"/>
      <family val="1"/>
      <charset val="186"/>
    </font>
    <font>
      <b/>
      <sz val="11"/>
      <name val="Times New Roman"/>
      <family val="1"/>
      <charset val="186"/>
    </font>
    <font>
      <sz val="11"/>
      <name val="Calibri"/>
      <family val="2"/>
      <charset val="186"/>
      <scheme val="minor"/>
    </font>
    <font>
      <b/>
      <i/>
      <sz val="10"/>
      <name val="Times New Roman"/>
      <family val="1"/>
      <charset val="186"/>
    </font>
    <font>
      <sz val="10"/>
      <color rgb="FF1F497D"/>
      <name val="Times New Roman"/>
      <family val="1"/>
      <charset val="186"/>
    </font>
    <font>
      <b/>
      <sz val="10"/>
      <color rgb="FFFF0000"/>
      <name val="Times New Roman"/>
      <family val="1"/>
      <charset val="186"/>
    </font>
    <font>
      <sz val="12"/>
      <name val="Times New Roman"/>
      <family val="1"/>
      <charset val="186"/>
    </font>
    <font>
      <b/>
      <sz val="10"/>
      <color theme="1"/>
      <name val="Times New Roman"/>
      <family val="1"/>
      <charset val="186"/>
    </font>
    <font>
      <sz val="8"/>
      <color indexed="81"/>
      <name val="Tahoma"/>
      <family val="2"/>
      <charset val="186"/>
    </font>
    <font>
      <sz val="10"/>
      <name val="Times New Roman"/>
      <family val="1"/>
    </font>
    <font>
      <b/>
      <sz val="8"/>
      <color indexed="81"/>
      <name val="Tahoma"/>
      <family val="2"/>
      <charset val="186"/>
    </font>
    <font>
      <strike/>
      <sz val="10"/>
      <name val="Times New Roman"/>
      <family val="1"/>
      <charset val="186"/>
    </font>
    <font>
      <b/>
      <sz val="11"/>
      <name val="Calibri"/>
      <family val="2"/>
      <charset val="186"/>
      <scheme val="minor"/>
    </font>
    <font>
      <b/>
      <sz val="10"/>
      <name val="Arial"/>
      <family val="2"/>
      <charset val="186"/>
    </font>
    <font>
      <sz val="11"/>
      <color rgb="FF000000"/>
      <name val="Calibri"/>
      <family val="2"/>
      <charset val="186"/>
    </font>
    <font>
      <sz val="10"/>
      <color theme="3"/>
      <name val="Times New Roman"/>
      <family val="1"/>
      <charset val="186"/>
    </font>
    <font>
      <i/>
      <sz val="9"/>
      <name val="Times New Roman"/>
      <family val="1"/>
      <charset val="186"/>
    </font>
    <font>
      <i/>
      <sz val="10"/>
      <name val="Arial"/>
      <family val="2"/>
      <charset val="186"/>
    </font>
    <font>
      <i/>
      <sz val="9"/>
      <name val="Arial"/>
      <family val="2"/>
      <charset val="186"/>
    </font>
    <font>
      <b/>
      <i/>
      <sz val="8"/>
      <name val="Times New Roman"/>
      <family val="1"/>
      <charset val="186"/>
    </font>
    <font>
      <sz val="9"/>
      <name val="Arial"/>
      <family val="2"/>
      <charset val="186"/>
    </font>
    <font>
      <i/>
      <sz val="7"/>
      <name val="Times New Roman"/>
      <family val="1"/>
      <charset val="186"/>
    </font>
    <font>
      <b/>
      <i/>
      <sz val="10"/>
      <name val="Arial"/>
      <family val="2"/>
      <charset val="186"/>
    </font>
    <font>
      <b/>
      <i/>
      <sz val="9"/>
      <color indexed="81"/>
      <name val="Tahoma"/>
      <family val="2"/>
      <charset val="186"/>
    </font>
    <font>
      <sz val="9"/>
      <color rgb="FFFF0000"/>
      <name val="Times New Roman"/>
      <family val="1"/>
      <charset val="186"/>
    </font>
  </fonts>
  <fills count="14">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indexed="64"/>
      </bottom>
      <diagonal/>
    </border>
    <border>
      <left style="thin">
        <color indexed="64"/>
      </left>
      <right style="medium">
        <color indexed="64"/>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s>
  <cellStyleXfs count="4">
    <xf numFmtId="0" fontId="0" fillId="0" borderId="0"/>
    <xf numFmtId="164" fontId="6" fillId="0" borderId="0" applyFont="0" applyFill="0" applyBorder="0" applyAlignment="0" applyProtection="0"/>
    <xf numFmtId="0" fontId="6" fillId="0" borderId="0"/>
    <xf numFmtId="166" fontId="28" fillId="0" borderId="0" applyBorder="0" applyProtection="0"/>
  </cellStyleXfs>
  <cellXfs count="1742">
    <xf numFmtId="0" fontId="0" fillId="0" borderId="0" xfId="0"/>
    <xf numFmtId="0" fontId="1" fillId="0" borderId="0" xfId="0" applyFont="1" applyBorder="1" applyAlignment="1">
      <alignment vertical="top"/>
    </xf>
    <xf numFmtId="0" fontId="1" fillId="0" borderId="0" xfId="0" applyFont="1" applyAlignment="1">
      <alignment vertical="top"/>
    </xf>
    <xf numFmtId="0" fontId="1" fillId="0" borderId="0" xfId="0" applyFont="1" applyAlignment="1">
      <alignment horizontal="center" vertical="top"/>
    </xf>
    <xf numFmtId="0" fontId="1" fillId="0" borderId="0" xfId="0" applyFont="1" applyFill="1" applyAlignment="1">
      <alignment vertical="top"/>
    </xf>
    <xf numFmtId="0" fontId="1" fillId="3" borderId="0" xfId="0" applyFont="1" applyFill="1" applyAlignment="1">
      <alignment vertical="top"/>
    </xf>
    <xf numFmtId="164" fontId="1" fillId="0" borderId="0" xfId="1" applyFont="1" applyBorder="1" applyAlignment="1">
      <alignment vertical="top"/>
    </xf>
    <xf numFmtId="0" fontId="6" fillId="0" borderId="0" xfId="0" applyFont="1"/>
    <xf numFmtId="0" fontId="2" fillId="0" borderId="0" xfId="0" applyNumberFormat="1" applyFont="1" applyAlignment="1">
      <alignment vertical="top"/>
    </xf>
    <xf numFmtId="49" fontId="2" fillId="2" borderId="34" xfId="0" applyNumberFormat="1" applyFont="1" applyFill="1" applyBorder="1" applyAlignment="1">
      <alignment horizontal="center" vertical="top"/>
    </xf>
    <xf numFmtId="165" fontId="1" fillId="0" borderId="0" xfId="0" applyNumberFormat="1" applyFont="1" applyAlignment="1">
      <alignment vertical="top"/>
    </xf>
    <xf numFmtId="0" fontId="1" fillId="0" borderId="31" xfId="0" applyFont="1" applyBorder="1" applyAlignment="1">
      <alignment vertical="top"/>
    </xf>
    <xf numFmtId="0" fontId="2" fillId="0" borderId="31" xfId="0" applyNumberFormat="1" applyFont="1" applyBorder="1" applyAlignment="1">
      <alignment vertical="top"/>
    </xf>
    <xf numFmtId="49" fontId="2" fillId="9" borderId="15" xfId="0" applyNumberFormat="1" applyFont="1" applyFill="1" applyBorder="1" applyAlignment="1">
      <alignment horizontal="center" vertical="top" wrapText="1"/>
    </xf>
    <xf numFmtId="0" fontId="1" fillId="7" borderId="28" xfId="0" applyFont="1" applyFill="1" applyBorder="1" applyAlignment="1">
      <alignment vertical="top" wrapText="1"/>
    </xf>
    <xf numFmtId="3" fontId="1" fillId="7" borderId="27" xfId="0" applyNumberFormat="1" applyFont="1" applyFill="1" applyBorder="1" applyAlignment="1">
      <alignment horizontal="center" vertical="top"/>
    </xf>
    <xf numFmtId="3" fontId="1" fillId="7" borderId="26" xfId="0" applyNumberFormat="1" applyFont="1" applyFill="1" applyBorder="1" applyAlignment="1">
      <alignment horizontal="center" vertical="top"/>
    </xf>
    <xf numFmtId="3" fontId="1" fillId="7" borderId="80" xfId="0" applyNumberFormat="1" applyFont="1" applyFill="1" applyBorder="1" applyAlignment="1">
      <alignment horizontal="center" vertical="top"/>
    </xf>
    <xf numFmtId="3" fontId="1" fillId="7" borderId="81" xfId="0" applyNumberFormat="1" applyFont="1" applyFill="1" applyBorder="1" applyAlignment="1">
      <alignment horizontal="center" vertical="top"/>
    </xf>
    <xf numFmtId="0" fontId="1" fillId="7" borderId="79" xfId="0" applyFont="1" applyFill="1" applyBorder="1" applyAlignment="1">
      <alignment horizontal="left" vertical="top" wrapText="1"/>
    </xf>
    <xf numFmtId="3" fontId="1" fillId="7" borderId="26" xfId="0" applyNumberFormat="1" applyFont="1" applyFill="1" applyBorder="1" applyAlignment="1">
      <alignment horizontal="center" vertical="top" wrapText="1"/>
    </xf>
    <xf numFmtId="3" fontId="1" fillId="0" borderId="81" xfId="0" applyNumberFormat="1" applyFont="1" applyFill="1" applyBorder="1" applyAlignment="1">
      <alignment horizontal="center" vertical="top"/>
    </xf>
    <xf numFmtId="165" fontId="1" fillId="0" borderId="10" xfId="0" applyNumberFormat="1" applyFont="1" applyFill="1" applyBorder="1" applyAlignment="1">
      <alignment horizontal="center" vertical="top"/>
    </xf>
    <xf numFmtId="165" fontId="1" fillId="0" borderId="17" xfId="0" applyNumberFormat="1" applyFont="1" applyFill="1" applyBorder="1" applyAlignment="1">
      <alignment horizontal="center" vertical="top"/>
    </xf>
    <xf numFmtId="3" fontId="1" fillId="0" borderId="0" xfId="0" applyNumberFormat="1" applyFont="1" applyBorder="1" applyAlignment="1">
      <alignment vertical="top"/>
    </xf>
    <xf numFmtId="165" fontId="1" fillId="7" borderId="47" xfId="0" applyNumberFormat="1" applyFont="1" applyFill="1" applyBorder="1" applyAlignment="1">
      <alignment horizontal="center" vertical="top"/>
    </xf>
    <xf numFmtId="165" fontId="1" fillId="7" borderId="17" xfId="0" applyNumberFormat="1" applyFont="1" applyFill="1" applyBorder="1" applyAlignment="1">
      <alignment horizontal="center" vertical="top"/>
    </xf>
    <xf numFmtId="165" fontId="1" fillId="7" borderId="34" xfId="0" applyNumberFormat="1" applyFont="1" applyFill="1" applyBorder="1" applyAlignment="1">
      <alignment horizontal="center" vertical="top"/>
    </xf>
    <xf numFmtId="165" fontId="1" fillId="7" borderId="27" xfId="0" applyNumberFormat="1" applyFont="1" applyFill="1" applyBorder="1" applyAlignment="1">
      <alignment horizontal="center" vertical="top"/>
    </xf>
    <xf numFmtId="165" fontId="1" fillId="7" borderId="26" xfId="0" applyNumberFormat="1" applyFont="1" applyFill="1" applyBorder="1" applyAlignment="1">
      <alignment horizontal="center" vertical="top"/>
    </xf>
    <xf numFmtId="0" fontId="1" fillId="7" borderId="61" xfId="0" applyFont="1" applyFill="1" applyBorder="1" applyAlignment="1">
      <alignment horizontal="center" vertical="top"/>
    </xf>
    <xf numFmtId="0" fontId="1" fillId="7" borderId="33" xfId="0" applyFont="1" applyFill="1" applyBorder="1" applyAlignment="1">
      <alignment horizontal="center" vertical="top"/>
    </xf>
    <xf numFmtId="3" fontId="1" fillId="7" borderId="34" xfId="0" applyNumberFormat="1" applyFont="1" applyFill="1" applyBorder="1" applyAlignment="1">
      <alignment horizontal="center" vertical="top"/>
    </xf>
    <xf numFmtId="165" fontId="1" fillId="7" borderId="19" xfId="0" applyNumberFormat="1" applyFont="1" applyFill="1" applyBorder="1" applyAlignment="1">
      <alignment horizontal="center" vertical="top"/>
    </xf>
    <xf numFmtId="165" fontId="1" fillId="0" borderId="0" xfId="0" applyNumberFormat="1" applyFont="1" applyBorder="1" applyAlignment="1">
      <alignment vertical="top"/>
    </xf>
    <xf numFmtId="165" fontId="1" fillId="7" borderId="22" xfId="0" applyNumberFormat="1" applyFont="1" applyFill="1" applyBorder="1" applyAlignment="1">
      <alignment vertical="top"/>
    </xf>
    <xf numFmtId="3" fontId="1" fillId="0" borderId="34" xfId="0" applyNumberFormat="1" applyFont="1" applyFill="1" applyBorder="1" applyAlignment="1">
      <alignment horizontal="center" vertical="top" wrapText="1"/>
    </xf>
    <xf numFmtId="165" fontId="1" fillId="0" borderId="22" xfId="0" applyNumberFormat="1" applyFont="1" applyBorder="1" applyAlignment="1">
      <alignment horizontal="center" vertical="top"/>
    </xf>
    <xf numFmtId="165" fontId="1" fillId="0" borderId="5" xfId="0" applyNumberFormat="1" applyFont="1" applyFill="1" applyBorder="1" applyAlignment="1">
      <alignment horizontal="center" vertical="top"/>
    </xf>
    <xf numFmtId="165" fontId="1" fillId="7" borderId="86" xfId="0" applyNumberFormat="1" applyFont="1" applyFill="1" applyBorder="1" applyAlignment="1">
      <alignment horizontal="center" vertical="top"/>
    </xf>
    <xf numFmtId="165" fontId="1" fillId="7" borderId="42" xfId="0" applyNumberFormat="1" applyFont="1" applyFill="1" applyBorder="1" applyAlignment="1">
      <alignment horizontal="center" vertical="top"/>
    </xf>
    <xf numFmtId="165" fontId="1" fillId="7" borderId="5" xfId="0" applyNumberFormat="1" applyFont="1" applyFill="1" applyBorder="1" applyAlignment="1">
      <alignment horizontal="center" vertical="top"/>
    </xf>
    <xf numFmtId="165" fontId="1" fillId="7" borderId="5" xfId="0" applyNumberFormat="1" applyFont="1" applyFill="1" applyBorder="1" applyAlignment="1">
      <alignment horizontal="center" vertical="top" wrapText="1"/>
    </xf>
    <xf numFmtId="165" fontId="1" fillId="7" borderId="90" xfId="0" applyNumberFormat="1" applyFont="1" applyFill="1" applyBorder="1" applyAlignment="1">
      <alignment horizontal="center" vertical="top"/>
    </xf>
    <xf numFmtId="165" fontId="2" fillId="9" borderId="69" xfId="0" applyNumberFormat="1" applyFont="1" applyFill="1" applyBorder="1" applyAlignment="1">
      <alignment horizontal="center" vertical="top"/>
    </xf>
    <xf numFmtId="165" fontId="1" fillId="3" borderId="22" xfId="0" applyNumberFormat="1" applyFont="1" applyFill="1" applyBorder="1" applyAlignment="1">
      <alignment horizontal="center" vertical="top"/>
    </xf>
    <xf numFmtId="165" fontId="1" fillId="7" borderId="98" xfId="0" applyNumberFormat="1" applyFont="1" applyFill="1" applyBorder="1" applyAlignment="1">
      <alignment horizontal="center" vertical="top"/>
    </xf>
    <xf numFmtId="165" fontId="2" fillId="9" borderId="52" xfId="0" applyNumberFormat="1" applyFont="1" applyFill="1" applyBorder="1" applyAlignment="1">
      <alignment horizontal="center" vertical="top"/>
    </xf>
    <xf numFmtId="165" fontId="2" fillId="2" borderId="3" xfId="0" applyNumberFormat="1" applyFont="1" applyFill="1" applyBorder="1" applyAlignment="1">
      <alignment horizontal="center" vertical="top"/>
    </xf>
    <xf numFmtId="165" fontId="1" fillId="7" borderId="65" xfId="0" applyNumberFormat="1" applyFont="1" applyFill="1" applyBorder="1" applyAlignment="1">
      <alignment horizontal="center" vertical="top"/>
    </xf>
    <xf numFmtId="165" fontId="1" fillId="7" borderId="33" xfId="0" applyNumberFormat="1" applyFont="1" applyFill="1" applyBorder="1" applyAlignment="1">
      <alignment horizontal="center" vertical="top"/>
    </xf>
    <xf numFmtId="165" fontId="1" fillId="0" borderId="93" xfId="0" applyNumberFormat="1" applyFont="1" applyFill="1" applyBorder="1" applyAlignment="1">
      <alignment horizontal="center" vertical="top"/>
    </xf>
    <xf numFmtId="165" fontId="1" fillId="7" borderId="79" xfId="0" applyNumberFormat="1" applyFont="1" applyFill="1" applyBorder="1" applyAlignment="1">
      <alignment horizontal="left" vertical="top" wrapText="1"/>
    </xf>
    <xf numFmtId="165" fontId="1" fillId="7" borderId="61" xfId="0" applyNumberFormat="1" applyFont="1" applyFill="1" applyBorder="1" applyAlignment="1">
      <alignment horizontal="center" vertical="top"/>
    </xf>
    <xf numFmtId="165" fontId="1" fillId="7" borderId="48" xfId="0" applyNumberFormat="1" applyFont="1" applyFill="1" applyBorder="1" applyAlignment="1">
      <alignment horizontal="center" vertical="top"/>
    </xf>
    <xf numFmtId="165" fontId="2" fillId="7" borderId="0" xfId="0" applyNumberFormat="1" applyFont="1" applyFill="1" applyBorder="1" applyAlignment="1">
      <alignment horizontal="center" vertical="top"/>
    </xf>
    <xf numFmtId="165" fontId="2" fillId="8" borderId="55" xfId="0" applyNumberFormat="1" applyFont="1" applyFill="1" applyBorder="1" applyAlignment="1">
      <alignment horizontal="center" vertical="top"/>
    </xf>
    <xf numFmtId="165" fontId="2" fillId="9" borderId="53" xfId="0" applyNumberFormat="1" applyFont="1" applyFill="1" applyBorder="1" applyAlignment="1">
      <alignment horizontal="center" vertical="top"/>
    </xf>
    <xf numFmtId="165" fontId="1" fillId="7" borderId="9" xfId="0" applyNumberFormat="1" applyFont="1" applyFill="1" applyBorder="1" applyAlignment="1">
      <alignment horizontal="center" vertical="top"/>
    </xf>
    <xf numFmtId="165" fontId="1" fillId="7" borderId="11" xfId="0" applyNumberFormat="1" applyFont="1" applyFill="1" applyBorder="1" applyAlignment="1">
      <alignment horizontal="left" vertical="top" wrapText="1"/>
    </xf>
    <xf numFmtId="165" fontId="2" fillId="7" borderId="10" xfId="0" applyNumberFormat="1" applyFont="1" applyFill="1" applyBorder="1" applyAlignment="1">
      <alignment vertical="top"/>
    </xf>
    <xf numFmtId="165" fontId="1" fillId="7" borderId="0" xfId="0" applyNumberFormat="1" applyFont="1" applyFill="1" applyBorder="1" applyAlignment="1">
      <alignment horizontal="center" vertical="top"/>
    </xf>
    <xf numFmtId="165" fontId="2" fillId="5" borderId="52"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5" fontId="2" fillId="7" borderId="19" xfId="0" applyNumberFormat="1" applyFont="1" applyFill="1" applyBorder="1" applyAlignment="1">
      <alignment horizontal="center" vertical="center" wrapText="1"/>
    </xf>
    <xf numFmtId="165" fontId="5" fillId="7" borderId="13" xfId="0" applyNumberFormat="1" applyFont="1" applyFill="1" applyBorder="1" applyAlignment="1">
      <alignment horizontal="center" vertical="center" textRotation="90" wrapText="1"/>
    </xf>
    <xf numFmtId="165" fontId="6" fillId="7" borderId="27" xfId="0" applyNumberFormat="1" applyFont="1" applyFill="1" applyBorder="1" applyAlignment="1">
      <alignment horizontal="center" vertical="center" textRotation="90" wrapText="1"/>
    </xf>
    <xf numFmtId="165" fontId="1" fillId="3" borderId="27" xfId="0" applyNumberFormat="1" applyFont="1" applyFill="1" applyBorder="1" applyAlignment="1">
      <alignment horizontal="center" vertical="top" wrapText="1"/>
    </xf>
    <xf numFmtId="165" fontId="2" fillId="7" borderId="13" xfId="0" applyNumberFormat="1" applyFont="1" applyFill="1" applyBorder="1" applyAlignment="1">
      <alignment vertical="top" wrapText="1"/>
    </xf>
    <xf numFmtId="165" fontId="1" fillId="7" borderId="47" xfId="0" applyNumberFormat="1" applyFont="1" applyFill="1" applyBorder="1" applyAlignment="1">
      <alignment horizontal="center" vertical="top" wrapText="1"/>
    </xf>
    <xf numFmtId="165" fontId="1" fillId="7" borderId="46" xfId="0" applyNumberFormat="1" applyFont="1" applyFill="1" applyBorder="1" applyAlignment="1">
      <alignment horizontal="center" vertical="top"/>
    </xf>
    <xf numFmtId="165" fontId="1" fillId="7" borderId="18" xfId="0" applyNumberFormat="1" applyFont="1" applyFill="1" applyBorder="1" applyAlignment="1">
      <alignment horizontal="center" vertical="top"/>
    </xf>
    <xf numFmtId="165" fontId="1" fillId="7" borderId="44" xfId="0" applyNumberFormat="1" applyFont="1" applyFill="1" applyBorder="1" applyAlignment="1">
      <alignment horizontal="center" vertical="top"/>
    </xf>
    <xf numFmtId="165" fontId="1" fillId="7" borderId="57" xfId="0" applyNumberFormat="1" applyFont="1" applyFill="1" applyBorder="1" applyAlignment="1">
      <alignment horizontal="center" vertical="top"/>
    </xf>
    <xf numFmtId="165" fontId="1" fillId="7" borderId="99" xfId="0" applyNumberFormat="1" applyFont="1" applyFill="1" applyBorder="1" applyAlignment="1">
      <alignment horizontal="center" vertical="top"/>
    </xf>
    <xf numFmtId="165" fontId="1" fillId="7" borderId="61" xfId="0" applyNumberFormat="1" applyFont="1" applyFill="1" applyBorder="1" applyAlignment="1">
      <alignment horizontal="center" vertical="top" wrapText="1"/>
    </xf>
    <xf numFmtId="165" fontId="1" fillId="7" borderId="35" xfId="0" applyNumberFormat="1" applyFont="1" applyFill="1" applyBorder="1" applyAlignment="1">
      <alignment horizontal="center" vertical="top"/>
    </xf>
    <xf numFmtId="165" fontId="1" fillId="7" borderId="6" xfId="0" applyNumberFormat="1" applyFont="1" applyFill="1" applyBorder="1" applyAlignment="1">
      <alignment horizontal="center" vertical="top"/>
    </xf>
    <xf numFmtId="165" fontId="1" fillId="7" borderId="28" xfId="0" applyNumberFormat="1" applyFont="1" applyFill="1" applyBorder="1" applyAlignment="1">
      <alignment horizontal="center" vertical="top"/>
    </xf>
    <xf numFmtId="165" fontId="1" fillId="7" borderId="79" xfId="0" applyNumberFormat="1" applyFont="1" applyFill="1" applyBorder="1" applyAlignment="1">
      <alignment horizontal="center" vertical="top"/>
    </xf>
    <xf numFmtId="165" fontId="1" fillId="7" borderId="11" xfId="0" applyNumberFormat="1" applyFont="1" applyFill="1" applyBorder="1" applyAlignment="1">
      <alignment horizontal="center" vertical="top"/>
    </xf>
    <xf numFmtId="165" fontId="1" fillId="7" borderId="76" xfId="0" applyNumberFormat="1" applyFont="1" applyFill="1" applyBorder="1" applyAlignment="1">
      <alignment horizontal="center" vertical="top"/>
    </xf>
    <xf numFmtId="165" fontId="1" fillId="7" borderId="93" xfId="0" applyNumberFormat="1" applyFont="1" applyFill="1" applyBorder="1" applyAlignment="1">
      <alignment horizontal="center" vertical="top"/>
    </xf>
    <xf numFmtId="165" fontId="2" fillId="8" borderId="63" xfId="0" applyNumberFormat="1" applyFont="1" applyFill="1" applyBorder="1" applyAlignment="1">
      <alignment horizontal="center" vertical="top"/>
    </xf>
    <xf numFmtId="165" fontId="6" fillId="7" borderId="18" xfId="0" applyNumberFormat="1" applyFont="1" applyFill="1" applyBorder="1" applyAlignment="1">
      <alignment horizontal="center" vertical="center" textRotation="90" wrapText="1"/>
    </xf>
    <xf numFmtId="165" fontId="2" fillId="2" borderId="23" xfId="0" applyNumberFormat="1" applyFont="1" applyFill="1" applyBorder="1" applyAlignment="1">
      <alignment horizontal="center" vertical="top"/>
    </xf>
    <xf numFmtId="165" fontId="2" fillId="9" borderId="63" xfId="0" applyNumberFormat="1" applyFont="1" applyFill="1" applyBorder="1" applyAlignment="1">
      <alignment horizontal="center" vertical="top"/>
    </xf>
    <xf numFmtId="165" fontId="2" fillId="5" borderId="23" xfId="0" applyNumberFormat="1" applyFont="1" applyFill="1" applyBorder="1" applyAlignment="1">
      <alignment horizontal="center" vertical="top"/>
    </xf>
    <xf numFmtId="165" fontId="1" fillId="7" borderId="48" xfId="0" applyNumberFormat="1" applyFont="1" applyFill="1" applyBorder="1" applyAlignment="1">
      <alignment vertical="top"/>
    </xf>
    <xf numFmtId="165" fontId="1" fillId="7" borderId="94" xfId="0" applyNumberFormat="1" applyFont="1" applyFill="1" applyBorder="1" applyAlignment="1">
      <alignment horizontal="center" vertical="top"/>
    </xf>
    <xf numFmtId="165" fontId="1" fillId="0" borderId="61" xfId="0" applyNumberFormat="1" applyFont="1" applyBorder="1" applyAlignment="1">
      <alignment horizontal="center" vertical="top"/>
    </xf>
    <xf numFmtId="165" fontId="1" fillId="7" borderId="65" xfId="0" applyNumberFormat="1" applyFont="1" applyFill="1" applyBorder="1" applyAlignment="1">
      <alignment vertical="top"/>
    </xf>
    <xf numFmtId="165" fontId="1" fillId="0" borderId="48" xfId="0" applyNumberFormat="1" applyFont="1" applyFill="1" applyBorder="1" applyAlignment="1">
      <alignment horizontal="center" vertical="top"/>
    </xf>
    <xf numFmtId="165" fontId="1" fillId="7" borderId="72" xfId="0" applyNumberFormat="1" applyFont="1" applyFill="1" applyBorder="1" applyAlignment="1">
      <alignment horizontal="center" vertical="top"/>
    </xf>
    <xf numFmtId="165" fontId="2" fillId="0" borderId="0" xfId="0" applyNumberFormat="1" applyFont="1" applyFill="1" applyBorder="1" applyAlignment="1">
      <alignment horizontal="center" vertical="top" wrapText="1"/>
    </xf>
    <xf numFmtId="0" fontId="16" fillId="0" borderId="0" xfId="0" applyFont="1"/>
    <xf numFmtId="0" fontId="1" fillId="0" borderId="60" xfId="0" applyFont="1" applyBorder="1" applyAlignment="1">
      <alignment horizontal="center" vertical="center" textRotation="90"/>
    </xf>
    <xf numFmtId="0" fontId="1" fillId="0" borderId="2" xfId="0" applyFont="1" applyBorder="1" applyAlignment="1">
      <alignment horizontal="center" vertical="center" textRotation="90"/>
    </xf>
    <xf numFmtId="165" fontId="1" fillId="3" borderId="72" xfId="0" applyNumberFormat="1" applyFont="1" applyFill="1" applyBorder="1" applyAlignment="1">
      <alignment horizontal="center" vertical="top"/>
    </xf>
    <xf numFmtId="3" fontId="1" fillId="7" borderId="34" xfId="0" applyNumberFormat="1" applyFont="1" applyFill="1" applyBorder="1" applyAlignment="1">
      <alignment horizontal="center" vertical="top" wrapText="1"/>
    </xf>
    <xf numFmtId="3" fontId="1" fillId="7" borderId="87" xfId="0" applyNumberFormat="1" applyFont="1" applyFill="1" applyBorder="1" applyAlignment="1">
      <alignment horizontal="center" vertical="top"/>
    </xf>
    <xf numFmtId="165" fontId="1" fillId="7" borderId="19" xfId="0" applyNumberFormat="1" applyFont="1" applyFill="1" applyBorder="1" applyAlignment="1">
      <alignment vertical="top"/>
    </xf>
    <xf numFmtId="165" fontId="1" fillId="7" borderId="45" xfId="0" applyNumberFormat="1" applyFont="1" applyFill="1" applyBorder="1" applyAlignment="1">
      <alignment vertical="top"/>
    </xf>
    <xf numFmtId="165" fontId="1" fillId="7" borderId="5" xfId="0" applyNumberFormat="1" applyFont="1" applyFill="1" applyBorder="1" applyAlignment="1">
      <alignment vertical="top"/>
    </xf>
    <xf numFmtId="165" fontId="1" fillId="7" borderId="10" xfId="0" applyNumberFormat="1" applyFont="1" applyFill="1" applyBorder="1" applyAlignment="1">
      <alignment vertical="top"/>
    </xf>
    <xf numFmtId="165" fontId="1" fillId="7" borderId="33" xfId="0" applyNumberFormat="1" applyFont="1" applyFill="1" applyBorder="1" applyAlignment="1">
      <alignment vertical="top"/>
    </xf>
    <xf numFmtId="165" fontId="1" fillId="7" borderId="51" xfId="0" applyNumberFormat="1" applyFont="1" applyFill="1" applyBorder="1" applyAlignment="1">
      <alignment horizontal="center" vertical="top"/>
    </xf>
    <xf numFmtId="165" fontId="1" fillId="0" borderId="12" xfId="0" applyNumberFormat="1" applyFont="1" applyBorder="1" applyAlignment="1">
      <alignment vertical="top"/>
    </xf>
    <xf numFmtId="165" fontId="2" fillId="8" borderId="62" xfId="0" applyNumberFormat="1" applyFont="1" applyFill="1" applyBorder="1" applyAlignment="1">
      <alignment horizontal="center" vertical="top"/>
    </xf>
    <xf numFmtId="165" fontId="1" fillId="7" borderId="24" xfId="0" applyNumberFormat="1" applyFont="1" applyFill="1" applyBorder="1" applyAlignment="1">
      <alignment horizontal="center" vertical="top"/>
    </xf>
    <xf numFmtId="165" fontId="2" fillId="8" borderId="31" xfId="0" applyNumberFormat="1" applyFont="1" applyFill="1" applyBorder="1" applyAlignment="1">
      <alignment horizontal="center" vertical="top"/>
    </xf>
    <xf numFmtId="165" fontId="1" fillId="7" borderId="38" xfId="0" applyNumberFormat="1" applyFont="1" applyFill="1" applyBorder="1" applyAlignment="1">
      <alignment horizontal="center" vertical="top"/>
    </xf>
    <xf numFmtId="165" fontId="1" fillId="7" borderId="54" xfId="0" applyNumberFormat="1" applyFont="1" applyFill="1" applyBorder="1" applyAlignment="1">
      <alignment horizontal="center" vertical="top"/>
    </xf>
    <xf numFmtId="165" fontId="1" fillId="7" borderId="13" xfId="0" applyNumberFormat="1" applyFont="1" applyFill="1" applyBorder="1" applyAlignment="1">
      <alignment horizontal="center" vertical="top"/>
    </xf>
    <xf numFmtId="165" fontId="1" fillId="7" borderId="89" xfId="0" applyNumberFormat="1" applyFont="1" applyFill="1" applyBorder="1" applyAlignment="1">
      <alignment horizontal="center" vertical="top"/>
    </xf>
    <xf numFmtId="165" fontId="1" fillId="0" borderId="80" xfId="0" applyNumberFormat="1" applyFont="1" applyFill="1" applyBorder="1" applyAlignment="1">
      <alignment horizontal="center" vertical="top"/>
    </xf>
    <xf numFmtId="49" fontId="1" fillId="7" borderId="80" xfId="0" applyNumberFormat="1" applyFont="1" applyFill="1" applyBorder="1" applyAlignment="1">
      <alignment horizontal="center" vertical="top"/>
    </xf>
    <xf numFmtId="3" fontId="5" fillId="7" borderId="47" xfId="0" applyNumberFormat="1" applyFont="1" applyFill="1" applyBorder="1" applyAlignment="1">
      <alignment horizontal="center" vertical="top" wrapText="1"/>
    </xf>
    <xf numFmtId="165" fontId="1" fillId="7" borderId="37" xfId="0" applyNumberFormat="1" applyFont="1" applyFill="1" applyBorder="1" applyAlignment="1">
      <alignment horizontal="center" vertical="top"/>
    </xf>
    <xf numFmtId="49" fontId="1" fillId="7" borderId="47" xfId="0" applyNumberFormat="1" applyFont="1" applyFill="1" applyBorder="1" applyAlignment="1">
      <alignment horizontal="center" vertical="top"/>
    </xf>
    <xf numFmtId="3" fontId="1" fillId="7" borderId="100" xfId="0" applyNumberFormat="1" applyFont="1" applyFill="1" applyBorder="1" applyAlignment="1">
      <alignment horizontal="center" vertical="top"/>
    </xf>
    <xf numFmtId="165" fontId="2" fillId="8" borderId="69" xfId="0" applyNumberFormat="1" applyFont="1" applyFill="1" applyBorder="1" applyAlignment="1">
      <alignment horizontal="center" vertical="top"/>
    </xf>
    <xf numFmtId="3" fontId="5" fillId="7" borderId="17" xfId="0" applyNumberFormat="1" applyFont="1" applyFill="1" applyBorder="1" applyAlignment="1">
      <alignment horizontal="center" vertical="top" wrapText="1"/>
    </xf>
    <xf numFmtId="165" fontId="1" fillId="7" borderId="28" xfId="0" applyNumberFormat="1" applyFont="1" applyFill="1" applyBorder="1" applyAlignment="1">
      <alignment vertical="top" wrapText="1"/>
    </xf>
    <xf numFmtId="165" fontId="2" fillId="2" borderId="8" xfId="0" applyNumberFormat="1" applyFont="1" applyFill="1" applyBorder="1" applyAlignment="1">
      <alignment horizontal="center" vertical="top"/>
    </xf>
    <xf numFmtId="165" fontId="2" fillId="8" borderId="58" xfId="0" applyNumberFormat="1" applyFont="1" applyFill="1" applyBorder="1" applyAlignment="1">
      <alignment horizontal="center" vertical="top"/>
    </xf>
    <xf numFmtId="165" fontId="1" fillId="7" borderId="43" xfId="0" applyNumberFormat="1" applyFont="1" applyFill="1" applyBorder="1" applyAlignment="1">
      <alignment horizontal="center" vertical="top"/>
    </xf>
    <xf numFmtId="165" fontId="1" fillId="7" borderId="49" xfId="0" applyNumberFormat="1" applyFont="1" applyFill="1" applyBorder="1" applyAlignment="1">
      <alignment horizontal="center" vertical="top"/>
    </xf>
    <xf numFmtId="165" fontId="2" fillId="7" borderId="47" xfId="0" applyNumberFormat="1" applyFont="1" applyFill="1" applyBorder="1" applyAlignment="1">
      <alignment vertical="top"/>
    </xf>
    <xf numFmtId="165" fontId="2" fillId="7" borderId="40" xfId="0" applyNumberFormat="1" applyFont="1" applyFill="1" applyBorder="1" applyAlignment="1">
      <alignment vertical="top" wrapText="1"/>
    </xf>
    <xf numFmtId="165" fontId="1" fillId="7" borderId="40" xfId="0" applyNumberFormat="1" applyFont="1" applyFill="1" applyBorder="1" applyAlignment="1">
      <alignment horizontal="center" vertical="top"/>
    </xf>
    <xf numFmtId="165" fontId="1" fillId="7" borderId="25" xfId="0" applyNumberFormat="1" applyFont="1" applyFill="1" applyBorder="1" applyAlignment="1">
      <alignment horizontal="center" vertical="top"/>
    </xf>
    <xf numFmtId="165" fontId="1" fillId="7" borderId="10" xfId="0" applyNumberFormat="1" applyFont="1" applyFill="1" applyBorder="1" applyAlignment="1">
      <alignment horizontal="center" vertical="top"/>
    </xf>
    <xf numFmtId="165" fontId="1" fillId="0" borderId="14" xfId="0" applyNumberFormat="1" applyFont="1" applyBorder="1" applyAlignment="1">
      <alignment horizontal="center" vertical="top" wrapText="1"/>
    </xf>
    <xf numFmtId="165" fontId="1" fillId="7" borderId="80" xfId="0" applyNumberFormat="1" applyFont="1" applyFill="1" applyBorder="1" applyAlignment="1">
      <alignment vertical="top" wrapText="1"/>
    </xf>
    <xf numFmtId="165" fontId="1" fillId="7" borderId="74" xfId="0" applyNumberFormat="1" applyFont="1" applyFill="1" applyBorder="1" applyAlignment="1">
      <alignment horizontal="left" vertical="top" wrapText="1"/>
    </xf>
    <xf numFmtId="49" fontId="2" fillId="9" borderId="15" xfId="0" applyNumberFormat="1" applyFont="1" applyFill="1" applyBorder="1" applyAlignment="1">
      <alignment horizontal="center" vertical="top"/>
    </xf>
    <xf numFmtId="0" fontId="1" fillId="0" borderId="31" xfId="0" applyFont="1" applyBorder="1" applyAlignment="1">
      <alignment horizontal="center" vertical="top"/>
    </xf>
    <xf numFmtId="165" fontId="2" fillId="9" borderId="6" xfId="0" applyNumberFormat="1" applyFont="1" applyFill="1" applyBorder="1" applyAlignment="1">
      <alignment horizontal="center" vertical="top"/>
    </xf>
    <xf numFmtId="165" fontId="2" fillId="9" borderId="4"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165" fontId="1" fillId="3" borderId="10" xfId="0" applyNumberFormat="1" applyFont="1" applyFill="1" applyBorder="1" applyAlignment="1">
      <alignment horizontal="center" vertical="center" textRotation="90" wrapText="1"/>
    </xf>
    <xf numFmtId="165" fontId="13" fillId="7" borderId="28" xfId="0" applyNumberFormat="1" applyFont="1" applyFill="1" applyBorder="1" applyAlignment="1">
      <alignment vertical="top" wrapText="1"/>
    </xf>
    <xf numFmtId="165" fontId="13" fillId="7" borderId="5" xfId="0" applyNumberFormat="1" applyFont="1" applyFill="1" applyBorder="1" applyAlignment="1">
      <alignment horizontal="center" vertical="top"/>
    </xf>
    <xf numFmtId="3" fontId="1" fillId="0" borderId="10"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2" fillId="2" borderId="54" xfId="0" applyNumberFormat="1" applyFont="1" applyFill="1" applyBorder="1" applyAlignment="1">
      <alignment horizontal="center" vertical="top"/>
    </xf>
    <xf numFmtId="165" fontId="2" fillId="2" borderId="40" xfId="0" applyNumberFormat="1" applyFont="1" applyFill="1" applyBorder="1" applyAlignment="1">
      <alignment horizontal="center" vertical="top"/>
    </xf>
    <xf numFmtId="165" fontId="2" fillId="2" borderId="71" xfId="0" applyNumberFormat="1" applyFont="1" applyFill="1" applyBorder="1" applyAlignment="1">
      <alignment horizontal="center" vertical="top"/>
    </xf>
    <xf numFmtId="165" fontId="2" fillId="8" borderId="56" xfId="0" applyNumberFormat="1" applyFont="1" applyFill="1" applyBorder="1" applyAlignment="1">
      <alignment horizontal="center" vertical="top"/>
    </xf>
    <xf numFmtId="165" fontId="1" fillId="8" borderId="22" xfId="0" applyNumberFormat="1" applyFont="1" applyFill="1" applyBorder="1" applyAlignment="1">
      <alignment horizontal="center" vertical="top"/>
    </xf>
    <xf numFmtId="165" fontId="2" fillId="5" borderId="22" xfId="0" applyNumberFormat="1" applyFont="1" applyFill="1" applyBorder="1" applyAlignment="1">
      <alignment horizontal="center" vertical="top"/>
    </xf>
    <xf numFmtId="165" fontId="2" fillId="4" borderId="63" xfId="0" applyNumberFormat="1" applyFont="1" applyFill="1" applyBorder="1" applyAlignment="1">
      <alignment horizontal="center" vertical="top"/>
    </xf>
    <xf numFmtId="0" fontId="1" fillId="7" borderId="80" xfId="0" applyNumberFormat="1" applyFont="1" applyFill="1" applyBorder="1" applyAlignment="1">
      <alignment horizontal="left" vertical="top" wrapText="1"/>
    </xf>
    <xf numFmtId="165" fontId="2" fillId="9" borderId="6" xfId="0" applyNumberFormat="1" applyFont="1" applyFill="1" applyBorder="1" applyAlignment="1">
      <alignment horizontal="center" vertical="top"/>
    </xf>
    <xf numFmtId="165" fontId="1" fillId="7" borderId="91" xfId="0" applyNumberFormat="1" applyFont="1" applyFill="1" applyBorder="1" applyAlignment="1">
      <alignment horizontal="left" vertical="top" wrapText="1"/>
    </xf>
    <xf numFmtId="165" fontId="2" fillId="2" borderId="47" xfId="0" applyNumberFormat="1" applyFont="1" applyFill="1" applyBorder="1" applyAlignment="1">
      <alignment horizontal="center" vertical="top"/>
    </xf>
    <xf numFmtId="165" fontId="6" fillId="7" borderId="26" xfId="0" applyNumberFormat="1" applyFont="1" applyFill="1" applyBorder="1" applyAlignment="1">
      <alignment horizontal="center" vertical="center" wrapText="1"/>
    </xf>
    <xf numFmtId="165" fontId="6" fillId="7" borderId="17" xfId="0" applyNumberFormat="1" applyFont="1" applyFill="1" applyBorder="1" applyAlignment="1">
      <alignment horizontal="center" wrapText="1"/>
    </xf>
    <xf numFmtId="0" fontId="1" fillId="7" borderId="48" xfId="0" applyFont="1" applyFill="1" applyBorder="1" applyAlignment="1">
      <alignment horizontal="center" vertical="top"/>
    </xf>
    <xf numFmtId="3" fontId="5" fillId="7" borderId="72" xfId="0" applyNumberFormat="1" applyFont="1" applyFill="1" applyBorder="1" applyAlignment="1">
      <alignment horizontal="center" vertical="center" wrapText="1"/>
    </xf>
    <xf numFmtId="3" fontId="5" fillId="7" borderId="26" xfId="0" applyNumberFormat="1" applyFont="1" applyFill="1" applyBorder="1" applyAlignment="1">
      <alignment horizontal="center" vertical="center" wrapText="1"/>
    </xf>
    <xf numFmtId="3" fontId="1" fillId="7" borderId="0" xfId="0" applyNumberFormat="1" applyFont="1" applyFill="1" applyBorder="1" applyAlignment="1">
      <alignment horizontal="center" vertical="top"/>
    </xf>
    <xf numFmtId="3" fontId="1" fillId="7" borderId="72" xfId="0" applyNumberFormat="1" applyFont="1" applyFill="1" applyBorder="1" applyAlignment="1">
      <alignment horizontal="center" vertical="top"/>
    </xf>
    <xf numFmtId="165" fontId="1" fillId="7" borderId="20" xfId="0" applyNumberFormat="1" applyFont="1" applyFill="1" applyBorder="1" applyAlignment="1">
      <alignment vertical="top"/>
    </xf>
    <xf numFmtId="0" fontId="1" fillId="7" borderId="47" xfId="0" applyNumberFormat="1" applyFont="1" applyFill="1" applyBorder="1" applyAlignment="1">
      <alignment horizontal="center" vertical="top" wrapText="1"/>
    </xf>
    <xf numFmtId="0" fontId="1" fillId="7" borderId="91" xfId="0" applyNumberFormat="1" applyFont="1" applyFill="1" applyBorder="1" applyAlignment="1">
      <alignment horizontal="center" vertical="top" wrapText="1"/>
    </xf>
    <xf numFmtId="3" fontId="1" fillId="7" borderId="89" xfId="0" applyNumberFormat="1" applyFont="1" applyFill="1" applyBorder="1" applyAlignment="1">
      <alignment horizontal="center" vertical="top"/>
    </xf>
    <xf numFmtId="3" fontId="1" fillId="7" borderId="99" xfId="0" applyNumberFormat="1" applyFont="1" applyFill="1" applyBorder="1" applyAlignment="1">
      <alignment horizontal="center" vertical="top"/>
    </xf>
    <xf numFmtId="3" fontId="1" fillId="7" borderId="104" xfId="0" applyNumberFormat="1" applyFont="1" applyFill="1" applyBorder="1" applyAlignment="1">
      <alignment horizontal="center" vertical="top"/>
    </xf>
    <xf numFmtId="3" fontId="1" fillId="7" borderId="103" xfId="0" applyNumberFormat="1" applyFont="1" applyFill="1" applyBorder="1" applyAlignment="1">
      <alignment horizontal="center" vertical="top"/>
    </xf>
    <xf numFmtId="165" fontId="1" fillId="7" borderId="82" xfId="0" applyNumberFormat="1" applyFont="1" applyFill="1" applyBorder="1" applyAlignment="1">
      <alignment horizontal="center" vertical="top"/>
    </xf>
    <xf numFmtId="165" fontId="1" fillId="7" borderId="14" xfId="0" applyNumberFormat="1" applyFont="1" applyFill="1" applyBorder="1" applyAlignment="1">
      <alignment horizontal="center" vertical="top"/>
    </xf>
    <xf numFmtId="165" fontId="6" fillId="7" borderId="44" xfId="0" applyNumberFormat="1" applyFont="1" applyFill="1" applyBorder="1" applyAlignment="1">
      <alignment horizontal="center" vertical="center" textRotation="90" wrapText="1"/>
    </xf>
    <xf numFmtId="3" fontId="1" fillId="7" borderId="46" xfId="0" applyNumberFormat="1" applyFont="1" applyFill="1" applyBorder="1" applyAlignment="1">
      <alignment horizontal="center" vertical="top"/>
    </xf>
    <xf numFmtId="49" fontId="2" fillId="9" borderId="33" xfId="0" applyNumberFormat="1" applyFont="1" applyFill="1" applyBorder="1" applyAlignment="1">
      <alignment horizontal="center" vertical="top"/>
    </xf>
    <xf numFmtId="3" fontId="1" fillId="7" borderId="17" xfId="0" applyNumberFormat="1" applyFont="1" applyFill="1" applyBorder="1" applyAlignment="1">
      <alignment horizontal="center" vertical="top" wrapText="1"/>
    </xf>
    <xf numFmtId="0" fontId="1" fillId="7" borderId="33" xfId="0" applyFont="1" applyFill="1" applyBorder="1" applyAlignment="1">
      <alignment vertical="top"/>
    </xf>
    <xf numFmtId="0" fontId="1" fillId="7" borderId="10" xfId="0" applyFont="1" applyFill="1" applyBorder="1" applyAlignment="1">
      <alignment vertical="top"/>
    </xf>
    <xf numFmtId="0" fontId="1" fillId="7" borderId="47" xfId="0" applyFont="1" applyFill="1" applyBorder="1" applyAlignment="1">
      <alignment vertical="top"/>
    </xf>
    <xf numFmtId="0" fontId="1" fillId="7" borderId="17" xfId="0" applyFont="1" applyFill="1" applyBorder="1" applyAlignment="1">
      <alignment vertical="top"/>
    </xf>
    <xf numFmtId="165" fontId="1" fillId="7" borderId="33" xfId="0" applyNumberFormat="1" applyFont="1" applyFill="1" applyBorder="1" applyAlignment="1">
      <alignment horizontal="center" vertical="top" wrapText="1"/>
    </xf>
    <xf numFmtId="165" fontId="1" fillId="7" borderId="4" xfId="0" applyNumberFormat="1" applyFont="1" applyFill="1" applyBorder="1" applyAlignment="1">
      <alignment horizontal="left" vertical="top" wrapText="1"/>
    </xf>
    <xf numFmtId="165" fontId="1" fillId="7" borderId="0" xfId="0" applyNumberFormat="1" applyFont="1" applyFill="1" applyBorder="1" applyAlignment="1">
      <alignment horizontal="center" vertical="top" wrapText="1"/>
    </xf>
    <xf numFmtId="165" fontId="1" fillId="7" borderId="72" xfId="1" applyNumberFormat="1" applyFont="1" applyFill="1" applyBorder="1" applyAlignment="1">
      <alignment horizontal="center" vertical="top"/>
    </xf>
    <xf numFmtId="165" fontId="1" fillId="7" borderId="22" xfId="1" applyNumberFormat="1" applyFont="1" applyFill="1" applyBorder="1" applyAlignment="1">
      <alignment horizontal="center" vertical="top"/>
    </xf>
    <xf numFmtId="49" fontId="1" fillId="7" borderId="17" xfId="0" applyNumberFormat="1" applyFont="1" applyFill="1" applyBorder="1" applyAlignment="1">
      <alignment horizontal="center" vertical="top"/>
    </xf>
    <xf numFmtId="0" fontId="1" fillId="7" borderId="0" xfId="0" applyFont="1" applyFill="1" applyBorder="1" applyAlignment="1">
      <alignment vertical="top"/>
    </xf>
    <xf numFmtId="165" fontId="1" fillId="7" borderId="4" xfId="0" applyNumberFormat="1" applyFont="1" applyFill="1" applyBorder="1" applyAlignment="1">
      <alignment horizontal="center" vertical="top"/>
    </xf>
    <xf numFmtId="165" fontId="2" fillId="8" borderId="32" xfId="0" applyNumberFormat="1" applyFont="1" applyFill="1" applyBorder="1" applyAlignment="1">
      <alignment horizontal="center" vertical="top"/>
    </xf>
    <xf numFmtId="3" fontId="1" fillId="7" borderId="91" xfId="0" applyNumberFormat="1" applyFont="1" applyFill="1" applyBorder="1" applyAlignment="1">
      <alignment horizontal="center" vertical="top"/>
    </xf>
    <xf numFmtId="165" fontId="2" fillId="7" borderId="47" xfId="0" applyNumberFormat="1" applyFont="1" applyFill="1" applyBorder="1" applyAlignment="1">
      <alignment vertical="top" wrapText="1"/>
    </xf>
    <xf numFmtId="165" fontId="2" fillId="8" borderId="54" xfId="0" applyNumberFormat="1" applyFont="1" applyFill="1" applyBorder="1" applyAlignment="1">
      <alignment horizontal="center" vertical="top"/>
    </xf>
    <xf numFmtId="165" fontId="6" fillId="8" borderId="56" xfId="0" applyNumberFormat="1" applyFont="1" applyFill="1" applyBorder="1" applyAlignment="1">
      <alignment vertical="top" wrapText="1"/>
    </xf>
    <xf numFmtId="165" fontId="2" fillId="8" borderId="10" xfId="0" applyNumberFormat="1" applyFont="1" applyFill="1" applyBorder="1" applyAlignment="1">
      <alignment horizontal="center" vertical="top"/>
    </xf>
    <xf numFmtId="165" fontId="2" fillId="8" borderId="24" xfId="0" applyNumberFormat="1" applyFont="1" applyFill="1" applyBorder="1" applyAlignment="1">
      <alignment horizontal="center" vertical="top"/>
    </xf>
    <xf numFmtId="3" fontId="5" fillId="8" borderId="56" xfId="0" applyNumberFormat="1" applyFont="1" applyFill="1" applyBorder="1" applyAlignment="1">
      <alignment horizontal="center" vertical="top" wrapText="1"/>
    </xf>
    <xf numFmtId="3" fontId="5" fillId="8" borderId="58" xfId="0" applyNumberFormat="1" applyFont="1" applyFill="1" applyBorder="1" applyAlignment="1">
      <alignment horizontal="center" vertical="top" wrapText="1"/>
    </xf>
    <xf numFmtId="165" fontId="2" fillId="8" borderId="10" xfId="0" applyNumberFormat="1" applyFont="1" applyFill="1" applyBorder="1" applyAlignment="1">
      <alignment vertical="top"/>
    </xf>
    <xf numFmtId="165" fontId="2" fillId="8" borderId="47" xfId="0" applyNumberFormat="1" applyFont="1" applyFill="1" applyBorder="1" applyAlignment="1">
      <alignment vertical="top"/>
    </xf>
    <xf numFmtId="165" fontId="2" fillId="8" borderId="0" xfId="0" applyNumberFormat="1" applyFont="1" applyFill="1" applyBorder="1" applyAlignment="1">
      <alignment horizontal="center" vertical="top"/>
    </xf>
    <xf numFmtId="165" fontId="6" fillId="8" borderId="31" xfId="0" applyNumberFormat="1" applyFont="1" applyFill="1" applyBorder="1" applyAlignment="1">
      <alignment vertical="top" wrapText="1"/>
    </xf>
    <xf numFmtId="165" fontId="9" fillId="8" borderId="31" xfId="0" applyNumberFormat="1" applyFont="1" applyFill="1" applyBorder="1" applyAlignment="1">
      <alignment horizontal="center" vertical="center" textRotation="90" wrapText="1"/>
    </xf>
    <xf numFmtId="165" fontId="13" fillId="8" borderId="69" xfId="0" applyNumberFormat="1" applyFont="1" applyFill="1" applyBorder="1" applyAlignment="1">
      <alignment horizontal="left" vertical="top" wrapText="1"/>
    </xf>
    <xf numFmtId="49" fontId="1" fillId="7" borderId="97" xfId="0" applyNumberFormat="1" applyFont="1" applyFill="1" applyBorder="1" applyAlignment="1">
      <alignment horizontal="center" vertical="top"/>
    </xf>
    <xf numFmtId="165" fontId="1" fillId="7" borderId="57" xfId="0" applyNumberFormat="1" applyFont="1" applyFill="1" applyBorder="1" applyAlignment="1">
      <alignment horizontal="center" vertical="top" wrapText="1"/>
    </xf>
    <xf numFmtId="3" fontId="1" fillId="7" borderId="47" xfId="0" applyNumberFormat="1" applyFont="1" applyFill="1" applyBorder="1" applyAlignment="1">
      <alignment horizontal="center" vertical="top" wrapText="1"/>
    </xf>
    <xf numFmtId="49" fontId="2" fillId="8" borderId="0" xfId="0" applyNumberFormat="1" applyFont="1" applyFill="1" applyBorder="1" applyAlignment="1">
      <alignment horizontal="center" vertical="top"/>
    </xf>
    <xf numFmtId="49" fontId="2" fillId="8" borderId="31" xfId="0" applyNumberFormat="1" applyFont="1" applyFill="1" applyBorder="1" applyAlignment="1">
      <alignment horizontal="center" vertical="top"/>
    </xf>
    <xf numFmtId="0" fontId="0" fillId="8" borderId="31" xfId="0" applyFill="1" applyBorder="1" applyAlignment="1">
      <alignment vertical="top" wrapText="1"/>
    </xf>
    <xf numFmtId="0" fontId="0" fillId="8" borderId="31" xfId="0" applyFill="1" applyBorder="1" applyAlignment="1">
      <alignment horizontal="center" textRotation="90" wrapText="1"/>
    </xf>
    <xf numFmtId="0" fontId="0" fillId="8" borderId="31" xfId="0" applyFont="1" applyFill="1" applyBorder="1" applyAlignment="1">
      <alignment horizontal="center" vertical="top"/>
    </xf>
    <xf numFmtId="165" fontId="6" fillId="8" borderId="69" xfId="0" applyNumberFormat="1" applyFont="1" applyFill="1" applyBorder="1" applyAlignment="1">
      <alignment vertical="top" wrapText="1"/>
    </xf>
    <xf numFmtId="165" fontId="2" fillId="9" borderId="6"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1" fillId="7" borderId="57" xfId="0" applyNumberFormat="1" applyFont="1" applyFill="1" applyBorder="1" applyAlignment="1">
      <alignment vertical="top"/>
    </xf>
    <xf numFmtId="165" fontId="2" fillId="8" borderId="47" xfId="0" applyNumberFormat="1" applyFont="1" applyFill="1" applyBorder="1" applyAlignment="1">
      <alignment horizontal="center" vertical="top"/>
    </xf>
    <xf numFmtId="3" fontId="1" fillId="0" borderId="89" xfId="0" applyNumberFormat="1" applyFont="1" applyFill="1" applyBorder="1" applyAlignment="1">
      <alignment horizontal="center" vertical="top"/>
    </xf>
    <xf numFmtId="165" fontId="13" fillId="7" borderId="28" xfId="0" applyNumberFormat="1" applyFont="1" applyFill="1" applyBorder="1" applyAlignment="1">
      <alignment horizontal="left" vertical="top" wrapText="1"/>
    </xf>
    <xf numFmtId="165" fontId="1" fillId="7" borderId="14" xfId="0" applyNumberFormat="1" applyFont="1" applyFill="1" applyBorder="1" applyAlignment="1">
      <alignment horizontal="center" vertical="top" wrapText="1"/>
    </xf>
    <xf numFmtId="165" fontId="1" fillId="7" borderId="20" xfId="0" applyNumberFormat="1" applyFont="1" applyFill="1" applyBorder="1" applyAlignment="1">
      <alignment horizontal="center" vertical="top"/>
    </xf>
    <xf numFmtId="3" fontId="1" fillId="0" borderId="0" xfId="0" applyNumberFormat="1" applyFont="1" applyFill="1" applyBorder="1" applyAlignment="1">
      <alignment horizontal="center" vertical="top"/>
    </xf>
    <xf numFmtId="3" fontId="1" fillId="0" borderId="87" xfId="0" applyNumberFormat="1" applyFont="1" applyFill="1" applyBorder="1" applyAlignment="1">
      <alignment horizontal="center" vertical="top"/>
    </xf>
    <xf numFmtId="49" fontId="1" fillId="7" borderId="20" xfId="0" applyNumberFormat="1" applyFont="1" applyFill="1" applyBorder="1" applyAlignment="1">
      <alignment horizontal="center" vertical="top"/>
    </xf>
    <xf numFmtId="49" fontId="1" fillId="7" borderId="102" xfId="0" applyNumberFormat="1" applyFont="1" applyFill="1" applyBorder="1" applyAlignment="1">
      <alignment horizontal="center" vertical="top"/>
    </xf>
    <xf numFmtId="49" fontId="1" fillId="7" borderId="100" xfId="0" applyNumberFormat="1" applyFont="1" applyFill="1" applyBorder="1" applyAlignment="1">
      <alignment horizontal="center" vertical="top"/>
    </xf>
    <xf numFmtId="49" fontId="1" fillId="7" borderId="26" xfId="0" applyNumberFormat="1" applyFont="1" applyFill="1" applyBorder="1" applyAlignment="1">
      <alignment horizontal="center" vertical="top"/>
    </xf>
    <xf numFmtId="3" fontId="5" fillId="7" borderId="10" xfId="0" applyNumberFormat="1" applyFont="1" applyFill="1" applyBorder="1" applyAlignment="1">
      <alignment horizontal="center" vertical="top" wrapText="1"/>
    </xf>
    <xf numFmtId="3" fontId="5" fillId="7" borderId="27" xfId="0" applyNumberFormat="1" applyFont="1" applyFill="1" applyBorder="1" applyAlignment="1">
      <alignment horizontal="center" vertical="top" wrapText="1"/>
    </xf>
    <xf numFmtId="3" fontId="5" fillId="7" borderId="0" xfId="0" applyNumberFormat="1" applyFont="1" applyFill="1" applyBorder="1" applyAlignment="1">
      <alignment horizontal="center" vertical="top" wrapText="1"/>
    </xf>
    <xf numFmtId="3" fontId="5" fillId="7" borderId="20" xfId="0" applyNumberFormat="1" applyFont="1" applyFill="1" applyBorder="1" applyAlignment="1">
      <alignment horizontal="center" vertical="top" wrapText="1"/>
    </xf>
    <xf numFmtId="165" fontId="1" fillId="7" borderId="80" xfId="0" applyNumberFormat="1" applyFont="1" applyFill="1" applyBorder="1" applyAlignment="1">
      <alignment horizontal="left" vertical="top" wrapText="1"/>
    </xf>
    <xf numFmtId="0" fontId="1" fillId="7" borderId="28" xfId="0" applyFont="1" applyFill="1" applyBorder="1" applyAlignment="1">
      <alignment horizontal="left" vertical="top" wrapText="1"/>
    </xf>
    <xf numFmtId="165" fontId="2" fillId="7" borderId="22" xfId="0" applyNumberFormat="1" applyFont="1" applyFill="1" applyBorder="1" applyAlignment="1">
      <alignment horizontal="center" vertical="top"/>
    </xf>
    <xf numFmtId="165" fontId="2" fillId="7" borderId="61" xfId="0" applyNumberFormat="1" applyFont="1" applyFill="1" applyBorder="1" applyAlignment="1">
      <alignment horizontal="center" vertical="top"/>
    </xf>
    <xf numFmtId="0" fontId="0" fillId="7" borderId="26" xfId="0" applyFont="1" applyFill="1" applyBorder="1" applyAlignment="1">
      <alignment horizontal="center" vertical="top"/>
    </xf>
    <xf numFmtId="165" fontId="1" fillId="7" borderId="107" xfId="0" applyNumberFormat="1" applyFont="1" applyFill="1" applyBorder="1" applyAlignment="1">
      <alignment horizontal="center" vertical="top"/>
    </xf>
    <xf numFmtId="165" fontId="9" fillId="7" borderId="10" xfId="0" applyNumberFormat="1" applyFont="1" applyFill="1" applyBorder="1" applyAlignment="1">
      <alignment horizontal="center" vertical="center" wrapText="1"/>
    </xf>
    <xf numFmtId="165" fontId="1" fillId="7" borderId="47" xfId="0" applyNumberFormat="1" applyFont="1" applyFill="1" applyBorder="1" applyAlignment="1">
      <alignment vertical="top"/>
    </xf>
    <xf numFmtId="165" fontId="11" fillId="7" borderId="5" xfId="0" applyNumberFormat="1" applyFont="1" applyFill="1" applyBorder="1" applyAlignment="1">
      <alignment horizontal="center" vertical="top"/>
    </xf>
    <xf numFmtId="49" fontId="1" fillId="7" borderId="72" xfId="0" applyNumberFormat="1" applyFont="1" applyFill="1" applyBorder="1" applyAlignment="1">
      <alignment horizontal="center" vertical="top"/>
    </xf>
    <xf numFmtId="165" fontId="1" fillId="7" borderId="72" xfId="0" applyNumberFormat="1" applyFont="1" applyFill="1" applyBorder="1" applyAlignment="1">
      <alignment horizontal="center" vertical="top" wrapText="1"/>
    </xf>
    <xf numFmtId="165" fontId="2" fillId="7" borderId="38" xfId="0" applyNumberFormat="1" applyFont="1" applyFill="1" applyBorder="1" applyAlignment="1">
      <alignment horizontal="center" vertical="top"/>
    </xf>
    <xf numFmtId="3" fontId="1" fillId="7" borderId="97" xfId="0" applyNumberFormat="1" applyFont="1" applyFill="1" applyBorder="1" applyAlignment="1">
      <alignment horizontal="center" vertical="top"/>
    </xf>
    <xf numFmtId="3" fontId="1" fillId="7" borderId="102" xfId="0" applyNumberFormat="1" applyFont="1" applyFill="1" applyBorder="1" applyAlignment="1">
      <alignment horizontal="center" vertical="top"/>
    </xf>
    <xf numFmtId="165" fontId="1" fillId="7" borderId="72" xfId="0" applyNumberFormat="1" applyFont="1" applyFill="1" applyBorder="1" applyAlignment="1">
      <alignment vertical="top"/>
    </xf>
    <xf numFmtId="0" fontId="16" fillId="0" borderId="0" xfId="0" applyFont="1" applyFill="1"/>
    <xf numFmtId="49" fontId="1" fillId="7" borderId="78" xfId="0" applyNumberFormat="1" applyFont="1" applyFill="1" applyBorder="1" applyAlignment="1">
      <alignment horizontal="center" vertical="top"/>
    </xf>
    <xf numFmtId="165" fontId="1" fillId="7" borderId="30" xfId="0" applyNumberFormat="1" applyFont="1" applyFill="1" applyBorder="1" applyAlignment="1">
      <alignment horizontal="center" vertical="top"/>
    </xf>
    <xf numFmtId="165" fontId="11" fillId="7" borderId="33" xfId="0" applyNumberFormat="1" applyFont="1" applyFill="1" applyBorder="1" applyAlignment="1">
      <alignment horizontal="center" vertical="top"/>
    </xf>
    <xf numFmtId="165" fontId="1" fillId="7" borderId="17" xfId="0" applyNumberFormat="1" applyFont="1" applyFill="1" applyBorder="1" applyAlignment="1">
      <alignment vertical="top"/>
    </xf>
    <xf numFmtId="165" fontId="12" fillId="7" borderId="27" xfId="0" applyNumberFormat="1" applyFont="1" applyFill="1" applyBorder="1" applyAlignment="1">
      <alignment horizontal="center" vertical="center" wrapText="1"/>
    </xf>
    <xf numFmtId="49" fontId="2" fillId="8" borderId="10"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165" fontId="2" fillId="2" borderId="29" xfId="0" applyNumberFormat="1" applyFont="1" applyFill="1" applyBorder="1" applyAlignment="1">
      <alignment horizontal="center" vertical="top"/>
    </xf>
    <xf numFmtId="49" fontId="2" fillId="9" borderId="4" xfId="0" applyNumberFormat="1" applyFont="1" applyFill="1" applyBorder="1" applyAlignment="1">
      <alignment horizontal="center" vertical="top"/>
    </xf>
    <xf numFmtId="0" fontId="0" fillId="7" borderId="17" xfId="0" applyFont="1" applyFill="1" applyBorder="1" applyAlignment="1">
      <alignment horizontal="center" vertical="top" wrapText="1"/>
    </xf>
    <xf numFmtId="3" fontId="5" fillId="7" borderId="47" xfId="0" applyNumberFormat="1" applyFont="1" applyFill="1" applyBorder="1" applyAlignment="1">
      <alignment horizontal="center" vertical="center" wrapText="1"/>
    </xf>
    <xf numFmtId="3" fontId="5" fillId="7" borderId="17" xfId="0" applyNumberFormat="1" applyFont="1" applyFill="1" applyBorder="1" applyAlignment="1">
      <alignment horizontal="center" vertical="center" wrapText="1"/>
    </xf>
    <xf numFmtId="3" fontId="1" fillId="7" borderId="25" xfId="0" applyNumberFormat="1" applyFont="1" applyFill="1" applyBorder="1" applyAlignment="1">
      <alignment horizontal="center" vertical="top"/>
    </xf>
    <xf numFmtId="3" fontId="5" fillId="7" borderId="17" xfId="0" applyNumberFormat="1" applyFont="1" applyFill="1" applyBorder="1" applyAlignment="1">
      <alignment horizontal="center" vertical="top"/>
    </xf>
    <xf numFmtId="0" fontId="1" fillId="7" borderId="20" xfId="0" applyFont="1" applyFill="1" applyBorder="1" applyAlignment="1">
      <alignment horizontal="right" vertical="center"/>
    </xf>
    <xf numFmtId="0" fontId="18" fillId="7" borderId="26" xfId="0" applyFont="1" applyFill="1" applyBorder="1" applyAlignment="1">
      <alignment horizontal="right" vertical="center"/>
    </xf>
    <xf numFmtId="49" fontId="2" fillId="2" borderId="24" xfId="0" applyNumberFormat="1" applyFont="1" applyFill="1" applyBorder="1" applyAlignment="1">
      <alignment horizontal="center" vertical="top"/>
    </xf>
    <xf numFmtId="49" fontId="2" fillId="8" borderId="24" xfId="0" applyNumberFormat="1" applyFont="1" applyFill="1" applyBorder="1" applyAlignment="1">
      <alignment horizontal="center" vertical="top"/>
    </xf>
    <xf numFmtId="0" fontId="0" fillId="7" borderId="25" xfId="0" applyFont="1" applyFill="1" applyBorder="1" applyAlignment="1">
      <alignment horizontal="center" vertical="top"/>
    </xf>
    <xf numFmtId="165" fontId="2" fillId="7" borderId="43" xfId="0" applyNumberFormat="1" applyFont="1" applyFill="1" applyBorder="1" applyAlignment="1">
      <alignment horizontal="center" vertical="top"/>
    </xf>
    <xf numFmtId="165" fontId="6" fillId="7" borderId="4" xfId="0" applyNumberFormat="1" applyFont="1" applyFill="1" applyBorder="1" applyAlignment="1">
      <alignment vertical="top" wrapText="1"/>
    </xf>
    <xf numFmtId="165" fontId="13" fillId="7" borderId="46" xfId="0" applyNumberFormat="1" applyFont="1" applyFill="1" applyBorder="1" applyAlignment="1">
      <alignment horizontal="center" vertical="center" textRotation="90" wrapText="1"/>
    </xf>
    <xf numFmtId="165" fontId="13" fillId="7" borderId="18" xfId="0" applyNumberFormat="1" applyFont="1" applyFill="1" applyBorder="1" applyAlignment="1">
      <alignment horizontal="center" vertical="center" textRotation="90" wrapText="1"/>
    </xf>
    <xf numFmtId="3" fontId="1" fillId="7" borderId="40" xfId="0" applyNumberFormat="1" applyFont="1" applyFill="1" applyBorder="1" applyAlignment="1">
      <alignment horizontal="center" vertical="top"/>
    </xf>
    <xf numFmtId="165" fontId="1" fillId="7" borderId="15" xfId="0" applyNumberFormat="1" applyFont="1" applyFill="1" applyBorder="1" applyAlignment="1">
      <alignment horizontal="left" vertical="top" wrapText="1"/>
    </xf>
    <xf numFmtId="165" fontId="1" fillId="7" borderId="64" xfId="0" applyNumberFormat="1" applyFont="1" applyFill="1" applyBorder="1" applyAlignment="1">
      <alignment horizontal="center" vertical="top"/>
    </xf>
    <xf numFmtId="165" fontId="2" fillId="9" borderId="6"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2" fillId="9" borderId="6"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3" fontId="1" fillId="7" borderId="77" xfId="0" applyNumberFormat="1" applyFont="1" applyFill="1" applyBorder="1" applyAlignment="1">
      <alignment horizontal="center" vertical="top" wrapText="1"/>
    </xf>
    <xf numFmtId="3" fontId="1" fillId="7" borderId="99" xfId="0" applyNumberFormat="1" applyFont="1" applyFill="1" applyBorder="1" applyAlignment="1">
      <alignment horizontal="center" vertical="top" wrapText="1"/>
    </xf>
    <xf numFmtId="3" fontId="1" fillId="7" borderId="57" xfId="0" applyNumberFormat="1" applyFont="1" applyFill="1" applyBorder="1" applyAlignment="1">
      <alignment horizontal="center" vertical="top" wrapText="1"/>
    </xf>
    <xf numFmtId="3" fontId="1" fillId="7" borderId="72"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wrapText="1"/>
    </xf>
    <xf numFmtId="165" fontId="1" fillId="0" borderId="47" xfId="0" applyNumberFormat="1" applyFont="1" applyFill="1" applyBorder="1" applyAlignment="1">
      <alignment horizontal="center" vertical="top"/>
    </xf>
    <xf numFmtId="165" fontId="1" fillId="7" borderId="31" xfId="0" applyNumberFormat="1" applyFont="1" applyFill="1" applyBorder="1" applyAlignment="1">
      <alignment horizontal="center" vertical="top"/>
    </xf>
    <xf numFmtId="3" fontId="1" fillId="0" borderId="57" xfId="0" applyNumberFormat="1" applyFont="1" applyFill="1" applyBorder="1" applyAlignment="1">
      <alignment horizontal="center" vertical="top"/>
    </xf>
    <xf numFmtId="49" fontId="1" fillId="7" borderId="91" xfId="0" applyNumberFormat="1" applyFont="1" applyFill="1" applyBorder="1" applyAlignment="1">
      <alignment horizontal="center" vertical="top"/>
    </xf>
    <xf numFmtId="3" fontId="5" fillId="7" borderId="45" xfId="0" applyNumberFormat="1" applyFont="1" applyFill="1" applyBorder="1" applyAlignment="1">
      <alignment horizontal="center" vertical="top" wrapText="1"/>
    </xf>
    <xf numFmtId="3" fontId="5" fillId="7" borderId="34" xfId="0" applyNumberFormat="1" applyFont="1" applyFill="1" applyBorder="1" applyAlignment="1">
      <alignment horizontal="center" vertical="center" wrapText="1"/>
    </xf>
    <xf numFmtId="165" fontId="13" fillId="7" borderId="18" xfId="0" applyNumberFormat="1" applyFont="1" applyFill="1" applyBorder="1" applyAlignment="1">
      <alignment vertical="top" wrapText="1"/>
    </xf>
    <xf numFmtId="3" fontId="1" fillId="7" borderId="106" xfId="0" applyNumberFormat="1" applyFont="1" applyFill="1" applyBorder="1" applyAlignment="1">
      <alignment horizontal="center" vertical="top"/>
    </xf>
    <xf numFmtId="0" fontId="1" fillId="7" borderId="45" xfId="0" applyFont="1" applyFill="1" applyBorder="1" applyAlignment="1">
      <alignment horizontal="right" vertical="center"/>
    </xf>
    <xf numFmtId="0" fontId="18" fillId="7" borderId="34" xfId="0" applyFont="1" applyFill="1" applyBorder="1" applyAlignment="1">
      <alignment horizontal="right" vertical="center"/>
    </xf>
    <xf numFmtId="3" fontId="5" fillId="7" borderId="47" xfId="0" applyNumberFormat="1" applyFont="1" applyFill="1" applyBorder="1" applyAlignment="1">
      <alignment horizontal="center" vertical="top"/>
    </xf>
    <xf numFmtId="0" fontId="1" fillId="0" borderId="0" xfId="0" applyFont="1" applyFill="1" applyAlignment="1">
      <alignment horizontal="center" vertical="top"/>
    </xf>
    <xf numFmtId="3" fontId="1" fillId="0" borderId="0" xfId="0" applyNumberFormat="1" applyFont="1" applyFill="1" applyAlignment="1">
      <alignment vertical="top"/>
    </xf>
    <xf numFmtId="3" fontId="1" fillId="7" borderId="77" xfId="0" applyNumberFormat="1" applyFont="1" applyFill="1" applyBorder="1" applyAlignment="1">
      <alignment horizontal="center" vertical="top"/>
    </xf>
    <xf numFmtId="0" fontId="1" fillId="0" borderId="0" xfId="0" applyFont="1" applyFill="1" applyBorder="1" applyAlignment="1">
      <alignment vertical="top"/>
    </xf>
    <xf numFmtId="165" fontId="12" fillId="7" borderId="10" xfId="0" applyNumberFormat="1" applyFont="1" applyFill="1" applyBorder="1" applyAlignment="1">
      <alignment horizontal="center" vertical="center" wrapText="1"/>
    </xf>
    <xf numFmtId="165" fontId="1" fillId="7" borderId="72" xfId="0" applyNumberFormat="1" applyFont="1" applyFill="1" applyBorder="1" applyAlignment="1">
      <alignment horizontal="right" vertical="top" wrapText="1"/>
    </xf>
    <xf numFmtId="0" fontId="0" fillId="0" borderId="0" xfId="0" applyFill="1" applyAlignment="1">
      <alignment horizontal="left" vertical="top" wrapText="1"/>
    </xf>
    <xf numFmtId="3" fontId="2" fillId="0" borderId="65" xfId="0" applyNumberFormat="1" applyFont="1" applyBorder="1" applyAlignment="1">
      <alignment horizontal="center" vertical="center" wrapText="1"/>
    </xf>
    <xf numFmtId="165" fontId="2" fillId="5" borderId="65" xfId="0" applyNumberFormat="1" applyFont="1" applyFill="1" applyBorder="1" applyAlignment="1">
      <alignment horizontal="center" vertical="top" wrapText="1"/>
    </xf>
    <xf numFmtId="165" fontId="2" fillId="8" borderId="64" xfId="0" applyNumberFormat="1" applyFont="1" applyFill="1" applyBorder="1" applyAlignment="1">
      <alignment horizontal="center" vertical="top" wrapText="1"/>
    </xf>
    <xf numFmtId="3" fontId="1" fillId="7" borderId="78" xfId="0" applyNumberFormat="1" applyFont="1" applyFill="1" applyBorder="1" applyAlignment="1">
      <alignment horizontal="center" vertical="top"/>
    </xf>
    <xf numFmtId="3" fontId="1" fillId="3" borderId="57" xfId="0" applyNumberFormat="1" applyFont="1" applyFill="1" applyBorder="1" applyAlignment="1">
      <alignment horizontal="center" vertical="top" wrapText="1"/>
    </xf>
    <xf numFmtId="165" fontId="1" fillId="0" borderId="70" xfId="0" applyNumberFormat="1" applyFont="1" applyBorder="1" applyAlignment="1">
      <alignment vertical="top"/>
    </xf>
    <xf numFmtId="3" fontId="1" fillId="7" borderId="49" xfId="0" applyNumberFormat="1" applyFont="1" applyFill="1" applyBorder="1" applyAlignment="1">
      <alignment horizontal="center" vertical="top"/>
    </xf>
    <xf numFmtId="3" fontId="5" fillId="7" borderId="72" xfId="0" applyNumberFormat="1" applyFont="1" applyFill="1" applyBorder="1" applyAlignment="1">
      <alignment horizontal="center" vertical="top" wrapText="1"/>
    </xf>
    <xf numFmtId="165" fontId="1" fillId="8" borderId="31" xfId="0" applyNumberFormat="1" applyFont="1" applyFill="1" applyBorder="1" applyAlignment="1">
      <alignment horizontal="center" vertical="top"/>
    </xf>
    <xf numFmtId="165" fontId="1" fillId="0" borderId="61" xfId="0" applyNumberFormat="1" applyFont="1" applyFill="1" applyBorder="1" applyAlignment="1">
      <alignment horizontal="center" vertical="top" wrapText="1"/>
    </xf>
    <xf numFmtId="165" fontId="1" fillId="0" borderId="61" xfId="1" applyNumberFormat="1" applyFont="1" applyFill="1" applyBorder="1" applyAlignment="1">
      <alignment horizontal="center" vertical="top" wrapText="1"/>
    </xf>
    <xf numFmtId="3" fontId="1" fillId="3" borderId="20" xfId="0" applyNumberFormat="1" applyFont="1" applyFill="1" applyBorder="1" applyAlignment="1">
      <alignment horizontal="center" vertical="top" wrapText="1"/>
    </xf>
    <xf numFmtId="0" fontId="21" fillId="0" borderId="9" xfId="0" applyFont="1" applyBorder="1" applyAlignment="1">
      <alignment horizontal="center" vertical="center" wrapText="1"/>
    </xf>
    <xf numFmtId="165" fontId="11" fillId="7" borderId="22" xfId="0" applyNumberFormat="1" applyFont="1" applyFill="1" applyBorder="1" applyAlignment="1">
      <alignment horizontal="center" vertical="top"/>
    </xf>
    <xf numFmtId="3" fontId="1" fillId="0" borderId="47" xfId="0" applyNumberFormat="1" applyFont="1" applyFill="1" applyBorder="1" applyAlignment="1">
      <alignment horizontal="center" vertical="top"/>
    </xf>
    <xf numFmtId="165" fontId="1" fillId="0" borderId="14" xfId="0" applyNumberFormat="1" applyFont="1" applyBorder="1" applyAlignment="1">
      <alignment vertical="top"/>
    </xf>
    <xf numFmtId="165" fontId="1" fillId="0" borderId="81" xfId="0" applyNumberFormat="1" applyFont="1" applyFill="1" applyBorder="1" applyAlignment="1">
      <alignment horizontal="center" vertical="top"/>
    </xf>
    <xf numFmtId="3" fontId="5" fillId="7" borderId="26" xfId="0" applyNumberFormat="1" applyFont="1" applyFill="1" applyBorder="1" applyAlignment="1">
      <alignment horizontal="center" vertical="top" wrapText="1"/>
    </xf>
    <xf numFmtId="165" fontId="13" fillId="7" borderId="44" xfId="0" applyNumberFormat="1" applyFont="1" applyFill="1" applyBorder="1" applyAlignment="1">
      <alignment horizontal="center" vertical="center" textRotation="90" wrapText="1"/>
    </xf>
    <xf numFmtId="165" fontId="1" fillId="7" borderId="108" xfId="0" applyNumberFormat="1" applyFont="1" applyFill="1" applyBorder="1" applyAlignment="1">
      <alignment horizontal="center" vertical="top"/>
    </xf>
    <xf numFmtId="165" fontId="1" fillId="7" borderId="109" xfId="0" applyNumberFormat="1" applyFont="1" applyFill="1" applyBorder="1" applyAlignment="1">
      <alignment horizontal="center" vertical="top"/>
    </xf>
    <xf numFmtId="49" fontId="1" fillId="0" borderId="81" xfId="0" applyNumberFormat="1" applyFont="1" applyFill="1" applyBorder="1" applyAlignment="1">
      <alignment horizontal="center" vertical="top"/>
    </xf>
    <xf numFmtId="165" fontId="1" fillId="7" borderId="22" xfId="0" applyNumberFormat="1" applyFont="1" applyFill="1" applyBorder="1" applyAlignment="1">
      <alignment horizontal="center" vertical="center"/>
    </xf>
    <xf numFmtId="165" fontId="1" fillId="7" borderId="27" xfId="0" applyNumberFormat="1" applyFont="1" applyFill="1" applyBorder="1" applyAlignment="1">
      <alignment horizontal="center" vertical="top" wrapText="1"/>
    </xf>
    <xf numFmtId="165" fontId="13" fillId="7" borderId="10" xfId="0" applyNumberFormat="1" applyFont="1" applyFill="1" applyBorder="1" applyAlignment="1">
      <alignment horizontal="center" vertical="top"/>
    </xf>
    <xf numFmtId="3" fontId="1" fillId="0" borderId="0" xfId="0" applyNumberFormat="1" applyFont="1" applyFill="1" applyBorder="1" applyAlignment="1">
      <alignment horizontal="left" vertical="top" wrapText="1"/>
    </xf>
    <xf numFmtId="3" fontId="1" fillId="7" borderId="78" xfId="0" applyNumberFormat="1" applyFont="1" applyFill="1" applyBorder="1" applyAlignment="1">
      <alignment horizontal="center" vertical="top" wrapText="1"/>
    </xf>
    <xf numFmtId="165" fontId="3" fillId="7" borderId="27" xfId="0" applyNumberFormat="1" applyFont="1" applyFill="1" applyBorder="1" applyAlignment="1">
      <alignment horizontal="center" vertical="top" wrapText="1"/>
    </xf>
    <xf numFmtId="165" fontId="1" fillId="7" borderId="110" xfId="0" applyNumberFormat="1" applyFont="1" applyFill="1" applyBorder="1" applyAlignment="1">
      <alignment horizontal="center" vertical="top"/>
    </xf>
    <xf numFmtId="165" fontId="1" fillId="7" borderId="97" xfId="0" applyNumberFormat="1" applyFont="1" applyFill="1" applyBorder="1" applyAlignment="1">
      <alignment horizontal="center" vertical="top"/>
    </xf>
    <xf numFmtId="165" fontId="1" fillId="7" borderId="111" xfId="0" applyNumberFormat="1" applyFont="1" applyFill="1" applyBorder="1" applyAlignment="1">
      <alignment horizontal="center" vertical="top"/>
    </xf>
    <xf numFmtId="0" fontId="23" fillId="7" borderId="6" xfId="0" applyFont="1" applyFill="1" applyBorder="1" applyAlignment="1">
      <alignment vertical="top" wrapText="1"/>
    </xf>
    <xf numFmtId="0" fontId="6" fillId="7" borderId="17" xfId="0" applyFont="1" applyFill="1" applyBorder="1" applyAlignment="1">
      <alignment horizontal="center" wrapText="1"/>
    </xf>
    <xf numFmtId="49" fontId="1" fillId="7" borderId="57" xfId="0" applyNumberFormat="1" applyFont="1" applyFill="1" applyBorder="1" applyAlignment="1">
      <alignment horizontal="center" vertical="top"/>
    </xf>
    <xf numFmtId="49" fontId="1" fillId="7" borderId="77" xfId="0" applyNumberFormat="1" applyFont="1" applyFill="1" applyBorder="1" applyAlignment="1">
      <alignment horizontal="center" vertical="top"/>
    </xf>
    <xf numFmtId="49" fontId="1" fillId="7" borderId="99" xfId="0" applyNumberFormat="1" applyFont="1" applyFill="1" applyBorder="1" applyAlignment="1">
      <alignment horizontal="center" vertical="top"/>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3" fontId="1" fillId="7" borderId="106" xfId="0" applyNumberFormat="1" applyFont="1" applyFill="1" applyBorder="1" applyAlignment="1">
      <alignment horizontal="center" vertical="center"/>
    </xf>
    <xf numFmtId="3" fontId="1" fillId="7" borderId="75" xfId="0" applyNumberFormat="1" applyFont="1" applyFill="1" applyBorder="1" applyAlignment="1">
      <alignment horizontal="center" vertical="center"/>
    </xf>
    <xf numFmtId="3" fontId="1" fillId="7" borderId="103" xfId="0" applyNumberFormat="1" applyFont="1" applyFill="1" applyBorder="1" applyAlignment="1">
      <alignment vertical="top"/>
    </xf>
    <xf numFmtId="3" fontId="1" fillId="7" borderId="27" xfId="0" applyNumberFormat="1" applyFont="1" applyFill="1" applyBorder="1" applyAlignment="1">
      <alignment horizontal="center" vertical="center"/>
    </xf>
    <xf numFmtId="3" fontId="1" fillId="7" borderId="26" xfId="0" applyNumberFormat="1" applyFont="1" applyFill="1" applyBorder="1" applyAlignment="1">
      <alignment vertical="top"/>
    </xf>
    <xf numFmtId="3" fontId="1" fillId="7" borderId="92" xfId="0" applyNumberFormat="1" applyFont="1" applyFill="1" applyBorder="1" applyAlignment="1">
      <alignment horizontal="center" vertical="top"/>
    </xf>
    <xf numFmtId="165" fontId="1" fillId="7" borderId="0" xfId="0" applyNumberFormat="1" applyFont="1" applyFill="1" applyBorder="1" applyAlignment="1">
      <alignment vertical="top" wrapText="1"/>
    </xf>
    <xf numFmtId="165" fontId="6" fillId="7" borderId="46" xfId="0" applyNumberFormat="1" applyFont="1" applyFill="1" applyBorder="1" applyAlignment="1">
      <alignment horizontal="center" vertical="center" textRotation="90" wrapText="1"/>
    </xf>
    <xf numFmtId="165" fontId="1" fillId="7" borderId="59" xfId="0" applyNumberFormat="1" applyFont="1" applyFill="1" applyBorder="1" applyAlignment="1">
      <alignment horizontal="center" vertical="top"/>
    </xf>
    <xf numFmtId="165" fontId="1" fillId="7" borderId="87" xfId="0" applyNumberFormat="1" applyFont="1" applyFill="1" applyBorder="1" applyAlignment="1">
      <alignment horizontal="center" vertical="top"/>
    </xf>
    <xf numFmtId="165" fontId="1" fillId="7" borderId="81" xfId="0" applyNumberFormat="1" applyFont="1" applyFill="1" applyBorder="1" applyAlignment="1">
      <alignment horizontal="center" vertical="top"/>
    </xf>
    <xf numFmtId="0" fontId="1" fillId="7" borderId="5" xfId="0" applyFont="1" applyFill="1" applyBorder="1" applyAlignment="1">
      <alignment horizontal="center" vertical="top" wrapText="1"/>
    </xf>
    <xf numFmtId="0" fontId="1" fillId="7" borderId="22" xfId="0" applyFont="1" applyFill="1" applyBorder="1" applyAlignment="1">
      <alignment horizontal="center" vertical="top" wrapText="1"/>
    </xf>
    <xf numFmtId="49" fontId="1" fillId="7" borderId="17" xfId="0" applyNumberFormat="1" applyFont="1" applyFill="1" applyBorder="1" applyAlignment="1">
      <alignment horizontal="center" vertical="center" wrapText="1"/>
    </xf>
    <xf numFmtId="165" fontId="1" fillId="7" borderId="98" xfId="0" applyNumberFormat="1" applyFont="1" applyFill="1" applyBorder="1" applyAlignment="1">
      <alignment horizontal="center" vertical="top" wrapText="1"/>
    </xf>
    <xf numFmtId="165" fontId="1" fillId="7" borderId="101" xfId="0" applyNumberFormat="1" applyFont="1" applyFill="1" applyBorder="1" applyAlignment="1">
      <alignment horizontal="center" vertical="top"/>
    </xf>
    <xf numFmtId="0" fontId="1" fillId="7" borderId="80" xfId="0" applyFont="1" applyFill="1" applyBorder="1" applyAlignment="1">
      <alignment horizontal="left" vertical="top" wrapText="1"/>
    </xf>
    <xf numFmtId="49" fontId="2" fillId="2" borderId="47" xfId="0" applyNumberFormat="1" applyFont="1" applyFill="1" applyBorder="1" applyAlignment="1">
      <alignment horizontal="center" vertical="top"/>
    </xf>
    <xf numFmtId="0" fontId="1" fillId="7" borderId="77" xfId="0" applyFont="1" applyFill="1" applyBorder="1" applyAlignment="1">
      <alignment vertical="top" wrapText="1"/>
    </xf>
    <xf numFmtId="49" fontId="1" fillId="7" borderId="101"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165" fontId="2" fillId="7" borderId="57" xfId="0" applyNumberFormat="1" applyFont="1" applyFill="1" applyBorder="1" applyAlignment="1">
      <alignment horizontal="center" vertical="top" wrapText="1"/>
    </xf>
    <xf numFmtId="3" fontId="1" fillId="7" borderId="84" xfId="0" applyNumberFormat="1" applyFont="1" applyFill="1" applyBorder="1" applyAlignment="1">
      <alignment horizontal="center" vertical="top"/>
    </xf>
    <xf numFmtId="3" fontId="1" fillId="7" borderId="101" xfId="0" applyNumberFormat="1" applyFont="1" applyFill="1" applyBorder="1" applyAlignment="1">
      <alignment horizontal="center" vertical="top" wrapText="1"/>
    </xf>
    <xf numFmtId="3" fontId="1" fillId="7" borderId="100" xfId="0" applyNumberFormat="1" applyFont="1" applyFill="1" applyBorder="1" applyAlignment="1">
      <alignment horizontal="center" vertical="top" wrapText="1"/>
    </xf>
    <xf numFmtId="165" fontId="1" fillId="7" borderId="22" xfId="0" applyNumberFormat="1" applyFont="1" applyFill="1" applyBorder="1" applyAlignment="1">
      <alignment horizontal="right" vertical="top" wrapText="1"/>
    </xf>
    <xf numFmtId="0" fontId="6" fillId="7" borderId="17" xfId="0" applyFont="1" applyFill="1" applyBorder="1" applyAlignment="1">
      <alignment horizontal="center" vertical="top" wrapText="1"/>
    </xf>
    <xf numFmtId="3" fontId="1" fillId="7" borderId="101" xfId="0" applyNumberFormat="1" applyFont="1" applyFill="1" applyBorder="1" applyAlignment="1">
      <alignment horizontal="center" vertical="top"/>
    </xf>
    <xf numFmtId="165" fontId="2" fillId="8" borderId="21" xfId="0" applyNumberFormat="1" applyFont="1" applyFill="1" applyBorder="1" applyAlignment="1">
      <alignment horizontal="center" vertical="top" wrapText="1"/>
    </xf>
    <xf numFmtId="165" fontId="2" fillId="5" borderId="9" xfId="0" applyNumberFormat="1" applyFont="1" applyFill="1" applyBorder="1" applyAlignment="1">
      <alignment horizontal="center" vertical="top" wrapText="1"/>
    </xf>
    <xf numFmtId="165" fontId="1" fillId="7" borderId="7" xfId="0" applyNumberFormat="1" applyFont="1" applyFill="1" applyBorder="1" applyAlignment="1">
      <alignment horizontal="center" vertical="top" wrapText="1"/>
    </xf>
    <xf numFmtId="165" fontId="1" fillId="7" borderId="22" xfId="0" applyNumberFormat="1" applyFont="1" applyFill="1" applyBorder="1" applyAlignment="1">
      <alignment horizontal="center" vertical="top" wrapText="1"/>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0" fontId="1" fillId="7" borderId="7" xfId="0" applyFont="1" applyFill="1" applyBorder="1" applyAlignment="1">
      <alignment horizontal="center" vertical="top"/>
    </xf>
    <xf numFmtId="0" fontId="1" fillId="7" borderId="22" xfId="0" applyFont="1" applyFill="1" applyBorder="1" applyAlignment="1">
      <alignment horizontal="center" vertical="top"/>
    </xf>
    <xf numFmtId="3" fontId="13" fillId="7" borderId="34" xfId="0" applyNumberFormat="1" applyFont="1" applyFill="1" applyBorder="1" applyAlignment="1">
      <alignment horizontal="center" vertical="top"/>
    </xf>
    <xf numFmtId="3" fontId="1" fillId="0" borderId="100" xfId="0" applyNumberFormat="1" applyFont="1" applyFill="1" applyBorder="1" applyAlignment="1">
      <alignment horizontal="center" vertical="top"/>
    </xf>
    <xf numFmtId="3" fontId="1" fillId="0" borderId="0" xfId="0" applyNumberFormat="1" applyFont="1" applyAlignment="1">
      <alignment horizontal="left" vertical="top" wrapText="1"/>
    </xf>
    <xf numFmtId="0" fontId="1" fillId="7" borderId="27" xfId="0" applyFont="1" applyFill="1" applyBorder="1" applyAlignment="1">
      <alignment horizontal="center" vertical="top"/>
    </xf>
    <xf numFmtId="165" fontId="1" fillId="7" borderId="7" xfId="0" applyNumberFormat="1" applyFont="1" applyFill="1" applyBorder="1" applyAlignment="1">
      <alignment vertical="top"/>
    </xf>
    <xf numFmtId="165" fontId="1" fillId="7" borderId="24" xfId="0" applyNumberFormat="1" applyFont="1" applyFill="1" applyBorder="1" applyAlignment="1">
      <alignment vertical="top"/>
    </xf>
    <xf numFmtId="165" fontId="1" fillId="7" borderId="25" xfId="0" applyNumberFormat="1" applyFont="1" applyFill="1" applyBorder="1" applyAlignment="1">
      <alignment vertical="top"/>
    </xf>
    <xf numFmtId="165" fontId="1" fillId="7" borderId="93" xfId="0" applyNumberFormat="1" applyFont="1" applyFill="1" applyBorder="1" applyAlignment="1">
      <alignment vertical="top" wrapText="1"/>
    </xf>
    <xf numFmtId="0" fontId="1" fillId="7" borderId="76" xfId="0" applyFont="1" applyFill="1" applyBorder="1" applyAlignment="1">
      <alignment vertical="top" wrapText="1"/>
    </xf>
    <xf numFmtId="0" fontId="1" fillId="7" borderId="80" xfId="0" applyFont="1" applyFill="1" applyBorder="1" applyAlignment="1">
      <alignment vertical="top" wrapText="1"/>
    </xf>
    <xf numFmtId="165" fontId="1" fillId="7" borderId="97" xfId="0" applyNumberFormat="1" applyFont="1" applyFill="1" applyBorder="1" applyAlignment="1">
      <alignment horizontal="center" vertical="center" textRotation="90" wrapText="1"/>
    </xf>
    <xf numFmtId="165" fontId="1" fillId="7" borderId="104" xfId="0" applyNumberFormat="1" applyFont="1" applyFill="1" applyBorder="1" applyAlignment="1">
      <alignment horizontal="center" vertical="top"/>
    </xf>
    <xf numFmtId="3" fontId="1" fillId="7" borderId="20" xfId="0" applyNumberFormat="1" applyFont="1" applyFill="1" applyBorder="1" applyAlignment="1">
      <alignment horizontal="center" vertical="top" wrapText="1"/>
    </xf>
    <xf numFmtId="3" fontId="1" fillId="7" borderId="57" xfId="0" applyNumberFormat="1" applyFont="1" applyFill="1" applyBorder="1" applyAlignment="1">
      <alignment horizontal="center" vertical="top"/>
    </xf>
    <xf numFmtId="165" fontId="2" fillId="7" borderId="24" xfId="0" applyNumberFormat="1" applyFont="1" applyFill="1" applyBorder="1" applyAlignment="1">
      <alignment horizontal="center" vertical="top"/>
    </xf>
    <xf numFmtId="3" fontId="1" fillId="7" borderId="45" xfId="0" applyNumberFormat="1" applyFont="1" applyFill="1" applyBorder="1" applyAlignment="1">
      <alignment horizontal="center" vertical="top" wrapText="1"/>
    </xf>
    <xf numFmtId="3" fontId="1" fillId="7" borderId="91" xfId="0" applyNumberFormat="1" applyFont="1" applyFill="1" applyBorder="1" applyAlignment="1">
      <alignment horizontal="center" vertical="top" wrapText="1"/>
    </xf>
    <xf numFmtId="165" fontId="13" fillId="7" borderId="33" xfId="0" applyNumberFormat="1" applyFont="1" applyFill="1" applyBorder="1" applyAlignment="1">
      <alignment horizontal="center" vertical="top"/>
    </xf>
    <xf numFmtId="165" fontId="1" fillId="7" borderId="112" xfId="0" applyNumberFormat="1" applyFont="1" applyFill="1" applyBorder="1" applyAlignment="1">
      <alignment horizontal="center" vertical="top"/>
    </xf>
    <xf numFmtId="165" fontId="1" fillId="0" borderId="87" xfId="0" applyNumberFormat="1" applyFont="1" applyFill="1" applyBorder="1" applyAlignment="1">
      <alignment horizontal="center" vertical="top"/>
    </xf>
    <xf numFmtId="3" fontId="1" fillId="7" borderId="85" xfId="0" applyNumberFormat="1" applyFont="1" applyFill="1" applyBorder="1" applyAlignment="1">
      <alignment horizontal="center" vertical="top"/>
    </xf>
    <xf numFmtId="49" fontId="1" fillId="7" borderId="81" xfId="0" applyNumberFormat="1" applyFont="1" applyFill="1" applyBorder="1" applyAlignment="1">
      <alignment horizontal="center" vertical="top"/>
    </xf>
    <xf numFmtId="165" fontId="1" fillId="7" borderId="76" xfId="0" applyNumberFormat="1" applyFont="1" applyFill="1" applyBorder="1" applyAlignment="1">
      <alignment horizontal="left" vertical="top" wrapText="1"/>
    </xf>
    <xf numFmtId="165" fontId="1" fillId="7" borderId="9" xfId="0" applyNumberFormat="1" applyFont="1" applyFill="1" applyBorder="1" applyAlignment="1">
      <alignment vertical="top"/>
    </xf>
    <xf numFmtId="165" fontId="1" fillId="7" borderId="61" xfId="0" applyNumberFormat="1" applyFont="1" applyFill="1" applyBorder="1" applyAlignment="1">
      <alignment vertical="top" wrapText="1"/>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165" fontId="11" fillId="7" borderId="7" xfId="0" applyNumberFormat="1" applyFont="1" applyFill="1" applyBorder="1" applyAlignment="1">
      <alignment horizontal="center" vertical="top" wrapText="1"/>
    </xf>
    <xf numFmtId="49" fontId="1" fillId="7" borderId="80" xfId="0" applyNumberFormat="1" applyFont="1" applyFill="1" applyBorder="1" applyAlignment="1">
      <alignment horizontal="center" vertical="top" wrapText="1"/>
    </xf>
    <xf numFmtId="49" fontId="1" fillId="7" borderId="81" xfId="0" applyNumberFormat="1" applyFont="1" applyFill="1" applyBorder="1" applyAlignment="1">
      <alignment horizontal="center" vertical="top" wrapText="1"/>
    </xf>
    <xf numFmtId="165" fontId="2" fillId="0" borderId="0" xfId="0" applyNumberFormat="1" applyFont="1" applyFill="1" applyBorder="1" applyAlignment="1">
      <alignment horizontal="center" vertical="top"/>
    </xf>
    <xf numFmtId="165" fontId="1" fillId="7" borderId="77" xfId="0" applyNumberFormat="1" applyFont="1" applyFill="1" applyBorder="1" applyAlignment="1">
      <alignment horizontal="center" vertical="top"/>
    </xf>
    <xf numFmtId="165" fontId="1" fillId="7" borderId="95" xfId="0" applyNumberFormat="1" applyFont="1" applyFill="1" applyBorder="1" applyAlignment="1">
      <alignment horizontal="center" vertical="top"/>
    </xf>
    <xf numFmtId="165" fontId="1" fillId="7" borderId="88" xfId="0" applyNumberFormat="1" applyFont="1" applyFill="1" applyBorder="1" applyAlignment="1">
      <alignment horizontal="center" vertical="top"/>
    </xf>
    <xf numFmtId="165" fontId="1" fillId="7" borderId="114" xfId="0" applyNumberFormat="1" applyFont="1" applyFill="1" applyBorder="1" applyAlignment="1">
      <alignment horizontal="center" vertical="top"/>
    </xf>
    <xf numFmtId="165" fontId="1" fillId="7" borderId="115" xfId="0" applyNumberFormat="1" applyFont="1" applyFill="1" applyBorder="1" applyAlignment="1">
      <alignment horizontal="center" vertical="top"/>
    </xf>
    <xf numFmtId="49" fontId="1" fillId="7" borderId="87" xfId="0" applyNumberFormat="1" applyFont="1" applyFill="1" applyBorder="1" applyAlignment="1">
      <alignment horizontal="center" vertical="top" wrapText="1"/>
    </xf>
    <xf numFmtId="165" fontId="1" fillId="8" borderId="1" xfId="0" applyNumberFormat="1" applyFont="1" applyFill="1" applyBorder="1" applyAlignment="1">
      <alignment horizontal="center" vertical="top"/>
    </xf>
    <xf numFmtId="49" fontId="1" fillId="7" borderId="89" xfId="0" applyNumberFormat="1" applyFont="1" applyFill="1" applyBorder="1" applyAlignment="1">
      <alignment horizontal="center" vertical="top"/>
    </xf>
    <xf numFmtId="0" fontId="13" fillId="7" borderId="28" xfId="0" applyFont="1" applyFill="1" applyBorder="1" applyAlignment="1">
      <alignment vertical="top" wrapText="1"/>
    </xf>
    <xf numFmtId="165" fontId="13" fillId="7" borderId="19" xfId="0" applyNumberFormat="1" applyFont="1" applyFill="1" applyBorder="1" applyAlignment="1">
      <alignment horizontal="center" vertical="top"/>
    </xf>
    <xf numFmtId="165" fontId="13" fillId="7" borderId="48" xfId="0" applyNumberFormat="1" applyFont="1" applyFill="1" applyBorder="1" applyAlignment="1">
      <alignment horizontal="center" vertical="top"/>
    </xf>
    <xf numFmtId="165" fontId="13" fillId="7" borderId="61" xfId="0" applyNumberFormat="1" applyFont="1" applyFill="1" applyBorder="1" applyAlignment="1">
      <alignment horizontal="center" vertical="top"/>
    </xf>
    <xf numFmtId="165" fontId="2" fillId="7" borderId="10" xfId="0" applyNumberFormat="1" applyFont="1" applyFill="1" applyBorder="1" applyAlignment="1">
      <alignment horizontal="center" vertical="center" wrapText="1"/>
    </xf>
    <xf numFmtId="165" fontId="3" fillId="7" borderId="19" xfId="0" applyNumberFormat="1" applyFont="1" applyFill="1" applyBorder="1" applyAlignment="1">
      <alignment horizontal="center" vertical="top" wrapText="1"/>
    </xf>
    <xf numFmtId="3" fontId="1" fillId="7" borderId="102" xfId="0" applyNumberFormat="1" applyFont="1" applyFill="1" applyBorder="1" applyAlignment="1">
      <alignment horizontal="center" vertical="top" wrapText="1"/>
    </xf>
    <xf numFmtId="3" fontId="5" fillId="7" borderId="10" xfId="0" applyNumberFormat="1" applyFont="1" applyFill="1" applyBorder="1" applyAlignment="1">
      <alignment horizontal="center" vertical="center" wrapText="1"/>
    </xf>
    <xf numFmtId="0" fontId="1" fillId="7" borderId="44" xfId="0" applyFont="1" applyFill="1" applyBorder="1" applyAlignment="1">
      <alignment vertical="top" wrapText="1"/>
    </xf>
    <xf numFmtId="0" fontId="1" fillId="7" borderId="18" xfId="0" applyFont="1" applyFill="1" applyBorder="1" applyAlignment="1">
      <alignment vertical="top" wrapText="1"/>
    </xf>
    <xf numFmtId="3" fontId="1" fillId="7" borderId="10" xfId="0" applyNumberFormat="1" applyFont="1" applyFill="1" applyBorder="1" applyAlignment="1">
      <alignment horizontal="center" vertical="top" wrapText="1"/>
    </xf>
    <xf numFmtId="165" fontId="13" fillId="7" borderId="22" xfId="0" applyNumberFormat="1" applyFont="1" applyFill="1" applyBorder="1" applyAlignment="1">
      <alignment horizontal="center" vertical="top"/>
    </xf>
    <xf numFmtId="3" fontId="1" fillId="7" borderId="97"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xf>
    <xf numFmtId="0" fontId="2" fillId="0" borderId="0" xfId="0" applyFont="1" applyBorder="1" applyAlignment="1">
      <alignment vertical="top"/>
    </xf>
    <xf numFmtId="49" fontId="1" fillId="7" borderId="116" xfId="3" applyNumberFormat="1" applyFont="1" applyFill="1" applyBorder="1" applyAlignment="1">
      <alignment horizontal="center" vertical="top"/>
    </xf>
    <xf numFmtId="49" fontId="1" fillId="7" borderId="117" xfId="3" applyNumberFormat="1" applyFont="1" applyFill="1" applyBorder="1" applyAlignment="1">
      <alignment horizontal="center" vertical="top"/>
    </xf>
    <xf numFmtId="165" fontId="1" fillId="7" borderId="118" xfId="3" applyNumberFormat="1" applyFont="1" applyFill="1" applyBorder="1" applyAlignment="1">
      <alignment vertical="top" wrapText="1"/>
    </xf>
    <xf numFmtId="3" fontId="11" fillId="7" borderId="10" xfId="0" applyNumberFormat="1" applyFont="1" applyFill="1" applyBorder="1" applyAlignment="1">
      <alignment horizontal="center" vertical="top"/>
    </xf>
    <xf numFmtId="3" fontId="1" fillId="3" borderId="47" xfId="0" applyNumberFormat="1" applyFont="1" applyFill="1" applyBorder="1" applyAlignment="1">
      <alignment horizontal="center" vertical="top" wrapText="1"/>
    </xf>
    <xf numFmtId="165" fontId="1" fillId="7" borderId="119" xfId="3" applyNumberFormat="1" applyFont="1" applyFill="1" applyBorder="1" applyAlignment="1">
      <alignment vertical="top" wrapText="1"/>
    </xf>
    <xf numFmtId="165" fontId="1" fillId="7" borderId="46" xfId="0" applyNumberFormat="1" applyFont="1" applyFill="1" applyBorder="1" applyAlignment="1">
      <alignment vertical="top" wrapText="1"/>
    </xf>
    <xf numFmtId="0" fontId="1" fillId="7" borderId="5" xfId="0" applyFont="1" applyFill="1" applyBorder="1" applyAlignment="1">
      <alignment horizontal="center" vertical="center"/>
    </xf>
    <xf numFmtId="0" fontId="1" fillId="7" borderId="5" xfId="0" applyFont="1" applyFill="1" applyBorder="1" applyAlignment="1">
      <alignment horizontal="center" vertical="top"/>
    </xf>
    <xf numFmtId="3" fontId="23" fillId="7" borderId="10" xfId="0" applyNumberFormat="1" applyFont="1" applyFill="1" applyBorder="1" applyAlignment="1">
      <alignment horizontal="center" vertical="top"/>
    </xf>
    <xf numFmtId="3" fontId="23" fillId="7" borderId="0" xfId="0" applyNumberFormat="1" applyFont="1" applyFill="1" applyBorder="1" applyAlignment="1">
      <alignment horizontal="center" vertical="top"/>
    </xf>
    <xf numFmtId="0" fontId="1" fillId="7" borderId="83" xfId="0" applyFont="1" applyFill="1" applyBorder="1" applyAlignment="1">
      <alignment horizontal="left" vertical="top" wrapText="1"/>
    </xf>
    <xf numFmtId="49" fontId="1" fillId="7" borderId="84" xfId="0" applyNumberFormat="1" applyFont="1" applyFill="1" applyBorder="1" applyAlignment="1">
      <alignment horizontal="center" vertical="top" wrapText="1"/>
    </xf>
    <xf numFmtId="49" fontId="1" fillId="7" borderId="92" xfId="0" applyNumberFormat="1" applyFont="1" applyFill="1" applyBorder="1" applyAlignment="1">
      <alignment horizontal="center" vertical="top" wrapText="1"/>
    </xf>
    <xf numFmtId="3" fontId="1" fillId="7" borderId="27" xfId="1" applyNumberFormat="1" applyFont="1" applyFill="1" applyBorder="1" applyAlignment="1">
      <alignment horizontal="center" vertical="top" wrapText="1"/>
    </xf>
    <xf numFmtId="3" fontId="1" fillId="7" borderId="72" xfId="1" applyNumberFormat="1" applyFont="1" applyFill="1" applyBorder="1" applyAlignment="1">
      <alignment horizontal="center" vertical="top" wrapText="1"/>
    </xf>
    <xf numFmtId="3" fontId="1" fillId="7" borderId="26" xfId="1" applyNumberFormat="1" applyFont="1" applyFill="1" applyBorder="1" applyAlignment="1">
      <alignment horizontal="center" vertical="top" wrapText="1"/>
    </xf>
    <xf numFmtId="165" fontId="1" fillId="7" borderId="76" xfId="0" applyNumberFormat="1" applyFont="1" applyFill="1" applyBorder="1" applyAlignment="1">
      <alignment vertical="top" wrapText="1"/>
    </xf>
    <xf numFmtId="0" fontId="1" fillId="7" borderId="19" xfId="0" applyFont="1" applyFill="1" applyBorder="1" applyAlignment="1">
      <alignment vertical="top"/>
    </xf>
    <xf numFmtId="0" fontId="1" fillId="7" borderId="45" xfId="0" applyFont="1" applyFill="1" applyBorder="1" applyAlignment="1">
      <alignment vertical="top"/>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2" fillId="9" borderId="4" xfId="0" applyNumberFormat="1" applyFont="1" applyFill="1" applyBorder="1" applyAlignment="1">
      <alignment horizontal="center" vertical="top"/>
    </xf>
    <xf numFmtId="165" fontId="1" fillId="7" borderId="47" xfId="0" applyNumberFormat="1" applyFont="1" applyFill="1" applyBorder="1" applyAlignment="1">
      <alignment vertical="top" wrapText="1"/>
    </xf>
    <xf numFmtId="165" fontId="1" fillId="2" borderId="67" xfId="0" applyNumberFormat="1" applyFont="1" applyFill="1" applyBorder="1" applyAlignment="1">
      <alignment horizontal="center" vertical="top" wrapText="1"/>
    </xf>
    <xf numFmtId="165" fontId="1" fillId="2" borderId="68" xfId="0" applyNumberFormat="1" applyFont="1" applyFill="1" applyBorder="1" applyAlignment="1">
      <alignment horizontal="center" vertical="top" wrapText="1"/>
    </xf>
    <xf numFmtId="165" fontId="1" fillId="2" borderId="31" xfId="0" applyNumberFormat="1" applyFont="1" applyFill="1" applyBorder="1" applyAlignment="1">
      <alignment horizontal="center" vertical="top" wrapText="1"/>
    </xf>
    <xf numFmtId="165" fontId="2" fillId="7" borderId="17"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49" fontId="1" fillId="7" borderId="19" xfId="0" applyNumberFormat="1" applyFont="1" applyFill="1" applyBorder="1" applyAlignment="1">
      <alignment horizontal="center" vertical="top"/>
    </xf>
    <xf numFmtId="49" fontId="1" fillId="7" borderId="27"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49" fontId="1" fillId="7" borderId="45" xfId="0" applyNumberFormat="1" applyFont="1" applyFill="1" applyBorder="1" applyAlignment="1">
      <alignment horizontal="center" vertical="top"/>
    </xf>
    <xf numFmtId="49" fontId="1" fillId="7" borderId="34" xfId="0" applyNumberFormat="1" applyFont="1" applyFill="1" applyBorder="1" applyAlignment="1">
      <alignment horizontal="center" vertical="top"/>
    </xf>
    <xf numFmtId="165" fontId="6" fillId="7" borderId="28" xfId="0" applyNumberFormat="1" applyFont="1" applyFill="1" applyBorder="1" applyAlignment="1">
      <alignment vertical="top" wrapText="1"/>
    </xf>
    <xf numFmtId="3" fontId="1" fillId="7" borderId="47"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3" fontId="1" fillId="7" borderId="1" xfId="0" applyNumberFormat="1" applyFont="1" applyFill="1" applyBorder="1" applyAlignment="1">
      <alignment horizontal="center" vertical="top"/>
    </xf>
    <xf numFmtId="3" fontId="1" fillId="0" borderId="99" xfId="0" applyNumberFormat="1" applyFont="1" applyFill="1" applyBorder="1" applyAlignment="1">
      <alignment horizontal="center" vertical="top"/>
    </xf>
    <xf numFmtId="3" fontId="1" fillId="0" borderId="91" xfId="0" applyNumberFormat="1" applyFont="1" applyFill="1" applyBorder="1" applyAlignment="1">
      <alignment horizontal="center" vertical="top"/>
    </xf>
    <xf numFmtId="3" fontId="1" fillId="0" borderId="78" xfId="0" applyNumberFormat="1" applyFont="1" applyFill="1" applyBorder="1" applyAlignment="1">
      <alignment horizontal="center" vertical="top"/>
    </xf>
    <xf numFmtId="165" fontId="1" fillId="0" borderId="82" xfId="0" applyNumberFormat="1" applyFont="1" applyFill="1" applyBorder="1" applyAlignment="1">
      <alignment horizontal="center" vertical="top"/>
    </xf>
    <xf numFmtId="165" fontId="1" fillId="0" borderId="107" xfId="0" applyNumberFormat="1" applyFont="1" applyBorder="1" applyAlignment="1">
      <alignment vertical="top"/>
    </xf>
    <xf numFmtId="165" fontId="1" fillId="0" borderId="82" xfId="0" applyNumberFormat="1" applyFont="1" applyBorder="1" applyAlignment="1">
      <alignment vertical="top"/>
    </xf>
    <xf numFmtId="165" fontId="1" fillId="7" borderId="75" xfId="0" applyNumberFormat="1" applyFont="1" applyFill="1" applyBorder="1" applyAlignment="1">
      <alignment vertical="top"/>
    </xf>
    <xf numFmtId="165" fontId="1" fillId="7" borderId="104" xfId="0" applyNumberFormat="1" applyFont="1" applyFill="1" applyBorder="1" applyAlignment="1">
      <alignment vertical="top"/>
    </xf>
    <xf numFmtId="165" fontId="1" fillId="7" borderId="103" xfId="0" applyNumberFormat="1" applyFont="1" applyFill="1" applyBorder="1" applyAlignment="1">
      <alignment vertical="top"/>
    </xf>
    <xf numFmtId="165" fontId="1" fillId="7" borderId="19" xfId="0" applyNumberFormat="1" applyFont="1" applyFill="1" applyBorder="1" applyAlignment="1">
      <alignment horizontal="center" vertical="top" wrapText="1"/>
    </xf>
    <xf numFmtId="0" fontId="23" fillId="7" borderId="74" xfId="0" applyFont="1" applyFill="1" applyBorder="1" applyAlignment="1">
      <alignment vertical="top" wrapText="1"/>
    </xf>
    <xf numFmtId="3" fontId="1" fillId="3" borderId="45" xfId="0" applyNumberFormat="1" applyFont="1" applyFill="1" applyBorder="1" applyAlignment="1">
      <alignment horizontal="center" vertical="top" wrapText="1"/>
    </xf>
    <xf numFmtId="165" fontId="1" fillId="0" borderId="13" xfId="0" applyNumberFormat="1" applyFont="1" applyBorder="1" applyAlignment="1">
      <alignment vertical="top"/>
    </xf>
    <xf numFmtId="165" fontId="1" fillId="7" borderId="106" xfId="0" applyNumberFormat="1" applyFont="1" applyFill="1" applyBorder="1" applyAlignment="1">
      <alignment vertical="top"/>
    </xf>
    <xf numFmtId="3" fontId="5" fillId="7" borderId="34" xfId="0" applyNumberFormat="1" applyFont="1" applyFill="1" applyBorder="1" applyAlignment="1">
      <alignment horizontal="center" vertical="top" wrapText="1"/>
    </xf>
    <xf numFmtId="3" fontId="1" fillId="7" borderId="34" xfId="0" applyNumberFormat="1" applyFont="1" applyFill="1" applyBorder="1" applyAlignment="1">
      <alignment vertical="top"/>
    </xf>
    <xf numFmtId="49" fontId="1" fillId="7" borderId="120" xfId="3" applyNumberFormat="1" applyFont="1" applyFill="1" applyBorder="1" applyAlignment="1">
      <alignment horizontal="center" vertical="top"/>
    </xf>
    <xf numFmtId="49" fontId="19" fillId="7" borderId="27" xfId="0" applyNumberFormat="1" applyFont="1" applyFill="1" applyBorder="1" applyAlignment="1">
      <alignment horizontal="center" vertical="top"/>
    </xf>
    <xf numFmtId="49" fontId="2" fillId="8" borderId="56" xfId="0" applyNumberFormat="1" applyFont="1" applyFill="1" applyBorder="1" applyAlignment="1">
      <alignment horizontal="center" vertical="top"/>
    </xf>
    <xf numFmtId="49" fontId="2" fillId="7" borderId="1" xfId="0" applyNumberFormat="1" applyFont="1" applyFill="1" applyBorder="1" applyAlignment="1">
      <alignment horizontal="center" vertical="top"/>
    </xf>
    <xf numFmtId="0" fontId="1" fillId="7" borderId="77" xfId="0" applyNumberFormat="1" applyFont="1" applyFill="1" applyBorder="1" applyAlignment="1">
      <alignment horizontal="center" vertical="top"/>
    </xf>
    <xf numFmtId="165" fontId="1" fillId="7" borderId="84" xfId="0" applyNumberFormat="1" applyFont="1" applyFill="1" applyBorder="1" applyAlignment="1">
      <alignment vertical="top" wrapText="1"/>
    </xf>
    <xf numFmtId="0" fontId="11" fillId="0" borderId="0" xfId="0" applyFont="1" applyBorder="1" applyAlignment="1">
      <alignment vertical="top"/>
    </xf>
    <xf numFmtId="0" fontId="0" fillId="7" borderId="17" xfId="0" applyFill="1" applyBorder="1" applyAlignment="1">
      <alignment vertical="top" wrapText="1"/>
    </xf>
    <xf numFmtId="165" fontId="1" fillId="7" borderId="78" xfId="0" applyNumberFormat="1" applyFont="1" applyFill="1" applyBorder="1" applyAlignment="1">
      <alignment horizontal="center" vertical="top"/>
    </xf>
    <xf numFmtId="165" fontId="1" fillId="7" borderId="91" xfId="0" applyNumberFormat="1" applyFont="1" applyFill="1" applyBorder="1" applyAlignment="1">
      <alignment horizontal="center" vertical="top"/>
    </xf>
    <xf numFmtId="0" fontId="1" fillId="7" borderId="6" xfId="0" applyFont="1" applyFill="1" applyBorder="1" applyAlignment="1">
      <alignment vertical="top" wrapText="1"/>
    </xf>
    <xf numFmtId="3" fontId="1" fillId="7" borderId="47" xfId="0" applyNumberFormat="1" applyFont="1" applyFill="1" applyBorder="1" applyAlignment="1">
      <alignment horizontal="center" vertical="top"/>
    </xf>
    <xf numFmtId="0" fontId="1" fillId="7" borderId="10" xfId="0" applyNumberFormat="1" applyFont="1" applyFill="1" applyBorder="1" applyAlignment="1">
      <alignment horizontal="center" vertical="top"/>
    </xf>
    <xf numFmtId="165" fontId="2" fillId="9" borderId="6" xfId="0" applyNumberFormat="1" applyFont="1" applyFill="1" applyBorder="1" applyAlignment="1">
      <alignment horizontal="center" vertical="top"/>
    </xf>
    <xf numFmtId="165" fontId="2" fillId="2" borderId="10"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0" fontId="1" fillId="7" borderId="17" xfId="0" applyNumberFormat="1" applyFont="1" applyFill="1" applyBorder="1" applyAlignment="1">
      <alignment horizontal="center" vertical="top" wrapText="1"/>
    </xf>
    <xf numFmtId="165" fontId="1" fillId="0" borderId="101" xfId="0" applyNumberFormat="1" applyFont="1" applyFill="1" applyBorder="1" applyAlignment="1">
      <alignment horizontal="center" vertical="top"/>
    </xf>
    <xf numFmtId="165" fontId="1" fillId="0" borderId="98" xfId="0" applyNumberFormat="1" applyFont="1" applyFill="1" applyBorder="1" applyAlignment="1">
      <alignment horizontal="center" vertical="top"/>
    </xf>
    <xf numFmtId="165" fontId="29" fillId="7" borderId="33" xfId="0" applyNumberFormat="1" applyFont="1" applyFill="1" applyBorder="1" applyAlignment="1">
      <alignment horizontal="center" vertical="top"/>
    </xf>
    <xf numFmtId="0" fontId="1" fillId="7" borderId="47" xfId="0" applyFont="1" applyFill="1" applyBorder="1" applyAlignment="1">
      <alignment horizontal="center" vertical="top"/>
    </xf>
    <xf numFmtId="165" fontId="13" fillId="7" borderId="6" xfId="0" applyNumberFormat="1" applyFont="1" applyFill="1" applyBorder="1" applyAlignment="1">
      <alignment vertical="top" wrapText="1"/>
    </xf>
    <xf numFmtId="3" fontId="13" fillId="0" borderId="10" xfId="0" applyNumberFormat="1" applyFont="1" applyFill="1" applyBorder="1" applyAlignment="1">
      <alignment horizontal="center" vertical="top"/>
    </xf>
    <xf numFmtId="165" fontId="13" fillId="7" borderId="108" xfId="0" applyNumberFormat="1" applyFont="1" applyFill="1" applyBorder="1" applyAlignment="1">
      <alignment horizontal="center" vertical="top"/>
    </xf>
    <xf numFmtId="165" fontId="13" fillId="7" borderId="83" xfId="0" applyNumberFormat="1" applyFont="1" applyFill="1" applyBorder="1" applyAlignment="1">
      <alignment horizontal="center" vertical="top"/>
    </xf>
    <xf numFmtId="165" fontId="13" fillId="7" borderId="109" xfId="0" applyNumberFormat="1" applyFont="1" applyFill="1" applyBorder="1" applyAlignment="1">
      <alignment vertical="top" wrapText="1"/>
    </xf>
    <xf numFmtId="3" fontId="13" fillId="7" borderId="84" xfId="0" applyNumberFormat="1" applyFont="1" applyFill="1" applyBorder="1" applyAlignment="1">
      <alignment horizontal="center" vertical="top"/>
    </xf>
    <xf numFmtId="3" fontId="30" fillId="7" borderId="85" xfId="0" applyNumberFormat="1" applyFont="1" applyFill="1" applyBorder="1" applyAlignment="1">
      <alignment horizontal="center" vertical="top"/>
    </xf>
    <xf numFmtId="3" fontId="30" fillId="7" borderId="92" xfId="0" applyNumberFormat="1" applyFont="1" applyFill="1" applyBorder="1" applyAlignment="1">
      <alignment horizontal="center" vertical="top"/>
    </xf>
    <xf numFmtId="165" fontId="13" fillId="7" borderId="64" xfId="0" applyNumberFormat="1" applyFont="1" applyFill="1" applyBorder="1" applyAlignment="1">
      <alignment horizontal="center" vertical="top"/>
    </xf>
    <xf numFmtId="165" fontId="13" fillId="7" borderId="21" xfId="0" applyNumberFormat="1" applyFont="1" applyFill="1" applyBorder="1" applyAlignment="1">
      <alignment horizontal="center" vertical="top"/>
    </xf>
    <xf numFmtId="165" fontId="13" fillId="0" borderId="15" xfId="0" applyNumberFormat="1" applyFont="1" applyFill="1" applyBorder="1" applyAlignment="1">
      <alignment horizontal="left" vertical="top" wrapText="1"/>
    </xf>
    <xf numFmtId="165" fontId="1" fillId="8" borderId="32" xfId="0" applyNumberFormat="1" applyFont="1" applyFill="1" applyBorder="1" applyAlignment="1">
      <alignment horizontal="center" vertical="top"/>
    </xf>
    <xf numFmtId="165" fontId="13" fillId="7" borderId="36" xfId="0" applyNumberFormat="1" applyFont="1" applyFill="1" applyBorder="1" applyAlignment="1">
      <alignment vertical="top" wrapText="1"/>
    </xf>
    <xf numFmtId="165" fontId="13" fillId="7" borderId="16" xfId="0" applyNumberFormat="1" applyFont="1" applyFill="1" applyBorder="1" applyAlignment="1">
      <alignment horizontal="center" vertical="top" wrapText="1"/>
    </xf>
    <xf numFmtId="3" fontId="13" fillId="0" borderId="36" xfId="0" applyNumberFormat="1" applyFont="1" applyFill="1" applyBorder="1" applyAlignment="1">
      <alignment horizontal="center" vertical="top"/>
    </xf>
    <xf numFmtId="3" fontId="1" fillId="0" borderId="36" xfId="0" applyNumberFormat="1" applyFont="1" applyFill="1" applyBorder="1" applyAlignment="1">
      <alignment horizontal="center" vertical="top"/>
    </xf>
    <xf numFmtId="3" fontId="1" fillId="0" borderId="16" xfId="0" applyNumberFormat="1" applyFont="1" applyFill="1" applyBorder="1" applyAlignment="1">
      <alignment horizontal="center" vertical="top"/>
    </xf>
    <xf numFmtId="165" fontId="13" fillId="7" borderId="7" xfId="0" applyNumberFormat="1" applyFont="1" applyFill="1" applyBorder="1" applyAlignment="1">
      <alignment horizontal="center" vertical="top"/>
    </xf>
    <xf numFmtId="0" fontId="13" fillId="7" borderId="6" xfId="0" applyFont="1" applyFill="1" applyBorder="1" applyAlignment="1">
      <alignment vertical="top" wrapText="1"/>
    </xf>
    <xf numFmtId="3" fontId="13" fillId="7" borderId="47" xfId="0" applyNumberFormat="1" applyFont="1" applyFill="1" applyBorder="1" applyAlignment="1">
      <alignment horizontal="center" vertical="top" wrapText="1"/>
    </xf>
    <xf numFmtId="3" fontId="13" fillId="7" borderId="34" xfId="0" applyNumberFormat="1" applyFont="1" applyFill="1" applyBorder="1" applyAlignment="1">
      <alignment horizontal="center" vertical="top" wrapText="1"/>
    </xf>
    <xf numFmtId="165" fontId="30" fillId="7" borderId="1" xfId="0" applyNumberFormat="1" applyFont="1" applyFill="1" applyBorder="1" applyAlignment="1">
      <alignment horizontal="center" vertical="top" textRotation="90" wrapText="1"/>
    </xf>
    <xf numFmtId="165" fontId="13" fillId="7" borderId="80" xfId="0" applyNumberFormat="1" applyFont="1" applyFill="1" applyBorder="1" applyAlignment="1">
      <alignment vertical="top" wrapText="1"/>
    </xf>
    <xf numFmtId="165" fontId="13" fillId="7" borderId="84" xfId="0" applyNumberFormat="1" applyFont="1" applyFill="1" applyBorder="1" applyAlignment="1">
      <alignment vertical="top" wrapText="1"/>
    </xf>
    <xf numFmtId="165" fontId="1" fillId="7" borderId="77" xfId="0" applyNumberFormat="1" applyFont="1" applyFill="1" applyBorder="1" applyAlignment="1">
      <alignment vertical="top" wrapText="1"/>
    </xf>
    <xf numFmtId="165" fontId="13" fillId="7" borderId="10" xfId="0" applyNumberFormat="1" applyFont="1" applyFill="1" applyBorder="1" applyAlignment="1">
      <alignment horizontal="center" vertical="center" textRotation="90" wrapText="1"/>
    </xf>
    <xf numFmtId="165" fontId="13" fillId="7" borderId="10" xfId="0" applyNumberFormat="1" applyFont="1" applyFill="1" applyBorder="1" applyAlignment="1">
      <alignment vertical="top" wrapText="1"/>
    </xf>
    <xf numFmtId="49" fontId="13" fillId="0" borderId="34" xfId="0" applyNumberFormat="1" applyFont="1" applyFill="1" applyBorder="1" applyAlignment="1">
      <alignment horizontal="center" vertical="top"/>
    </xf>
    <xf numFmtId="49" fontId="13" fillId="7" borderId="27" xfId="0" applyNumberFormat="1" applyFont="1" applyFill="1" applyBorder="1" applyAlignment="1">
      <alignment horizontal="center" vertical="top"/>
    </xf>
    <xf numFmtId="0" fontId="1" fillId="7" borderId="75" xfId="0" applyFont="1" applyFill="1" applyBorder="1" applyAlignment="1">
      <alignment vertical="top" wrapText="1"/>
    </xf>
    <xf numFmtId="0" fontId="1" fillId="7" borderId="74" xfId="0" applyFont="1" applyFill="1" applyBorder="1" applyAlignment="1">
      <alignment vertical="top" wrapText="1"/>
    </xf>
    <xf numFmtId="3" fontId="25" fillId="7" borderId="106" xfId="0" applyNumberFormat="1" applyFont="1" applyFill="1" applyBorder="1" applyAlignment="1">
      <alignment horizontal="center" vertical="center"/>
    </xf>
    <xf numFmtId="49" fontId="13" fillId="7" borderId="97" xfId="0" applyNumberFormat="1" applyFont="1" applyFill="1" applyBorder="1" applyAlignment="1">
      <alignment horizontal="center" vertical="top"/>
    </xf>
    <xf numFmtId="49" fontId="13" fillId="7" borderId="77" xfId="0" applyNumberFormat="1" applyFont="1" applyFill="1" applyBorder="1" applyAlignment="1">
      <alignment horizontal="center" vertical="top"/>
    </xf>
    <xf numFmtId="165" fontId="13" fillId="7" borderId="76" xfId="0" applyNumberFormat="1" applyFont="1" applyFill="1" applyBorder="1" applyAlignment="1">
      <alignment horizontal="left" vertical="top" wrapText="1"/>
    </xf>
    <xf numFmtId="3" fontId="25" fillId="7" borderId="45" xfId="0" applyNumberFormat="1" applyFont="1" applyFill="1" applyBorder="1" applyAlignment="1">
      <alignment horizontal="center" vertical="center"/>
    </xf>
    <xf numFmtId="3" fontId="1" fillId="7" borderId="19" xfId="0" applyNumberFormat="1" applyFont="1" applyFill="1" applyBorder="1" applyAlignment="1">
      <alignment horizontal="center" vertical="center"/>
    </xf>
    <xf numFmtId="3" fontId="1" fillId="7" borderId="45" xfId="0" applyNumberFormat="1" applyFont="1" applyFill="1" applyBorder="1" applyAlignment="1">
      <alignment horizontal="center" vertical="center"/>
    </xf>
    <xf numFmtId="3" fontId="1" fillId="7" borderId="20" xfId="0" applyNumberFormat="1" applyFont="1" applyFill="1" applyBorder="1" applyAlignment="1">
      <alignment horizontal="center" vertical="center"/>
    </xf>
    <xf numFmtId="165" fontId="2" fillId="2" borderId="29" xfId="0" applyNumberFormat="1" applyFont="1" applyFill="1" applyBorder="1" applyAlignment="1">
      <alignment horizontal="center" vertical="top"/>
    </xf>
    <xf numFmtId="165" fontId="1" fillId="7" borderId="6" xfId="0" applyNumberFormat="1" applyFont="1" applyFill="1" applyBorder="1" applyAlignment="1">
      <alignment horizontal="left" vertical="top" wrapText="1"/>
    </xf>
    <xf numFmtId="165" fontId="1" fillId="7" borderId="19" xfId="0" applyNumberFormat="1" applyFont="1" applyFill="1" applyBorder="1" applyAlignment="1">
      <alignment horizontal="left" vertical="top" wrapText="1"/>
    </xf>
    <xf numFmtId="0" fontId="6" fillId="7" borderId="6" xfId="0" applyFont="1" applyFill="1" applyBorder="1" applyAlignment="1">
      <alignment horizontal="left" vertical="top" wrapText="1"/>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165" fontId="2" fillId="2" borderId="10"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2" fillId="2" borderId="47" xfId="0" applyNumberFormat="1" applyFont="1" applyFill="1" applyBorder="1" applyAlignment="1">
      <alignment horizontal="center" vertical="top"/>
    </xf>
    <xf numFmtId="165" fontId="2" fillId="9" borderId="8" xfId="0" applyNumberFormat="1" applyFont="1" applyFill="1" applyBorder="1" applyAlignment="1">
      <alignment horizontal="center" vertical="top"/>
    </xf>
    <xf numFmtId="165" fontId="2" fillId="2" borderId="29"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0" fontId="6" fillId="7" borderId="34" xfId="0" applyFont="1" applyFill="1" applyBorder="1" applyAlignment="1">
      <alignment vertical="top" wrapText="1"/>
    </xf>
    <xf numFmtId="0" fontId="1" fillId="7" borderId="27" xfId="0" applyFont="1" applyFill="1" applyBorder="1" applyAlignment="1">
      <alignment horizontal="left" vertical="top" wrapText="1"/>
    </xf>
    <xf numFmtId="3" fontId="1" fillId="7" borderId="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1" fillId="7" borderId="17" xfId="0" applyNumberFormat="1" applyFont="1" applyFill="1" applyBorder="1" applyAlignment="1">
      <alignment horizontal="center" vertical="center" wrapText="1"/>
    </xf>
    <xf numFmtId="165" fontId="2" fillId="8" borderId="10" xfId="0" applyNumberFormat="1" applyFont="1" applyFill="1" applyBorder="1" applyAlignment="1">
      <alignment horizontal="center" vertical="top"/>
    </xf>
    <xf numFmtId="165" fontId="1" fillId="0" borderId="17" xfId="0" applyNumberFormat="1" applyFont="1" applyBorder="1" applyAlignment="1">
      <alignment horizontal="center" vertical="top" wrapText="1"/>
    </xf>
    <xf numFmtId="165" fontId="6" fillId="7" borderId="17" xfId="0" applyNumberFormat="1" applyFont="1" applyFill="1" applyBorder="1" applyAlignment="1">
      <alignment horizontal="center" vertical="center" wrapText="1"/>
    </xf>
    <xf numFmtId="0" fontId="6" fillId="7" borderId="47" xfId="0" applyFont="1" applyFill="1" applyBorder="1" applyAlignment="1">
      <alignment vertical="top" wrapText="1"/>
    </xf>
    <xf numFmtId="49" fontId="2" fillId="8" borderId="10"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3" fontId="1" fillId="7" borderId="45" xfId="0" applyNumberFormat="1" applyFont="1" applyFill="1" applyBorder="1" applyAlignment="1">
      <alignment horizontal="center" vertical="top"/>
    </xf>
    <xf numFmtId="165" fontId="6" fillId="7" borderId="26" xfId="0" applyNumberFormat="1" applyFont="1" applyFill="1" applyBorder="1" applyAlignment="1">
      <alignment vertical="top" wrapText="1"/>
    </xf>
    <xf numFmtId="3" fontId="1" fillId="7" borderId="19"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165" fontId="6" fillId="7" borderId="17" xfId="0" applyNumberFormat="1" applyFont="1" applyFill="1" applyBorder="1" applyAlignment="1">
      <alignment vertical="top" wrapText="1"/>
    </xf>
    <xf numFmtId="165" fontId="13" fillId="7" borderId="19" xfId="0" applyNumberFormat="1" applyFont="1" applyFill="1" applyBorder="1" applyAlignment="1">
      <alignment vertical="top" wrapText="1"/>
    </xf>
    <xf numFmtId="165" fontId="13" fillId="7" borderId="17" xfId="0" applyNumberFormat="1" applyFont="1" applyFill="1" applyBorder="1" applyAlignment="1">
      <alignment horizontal="center" vertical="top" wrapText="1"/>
    </xf>
    <xf numFmtId="49" fontId="2" fillId="9" borderId="6" xfId="0" applyNumberFormat="1" applyFont="1" applyFill="1" applyBorder="1" applyAlignment="1">
      <alignment horizontal="center" vertical="top"/>
    </xf>
    <xf numFmtId="49" fontId="2" fillId="2" borderId="47"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165" fontId="1" fillId="3" borderId="5" xfId="0" applyNumberFormat="1" applyFont="1" applyFill="1" applyBorder="1" applyAlignment="1">
      <alignment horizontal="center" vertical="top"/>
    </xf>
    <xf numFmtId="49" fontId="19" fillId="7" borderId="10" xfId="0" applyNumberFormat="1" applyFont="1" applyFill="1" applyBorder="1" applyAlignment="1">
      <alignment horizontal="center" vertical="top"/>
    </xf>
    <xf numFmtId="49" fontId="2" fillId="8" borderId="47" xfId="0" applyNumberFormat="1" applyFont="1" applyFill="1" applyBorder="1" applyAlignment="1">
      <alignment horizontal="center" vertical="top"/>
    </xf>
    <xf numFmtId="165" fontId="1" fillId="7" borderId="92" xfId="0" applyNumberFormat="1" applyFont="1" applyFill="1" applyBorder="1" applyAlignment="1">
      <alignment horizontal="center" vertical="top" wrapText="1"/>
    </xf>
    <xf numFmtId="165" fontId="1" fillId="7" borderId="83" xfId="0" applyNumberFormat="1" applyFont="1" applyFill="1" applyBorder="1" applyAlignment="1">
      <alignment vertical="top" wrapText="1"/>
    </xf>
    <xf numFmtId="0" fontId="1" fillId="7" borderId="84" xfId="0" applyNumberFormat="1" applyFont="1" applyFill="1" applyBorder="1" applyAlignment="1">
      <alignment horizontal="center" vertical="top"/>
    </xf>
    <xf numFmtId="0" fontId="1" fillId="7" borderId="105" xfId="0" applyNumberFormat="1" applyFont="1" applyFill="1" applyBorder="1" applyAlignment="1">
      <alignment horizontal="center" vertical="top"/>
    </xf>
    <xf numFmtId="165" fontId="13" fillId="7" borderId="38" xfId="0" applyNumberFormat="1" applyFont="1" applyFill="1" applyBorder="1" applyAlignment="1">
      <alignment horizontal="center" vertical="top"/>
    </xf>
    <xf numFmtId="165" fontId="13" fillId="7" borderId="0" xfId="0" applyNumberFormat="1" applyFont="1" applyFill="1" applyBorder="1" applyAlignment="1">
      <alignment horizontal="center" vertical="top"/>
    </xf>
    <xf numFmtId="3" fontId="13" fillId="7" borderId="10" xfId="0" applyNumberFormat="1" applyFont="1" applyFill="1" applyBorder="1" applyAlignment="1">
      <alignment horizontal="center" vertical="top"/>
    </xf>
    <xf numFmtId="165" fontId="13" fillId="7" borderId="29" xfId="0" applyNumberFormat="1" applyFont="1" applyFill="1" applyBorder="1" applyAlignment="1">
      <alignment vertical="top" wrapText="1"/>
    </xf>
    <xf numFmtId="165" fontId="33" fillId="7" borderId="29" xfId="0" applyNumberFormat="1" applyFont="1" applyFill="1" applyBorder="1" applyAlignment="1">
      <alignment horizontal="center" vertical="top" wrapText="1"/>
    </xf>
    <xf numFmtId="165" fontId="17" fillId="8" borderId="62" xfId="0" applyNumberFormat="1" applyFont="1" applyFill="1" applyBorder="1" applyAlignment="1">
      <alignment horizontal="center" vertical="top"/>
    </xf>
    <xf numFmtId="165" fontId="17" fillId="8" borderId="55" xfId="0" applyNumberFormat="1" applyFont="1" applyFill="1" applyBorder="1" applyAlignment="1">
      <alignment horizontal="center" vertical="top"/>
    </xf>
    <xf numFmtId="165" fontId="17" fillId="8" borderId="56" xfId="0" applyNumberFormat="1" applyFont="1" applyFill="1" applyBorder="1" applyAlignment="1">
      <alignment horizontal="center" vertical="top"/>
    </xf>
    <xf numFmtId="165" fontId="13" fillId="7" borderId="50" xfId="0" applyNumberFormat="1" applyFont="1" applyFill="1" applyBorder="1" applyAlignment="1">
      <alignment vertical="top" wrapText="1"/>
    </xf>
    <xf numFmtId="165" fontId="13" fillId="7" borderId="29" xfId="0" applyNumberFormat="1" applyFont="1" applyFill="1" applyBorder="1" applyAlignment="1">
      <alignment horizontal="center" vertical="top"/>
    </xf>
    <xf numFmtId="3" fontId="13" fillId="7" borderId="24" xfId="0" applyNumberFormat="1" applyFont="1" applyFill="1" applyBorder="1" applyAlignment="1">
      <alignment horizontal="center" vertical="top"/>
    </xf>
    <xf numFmtId="165" fontId="1" fillId="3" borderId="7" xfId="0" applyNumberFormat="1" applyFont="1" applyFill="1" applyBorder="1" applyAlignment="1">
      <alignment horizontal="center" vertical="top"/>
    </xf>
    <xf numFmtId="165" fontId="1" fillId="3" borderId="90" xfId="0" applyNumberFormat="1" applyFont="1" applyFill="1" applyBorder="1" applyAlignment="1">
      <alignment horizontal="center" vertical="top"/>
    </xf>
    <xf numFmtId="165" fontId="5" fillId="7" borderId="17" xfId="0" applyNumberFormat="1" applyFont="1" applyFill="1" applyBorder="1" applyAlignment="1">
      <alignment horizontal="center" vertical="top" wrapText="1"/>
    </xf>
    <xf numFmtId="3" fontId="1" fillId="7" borderId="75" xfId="0" applyNumberFormat="1" applyFont="1" applyFill="1" applyBorder="1" applyAlignment="1">
      <alignment horizontal="center" vertical="top"/>
    </xf>
    <xf numFmtId="49" fontId="1" fillId="7" borderId="87" xfId="0" applyNumberFormat="1" applyFont="1" applyFill="1" applyBorder="1" applyAlignment="1">
      <alignment horizontal="center" vertical="top"/>
    </xf>
    <xf numFmtId="0" fontId="1" fillId="7" borderId="20" xfId="0" applyFont="1" applyFill="1" applyBorder="1" applyAlignment="1">
      <alignment horizontal="center" vertical="top"/>
    </xf>
    <xf numFmtId="0" fontId="1" fillId="7" borderId="17" xfId="0" applyFont="1" applyFill="1" applyBorder="1" applyAlignment="1">
      <alignment horizontal="center" vertical="top"/>
    </xf>
    <xf numFmtId="0" fontId="2" fillId="7" borderId="47" xfId="0" applyFont="1" applyFill="1" applyBorder="1" applyAlignment="1">
      <alignment vertical="top" wrapText="1"/>
    </xf>
    <xf numFmtId="0" fontId="3" fillId="7" borderId="19" xfId="0" applyFont="1" applyFill="1" applyBorder="1" applyAlignment="1">
      <alignment horizontal="center" vertical="top" wrapText="1"/>
    </xf>
    <xf numFmtId="0" fontId="1" fillId="7" borderId="20" xfId="0" applyFont="1" applyFill="1" applyBorder="1" applyAlignment="1">
      <alignment vertical="top"/>
    </xf>
    <xf numFmtId="0" fontId="3" fillId="7" borderId="10" xfId="0" applyFont="1" applyFill="1" applyBorder="1" applyAlignment="1">
      <alignment horizontal="center" vertical="top" wrapText="1"/>
    </xf>
    <xf numFmtId="0" fontId="1" fillId="7" borderId="81" xfId="0" applyFont="1" applyFill="1" applyBorder="1" applyAlignment="1">
      <alignment horizontal="center" vertical="top"/>
    </xf>
    <xf numFmtId="0" fontId="1" fillId="7" borderId="78" xfId="0" applyFont="1" applyFill="1" applyBorder="1" applyAlignment="1">
      <alignment horizontal="center" vertical="top"/>
    </xf>
    <xf numFmtId="0" fontId="1" fillId="7" borderId="86" xfId="0" applyFont="1" applyFill="1" applyBorder="1" applyAlignment="1">
      <alignment horizontal="center" vertical="top"/>
    </xf>
    <xf numFmtId="0" fontId="1" fillId="7" borderId="26" xfId="0" applyFont="1" applyFill="1" applyBorder="1" applyAlignment="1">
      <alignment horizontal="center" vertical="top"/>
    </xf>
    <xf numFmtId="0" fontId="1" fillId="7" borderId="6" xfId="0" applyFont="1" applyFill="1" applyBorder="1" applyAlignment="1">
      <alignment vertical="top" wrapText="1"/>
    </xf>
    <xf numFmtId="165" fontId="1" fillId="7" borderId="6" xfId="0" applyNumberFormat="1" applyFont="1" applyFill="1" applyBorder="1" applyAlignment="1">
      <alignment horizontal="left" vertical="top" wrapText="1"/>
    </xf>
    <xf numFmtId="0" fontId="1" fillId="7" borderId="6" xfId="0" applyFont="1" applyFill="1" applyBorder="1" applyAlignment="1">
      <alignment vertical="top" wrapText="1"/>
    </xf>
    <xf numFmtId="165" fontId="1" fillId="7" borderId="47" xfId="0" applyNumberFormat="1" applyFont="1" applyFill="1" applyBorder="1" applyAlignment="1">
      <alignment horizontal="left" vertical="top" wrapText="1"/>
    </xf>
    <xf numFmtId="3" fontId="1" fillId="7" borderId="27" xfId="0" applyNumberFormat="1" applyFont="1" applyFill="1" applyBorder="1" applyAlignment="1">
      <alignment horizontal="center" vertical="top" wrapText="1"/>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165" fontId="2" fillId="2" borderId="10"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2" fillId="2" borderId="47" xfId="0" applyNumberFormat="1" applyFont="1" applyFill="1" applyBorder="1" applyAlignment="1">
      <alignment horizontal="center" vertical="top"/>
    </xf>
    <xf numFmtId="0" fontId="1" fillId="7" borderId="96" xfId="0" applyFont="1" applyFill="1" applyBorder="1" applyAlignment="1">
      <alignment vertical="top" wrapText="1"/>
    </xf>
    <xf numFmtId="49" fontId="2" fillId="2" borderId="10" xfId="0" applyNumberFormat="1" applyFont="1" applyFill="1" applyBorder="1" applyAlignment="1">
      <alignment horizontal="center" vertical="top"/>
    </xf>
    <xf numFmtId="3" fontId="1" fillId="7" borderId="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6" fillId="7" borderId="17" xfId="0" applyNumberFormat="1" applyFont="1" applyFill="1" applyBorder="1" applyAlignment="1">
      <alignment horizontal="center" vertical="top" wrapText="1"/>
    </xf>
    <xf numFmtId="165" fontId="2" fillId="8"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1" fillId="7" borderId="45" xfId="0" applyNumberFormat="1" applyFont="1" applyFill="1" applyBorder="1" applyAlignment="1">
      <alignment horizontal="center" vertical="top"/>
    </xf>
    <xf numFmtId="3" fontId="1" fillId="7" borderId="19"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165" fontId="13" fillId="7" borderId="57" xfId="0" applyNumberFormat="1" applyFont="1" applyFill="1" applyBorder="1" applyAlignment="1">
      <alignment horizontal="center" vertical="top"/>
    </xf>
    <xf numFmtId="49" fontId="13" fillId="7" borderId="91" xfId="0" applyNumberFormat="1" applyFont="1" applyFill="1" applyBorder="1" applyAlignment="1">
      <alignment horizontal="center" vertical="top"/>
    </xf>
    <xf numFmtId="3" fontId="13" fillId="7" borderId="47" xfId="0" applyNumberFormat="1" applyFont="1" applyFill="1" applyBorder="1" applyAlignment="1">
      <alignment horizontal="center" vertical="top"/>
    </xf>
    <xf numFmtId="0" fontId="13" fillId="7" borderId="28" xfId="0" applyFont="1" applyFill="1" applyBorder="1" applyAlignment="1">
      <alignment horizontal="left" vertical="top" wrapText="1"/>
    </xf>
    <xf numFmtId="0" fontId="31" fillId="7" borderId="17" xfId="0" applyFont="1" applyFill="1" applyBorder="1" applyAlignment="1">
      <alignment horizontal="center" wrapText="1"/>
    </xf>
    <xf numFmtId="3" fontId="30" fillId="7" borderId="47" xfId="0" applyNumberFormat="1" applyFont="1" applyFill="1" applyBorder="1" applyAlignment="1">
      <alignment horizontal="center" vertical="center" wrapText="1"/>
    </xf>
    <xf numFmtId="165" fontId="13" fillId="7" borderId="22" xfId="0" applyNumberFormat="1" applyFont="1" applyFill="1" applyBorder="1" applyAlignment="1">
      <alignment horizontal="center"/>
    </xf>
    <xf numFmtId="165" fontId="13" fillId="7" borderId="72" xfId="0" applyNumberFormat="1" applyFont="1" applyFill="1" applyBorder="1" applyAlignment="1">
      <alignment horizontal="center"/>
    </xf>
    <xf numFmtId="49" fontId="1" fillId="7" borderId="47" xfId="0" applyNumberFormat="1" applyFont="1" applyFill="1" applyBorder="1" applyAlignment="1">
      <alignment horizontal="center" vertical="top" wrapText="1"/>
    </xf>
    <xf numFmtId="49" fontId="1" fillId="7" borderId="17" xfId="0" applyNumberFormat="1" applyFont="1" applyFill="1" applyBorder="1" applyAlignment="1">
      <alignment horizontal="center" vertical="top" wrapText="1"/>
    </xf>
    <xf numFmtId="49" fontId="13" fillId="7" borderId="72" xfId="0" applyNumberFormat="1" applyFont="1" applyFill="1" applyBorder="1" applyAlignment="1">
      <alignment horizontal="center" vertical="top" wrapText="1"/>
    </xf>
    <xf numFmtId="49" fontId="1" fillId="7" borderId="27" xfId="0" applyNumberFormat="1" applyFont="1" applyFill="1" applyBorder="1" applyAlignment="1">
      <alignment horizontal="center" vertical="top" wrapText="1"/>
    </xf>
    <xf numFmtId="3" fontId="13" fillId="7" borderId="72" xfId="0" applyNumberFormat="1" applyFont="1" applyFill="1" applyBorder="1" applyAlignment="1">
      <alignment horizontal="center" vertical="top"/>
    </xf>
    <xf numFmtId="0" fontId="1" fillId="7" borderId="61" xfId="0" applyFont="1" applyFill="1" applyBorder="1" applyAlignment="1">
      <alignment vertical="top"/>
    </xf>
    <xf numFmtId="0" fontId="1" fillId="7" borderId="34" xfId="0" applyFont="1" applyFill="1" applyBorder="1" applyAlignment="1">
      <alignment vertical="top"/>
    </xf>
    <xf numFmtId="0" fontId="1" fillId="7" borderId="27" xfId="0" applyFont="1" applyFill="1" applyBorder="1" applyAlignment="1">
      <alignment vertical="top"/>
    </xf>
    <xf numFmtId="3" fontId="1" fillId="7" borderId="44" xfId="0" applyNumberFormat="1" applyFont="1" applyFill="1" applyBorder="1" applyAlignment="1">
      <alignment horizontal="center" vertical="top"/>
    </xf>
    <xf numFmtId="0" fontId="1" fillId="7" borderId="82" xfId="0" applyFont="1" applyFill="1" applyBorder="1" applyAlignment="1">
      <alignment horizontal="center" vertical="top"/>
    </xf>
    <xf numFmtId="3" fontId="13" fillId="7" borderId="19" xfId="0" applyNumberFormat="1" applyFont="1" applyFill="1" applyBorder="1" applyAlignment="1">
      <alignment horizontal="center" vertical="top"/>
    </xf>
    <xf numFmtId="3" fontId="13" fillId="7" borderId="10" xfId="0" applyNumberFormat="1" applyFont="1" applyFill="1" applyBorder="1" applyAlignment="1">
      <alignment horizontal="center" vertical="top" wrapText="1"/>
    </xf>
    <xf numFmtId="165" fontId="13" fillId="7" borderId="5" xfId="0" applyNumberFormat="1" applyFont="1" applyFill="1" applyBorder="1" applyAlignment="1">
      <alignment horizontal="center" vertical="center"/>
    </xf>
    <xf numFmtId="0" fontId="13" fillId="7" borderId="33" xfId="0" applyFont="1" applyFill="1" applyBorder="1" applyAlignment="1">
      <alignment horizontal="center" vertical="center"/>
    </xf>
    <xf numFmtId="3" fontId="13" fillId="7" borderId="19" xfId="0" applyNumberFormat="1" applyFont="1" applyFill="1" applyBorder="1" applyAlignment="1">
      <alignment horizontal="center" vertical="top" wrapText="1"/>
    </xf>
    <xf numFmtId="49" fontId="13" fillId="7" borderId="99" xfId="0" applyNumberFormat="1" applyFont="1" applyFill="1" applyBorder="1" applyAlignment="1">
      <alignment horizontal="center" vertical="top"/>
    </xf>
    <xf numFmtId="165" fontId="1" fillId="7" borderId="74" xfId="0" applyNumberFormat="1" applyFont="1" applyFill="1" applyBorder="1" applyAlignment="1">
      <alignment vertical="top" wrapText="1"/>
    </xf>
    <xf numFmtId="49" fontId="1" fillId="7" borderId="104" xfId="0" applyNumberFormat="1" applyFont="1" applyFill="1" applyBorder="1" applyAlignment="1">
      <alignment horizontal="center" vertical="top"/>
    </xf>
    <xf numFmtId="49" fontId="1" fillId="7" borderId="106" xfId="0" applyNumberFormat="1" applyFont="1" applyFill="1" applyBorder="1" applyAlignment="1">
      <alignment horizontal="center" vertical="top"/>
    </xf>
    <xf numFmtId="0" fontId="1" fillId="0" borderId="79" xfId="0" applyFont="1" applyBorder="1" applyAlignment="1">
      <alignment vertical="top" wrapText="1"/>
    </xf>
    <xf numFmtId="165" fontId="1" fillId="7" borderId="79" xfId="0" applyNumberFormat="1" applyFont="1" applyFill="1" applyBorder="1" applyAlignment="1">
      <alignment vertical="top" wrapText="1"/>
    </xf>
    <xf numFmtId="49" fontId="2" fillId="8" borderId="1" xfId="0" applyNumberFormat="1" applyFont="1" applyFill="1" applyBorder="1" applyAlignment="1">
      <alignment horizontal="center" vertical="top"/>
    </xf>
    <xf numFmtId="165" fontId="1" fillId="8" borderId="1" xfId="0" applyNumberFormat="1" applyFont="1" applyFill="1" applyBorder="1" applyAlignment="1">
      <alignment horizontal="center" vertical="center" textRotation="90" wrapText="1"/>
    </xf>
    <xf numFmtId="165" fontId="1" fillId="8" borderId="16" xfId="0" applyNumberFormat="1" applyFont="1" applyFill="1" applyBorder="1" applyAlignment="1">
      <alignment horizontal="center" vertical="top" wrapText="1"/>
    </xf>
    <xf numFmtId="165" fontId="1" fillId="8" borderId="21" xfId="0" applyNumberFormat="1" applyFont="1" applyFill="1" applyBorder="1" applyAlignment="1">
      <alignment horizontal="center" vertical="top"/>
    </xf>
    <xf numFmtId="165" fontId="1" fillId="8" borderId="15" xfId="0" applyNumberFormat="1" applyFont="1" applyFill="1" applyBorder="1" applyAlignment="1">
      <alignment horizontal="left" vertical="top" wrapText="1"/>
    </xf>
    <xf numFmtId="165" fontId="1" fillId="8" borderId="59" xfId="0" applyNumberFormat="1" applyFont="1" applyFill="1" applyBorder="1" applyAlignment="1">
      <alignment horizontal="center" vertical="top"/>
    </xf>
    <xf numFmtId="165" fontId="1" fillId="8" borderId="16" xfId="0" applyNumberFormat="1" applyFont="1" applyFill="1" applyBorder="1" applyAlignment="1">
      <alignment horizontal="center" vertical="top"/>
    </xf>
    <xf numFmtId="0" fontId="1" fillId="7" borderId="10" xfId="0" applyFont="1" applyFill="1" applyBorder="1" applyAlignment="1">
      <alignment vertical="top" wrapText="1"/>
    </xf>
    <xf numFmtId="3" fontId="1" fillId="7" borderId="34" xfId="1" applyNumberFormat="1" applyFont="1" applyFill="1" applyBorder="1" applyAlignment="1">
      <alignment horizontal="center" vertical="top" wrapText="1"/>
    </xf>
    <xf numFmtId="49" fontId="11" fillId="7" borderId="106" xfId="0" applyNumberFormat="1" applyFont="1" applyFill="1" applyBorder="1" applyAlignment="1">
      <alignment horizontal="center" vertical="top"/>
    </xf>
    <xf numFmtId="49" fontId="11" fillId="7" borderId="103" xfId="0" applyNumberFormat="1" applyFont="1" applyFill="1" applyBorder="1" applyAlignment="1">
      <alignment horizontal="center" vertical="top"/>
    </xf>
    <xf numFmtId="3" fontId="13" fillId="7" borderId="77" xfId="0" applyNumberFormat="1" applyFont="1" applyFill="1" applyBorder="1" applyAlignment="1">
      <alignment horizontal="center" vertical="top"/>
    </xf>
    <xf numFmtId="49" fontId="1" fillId="7" borderId="10" xfId="0" applyNumberFormat="1" applyFont="1" applyFill="1" applyBorder="1" applyAlignment="1">
      <alignment horizontal="left" vertical="top" wrapText="1"/>
    </xf>
    <xf numFmtId="165" fontId="1" fillId="7" borderId="97" xfId="0" applyNumberFormat="1" applyFont="1" applyFill="1" applyBorder="1" applyAlignment="1">
      <alignment horizontal="left" vertical="top" wrapText="1"/>
    </xf>
    <xf numFmtId="165" fontId="1" fillId="7" borderId="77" xfId="0" applyNumberFormat="1" applyFont="1" applyFill="1" applyBorder="1" applyAlignment="1">
      <alignment horizontal="left" vertical="top" wrapText="1"/>
    </xf>
    <xf numFmtId="165" fontId="2" fillId="2" borderId="47"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165" fontId="1" fillId="7" borderId="28" xfId="0" applyNumberFormat="1" applyFont="1" applyFill="1" applyBorder="1" applyAlignment="1">
      <alignment horizontal="left" vertical="top" wrapText="1"/>
    </xf>
    <xf numFmtId="3" fontId="1" fillId="7" borderId="49" xfId="0" applyNumberFormat="1" applyFont="1" applyFill="1" applyBorder="1" applyAlignment="1">
      <alignment horizontal="center" vertical="top"/>
    </xf>
    <xf numFmtId="3" fontId="1" fillId="7" borderId="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49" fontId="1" fillId="7" borderId="10"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45"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0" fontId="1" fillId="7" borderId="98" xfId="0" applyFont="1" applyFill="1" applyBorder="1" applyAlignment="1">
      <alignment horizontal="center" vertical="top" wrapText="1"/>
    </xf>
    <xf numFmtId="0" fontId="1" fillId="7" borderId="90" xfId="0" applyFont="1" applyFill="1" applyBorder="1" applyAlignment="1">
      <alignment horizontal="center" vertical="top" wrapText="1"/>
    </xf>
    <xf numFmtId="165" fontId="1" fillId="7" borderId="90" xfId="0" applyNumberFormat="1" applyFont="1" applyFill="1" applyBorder="1" applyAlignment="1">
      <alignment horizontal="center" vertical="top" wrapText="1"/>
    </xf>
    <xf numFmtId="0" fontId="1" fillId="7" borderId="6" xfId="0" applyFont="1" applyFill="1" applyBorder="1" applyAlignment="1">
      <alignment vertical="top" wrapText="1"/>
    </xf>
    <xf numFmtId="3" fontId="1" fillId="7" borderId="47"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165" fontId="2" fillId="9" borderId="6" xfId="0" applyNumberFormat="1" applyFont="1" applyFill="1" applyBorder="1" applyAlignment="1">
      <alignment horizontal="center" vertical="top"/>
    </xf>
    <xf numFmtId="165" fontId="2" fillId="2" borderId="10"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2" fillId="8" borderId="10" xfId="0" applyNumberFormat="1" applyFont="1" applyFill="1" applyBorder="1" applyAlignment="1">
      <alignment horizontal="center" vertical="top"/>
    </xf>
    <xf numFmtId="0" fontId="3" fillId="11" borderId="19" xfId="0" applyFont="1" applyFill="1" applyBorder="1" applyAlignment="1">
      <alignment horizontal="center" vertical="top" wrapText="1"/>
    </xf>
    <xf numFmtId="0" fontId="3" fillId="11" borderId="10" xfId="0" applyFont="1" applyFill="1" applyBorder="1" applyAlignment="1">
      <alignment horizontal="center" vertical="top" wrapText="1"/>
    </xf>
    <xf numFmtId="165" fontId="17" fillId="11" borderId="10" xfId="0" applyNumberFormat="1" applyFont="1" applyFill="1" applyBorder="1" applyAlignment="1">
      <alignment horizontal="center" vertical="top" wrapText="1"/>
    </xf>
    <xf numFmtId="165" fontId="2" fillId="11" borderId="47" xfId="0" applyNumberFormat="1" applyFont="1" applyFill="1" applyBorder="1" applyAlignment="1">
      <alignment horizontal="center" vertical="top" wrapText="1"/>
    </xf>
    <xf numFmtId="165" fontId="2" fillId="11" borderId="27" xfId="0" applyNumberFormat="1" applyFont="1" applyFill="1" applyBorder="1" applyAlignment="1">
      <alignment horizontal="center" vertical="top" wrapText="1"/>
    </xf>
    <xf numFmtId="165" fontId="2" fillId="11" borderId="10" xfId="0" applyNumberFormat="1" applyFont="1" applyFill="1" applyBorder="1" applyAlignment="1">
      <alignment horizontal="center" vertical="top"/>
    </xf>
    <xf numFmtId="165" fontId="2" fillId="11" borderId="10" xfId="0" applyNumberFormat="1" applyFont="1" applyFill="1" applyBorder="1" applyAlignment="1">
      <alignment horizontal="center" vertical="top" wrapText="1"/>
    </xf>
    <xf numFmtId="165" fontId="2" fillId="11" borderId="97" xfId="0" applyNumberFormat="1" applyFont="1" applyFill="1" applyBorder="1" applyAlignment="1">
      <alignment horizontal="center" vertical="top" wrapText="1"/>
    </xf>
    <xf numFmtId="165" fontId="1" fillId="11" borderId="87" xfId="0" applyNumberFormat="1" applyFont="1" applyFill="1" applyBorder="1" applyAlignment="1">
      <alignment vertical="top" wrapText="1"/>
    </xf>
    <xf numFmtId="165" fontId="1" fillId="11" borderId="91" xfId="0" applyNumberFormat="1" applyFont="1" applyFill="1" applyBorder="1" applyAlignment="1">
      <alignment horizontal="left" vertical="top" wrapText="1"/>
    </xf>
    <xf numFmtId="165" fontId="1" fillId="11" borderId="33" xfId="0" applyNumberFormat="1" applyFont="1" applyFill="1" applyBorder="1" applyAlignment="1">
      <alignment horizontal="center" vertical="top"/>
    </xf>
    <xf numFmtId="165" fontId="1" fillId="11" borderId="33" xfId="0" applyNumberFormat="1" applyFont="1" applyFill="1" applyBorder="1" applyAlignment="1">
      <alignment horizontal="center" vertical="top" wrapText="1"/>
    </xf>
    <xf numFmtId="165" fontId="2" fillId="11" borderId="27" xfId="0" applyNumberFormat="1" applyFont="1" applyFill="1" applyBorder="1" applyAlignment="1">
      <alignment horizontal="center" vertical="top" textRotation="90" wrapText="1"/>
    </xf>
    <xf numFmtId="165" fontId="33" fillId="11" borderId="24" xfId="0" applyNumberFormat="1" applyFont="1" applyFill="1" applyBorder="1" applyAlignment="1">
      <alignment horizontal="center" vertical="top" wrapText="1"/>
    </xf>
    <xf numFmtId="165" fontId="33" fillId="11" borderId="10" xfId="0" applyNumberFormat="1" applyFont="1" applyFill="1" applyBorder="1" applyAlignment="1">
      <alignment horizontal="center" vertical="top" wrapText="1"/>
    </xf>
    <xf numFmtId="0" fontId="2" fillId="11" borderId="10" xfId="0" applyFont="1" applyFill="1" applyBorder="1" applyAlignment="1">
      <alignment horizontal="center" vertical="top" wrapText="1"/>
    </xf>
    <xf numFmtId="0" fontId="1" fillId="11" borderId="27" xfId="0" applyFont="1" applyFill="1" applyBorder="1" applyAlignment="1">
      <alignment horizontal="center" vertical="center" wrapText="1"/>
    </xf>
    <xf numFmtId="3" fontId="1" fillId="0" borderId="2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165" fontId="2" fillId="7" borderId="19" xfId="0" applyNumberFormat="1" applyFont="1" applyFill="1" applyBorder="1" applyAlignment="1">
      <alignment horizontal="center" vertical="top" wrapText="1"/>
    </xf>
    <xf numFmtId="0" fontId="6" fillId="7" borderId="10" xfId="0" applyFont="1" applyFill="1" applyBorder="1" applyAlignment="1">
      <alignment horizontal="center" vertical="top" wrapText="1"/>
    </xf>
    <xf numFmtId="165" fontId="2" fillId="7" borderId="10" xfId="0" applyNumberFormat="1" applyFont="1" applyFill="1" applyBorder="1" applyAlignment="1">
      <alignment horizontal="center" vertical="top" wrapText="1"/>
    </xf>
    <xf numFmtId="165" fontId="2" fillId="7" borderId="27" xfId="0" applyNumberFormat="1" applyFont="1" applyFill="1" applyBorder="1" applyAlignment="1">
      <alignment horizontal="center" vertical="top" wrapText="1"/>
    </xf>
    <xf numFmtId="3" fontId="1" fillId="7" borderId="19" xfId="0" applyNumberFormat="1" applyFont="1" applyFill="1" applyBorder="1" applyAlignment="1">
      <alignment horizontal="center" vertical="top" wrapText="1"/>
    </xf>
    <xf numFmtId="3" fontId="1" fillId="7" borderId="27" xfId="0" applyNumberFormat="1" applyFont="1" applyFill="1" applyBorder="1" applyAlignment="1">
      <alignment horizontal="center" vertical="top" wrapText="1"/>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49" fontId="2" fillId="7" borderId="47"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165" fontId="1" fillId="7" borderId="19" xfId="0" applyNumberFormat="1" applyFont="1" applyFill="1" applyBorder="1" applyAlignment="1">
      <alignment horizontal="center" vertical="center" textRotation="90" wrapText="1"/>
    </xf>
    <xf numFmtId="165" fontId="1" fillId="7" borderId="10" xfId="0" applyNumberFormat="1" applyFont="1" applyFill="1" applyBorder="1" applyAlignment="1">
      <alignment horizontal="center" vertical="center" textRotation="90" wrapText="1"/>
    </xf>
    <xf numFmtId="165" fontId="1" fillId="7" borderId="96" xfId="0" applyNumberFormat="1" applyFont="1" applyFill="1" applyBorder="1" applyAlignment="1">
      <alignment horizontal="left" vertical="top" wrapText="1"/>
    </xf>
    <xf numFmtId="165" fontId="1" fillId="7" borderId="35" xfId="0" applyNumberFormat="1" applyFont="1" applyFill="1" applyBorder="1" applyAlignment="1">
      <alignment vertical="top" wrapText="1"/>
    </xf>
    <xf numFmtId="49" fontId="2" fillId="7" borderId="10" xfId="0" applyNumberFormat="1" applyFont="1" applyFill="1" applyBorder="1" applyAlignment="1">
      <alignment horizontal="center" vertical="top"/>
    </xf>
    <xf numFmtId="165" fontId="2" fillId="7" borderId="47" xfId="0" applyNumberFormat="1" applyFont="1" applyFill="1" applyBorder="1" applyAlignment="1">
      <alignment horizontal="center" vertical="top" wrapText="1"/>
    </xf>
    <xf numFmtId="49" fontId="2" fillId="7" borderId="24" xfId="0" applyNumberFormat="1" applyFont="1" applyFill="1" applyBorder="1" applyAlignment="1">
      <alignment horizontal="center" vertical="top"/>
    </xf>
    <xf numFmtId="0" fontId="1" fillId="0" borderId="0" xfId="0" applyFont="1" applyAlignment="1">
      <alignment horizontal="center" vertical="center"/>
    </xf>
    <xf numFmtId="165" fontId="6" fillId="7" borderId="10" xfId="0" applyNumberFormat="1" applyFont="1" applyFill="1" applyBorder="1" applyAlignment="1">
      <alignment horizontal="center" vertical="center" textRotation="90" wrapText="1"/>
    </xf>
    <xf numFmtId="0" fontId="0" fillId="0" borderId="17" xfId="0" applyBorder="1" applyAlignment="1">
      <alignment vertical="top" wrapText="1"/>
    </xf>
    <xf numFmtId="3" fontId="1" fillId="7" borderId="10" xfId="0" applyNumberFormat="1" applyFont="1" applyFill="1" applyBorder="1" applyAlignment="1">
      <alignment horizontal="center" vertical="top" wrapText="1"/>
    </xf>
    <xf numFmtId="165" fontId="1" fillId="7" borderId="17" xfId="0" applyNumberFormat="1" applyFont="1" applyFill="1" applyBorder="1" applyAlignment="1">
      <alignment horizontal="center" vertical="top" wrapText="1"/>
    </xf>
    <xf numFmtId="49" fontId="2" fillId="7" borderId="19" xfId="0" applyNumberFormat="1" applyFont="1" applyFill="1" applyBorder="1" applyAlignment="1">
      <alignment horizontal="center" vertical="top"/>
    </xf>
    <xf numFmtId="49" fontId="2" fillId="7" borderId="27" xfId="0" applyNumberFormat="1" applyFont="1" applyFill="1" applyBorder="1" applyAlignment="1">
      <alignment horizontal="center" vertical="top"/>
    </xf>
    <xf numFmtId="49" fontId="2" fillId="7" borderId="19" xfId="0" applyNumberFormat="1" applyFont="1" applyFill="1" applyBorder="1" applyAlignment="1">
      <alignment horizontal="center" vertical="top" wrapText="1"/>
    </xf>
    <xf numFmtId="49" fontId="2" fillId="7" borderId="10" xfId="0" applyNumberFormat="1" applyFont="1" applyFill="1" applyBorder="1" applyAlignment="1">
      <alignment horizontal="center" vertical="top" wrapText="1"/>
    </xf>
    <xf numFmtId="0" fontId="6" fillId="11" borderId="10" xfId="0" applyFont="1" applyFill="1" applyBorder="1" applyAlignment="1">
      <alignment horizontal="left" vertical="top" wrapText="1"/>
    </xf>
    <xf numFmtId="165" fontId="2" fillId="8" borderId="10" xfId="0" applyNumberFormat="1" applyFont="1" applyFill="1" applyBorder="1" applyAlignment="1">
      <alignment horizontal="center" vertical="top"/>
    </xf>
    <xf numFmtId="165" fontId="1" fillId="11" borderId="34" xfId="0" applyNumberFormat="1" applyFont="1" applyFill="1" applyBorder="1" applyAlignment="1">
      <alignment horizontal="left" vertical="top" wrapText="1"/>
    </xf>
    <xf numFmtId="165" fontId="1" fillId="7" borderId="27" xfId="0" applyNumberFormat="1" applyFont="1" applyFill="1" applyBorder="1" applyAlignment="1">
      <alignment horizontal="center" vertical="center" textRotation="90" wrapText="1"/>
    </xf>
    <xf numFmtId="165" fontId="1" fillId="11" borderId="80" xfId="0" applyNumberFormat="1" applyFont="1" applyFill="1" applyBorder="1" applyAlignment="1">
      <alignment horizontal="left" vertical="top" wrapText="1"/>
    </xf>
    <xf numFmtId="165" fontId="2" fillId="11" borderId="80" xfId="0" applyNumberFormat="1" applyFont="1" applyFill="1" applyBorder="1" applyAlignment="1">
      <alignment horizontal="center" vertical="top" wrapText="1"/>
    </xf>
    <xf numFmtId="49" fontId="1" fillId="7" borderId="17" xfId="3" applyNumberFormat="1" applyFont="1" applyFill="1" applyBorder="1" applyAlignment="1">
      <alignment horizontal="center" vertical="top"/>
    </xf>
    <xf numFmtId="165" fontId="1" fillId="7" borderId="7" xfId="0" applyNumberFormat="1" applyFont="1" applyFill="1" applyBorder="1" applyAlignment="1">
      <alignment horizontal="center" vertical="center"/>
    </xf>
    <xf numFmtId="165" fontId="1" fillId="7" borderId="5" xfId="0" applyNumberFormat="1" applyFont="1" applyFill="1" applyBorder="1" applyAlignment="1">
      <alignment horizontal="center" vertical="center"/>
    </xf>
    <xf numFmtId="3" fontId="1" fillId="3" borderId="0" xfId="0" applyNumberFormat="1" applyFont="1" applyFill="1" applyBorder="1" applyAlignment="1">
      <alignment horizontal="center" vertical="top" wrapText="1"/>
    </xf>
    <xf numFmtId="3" fontId="1" fillId="3" borderId="17" xfId="0" applyNumberFormat="1" applyFont="1" applyFill="1" applyBorder="1" applyAlignment="1">
      <alignment horizontal="center" vertical="top" wrapText="1"/>
    </xf>
    <xf numFmtId="0" fontId="16" fillId="0" borderId="0" xfId="0" applyFont="1" applyAlignment="1">
      <alignment horizontal="center"/>
    </xf>
    <xf numFmtId="0" fontId="1" fillId="0" borderId="31" xfId="0" applyFont="1" applyBorder="1" applyAlignment="1">
      <alignment horizontal="center" vertical="center"/>
    </xf>
    <xf numFmtId="165" fontId="2" fillId="11" borderId="19" xfId="0" applyNumberFormat="1" applyFont="1" applyFill="1" applyBorder="1" applyAlignment="1">
      <alignment horizontal="center" vertical="center" wrapText="1"/>
    </xf>
    <xf numFmtId="0" fontId="0" fillId="0" borderId="0" xfId="0" applyFill="1" applyAlignment="1">
      <alignment horizontal="center" vertical="top" wrapText="1"/>
    </xf>
    <xf numFmtId="49" fontId="1" fillId="7" borderId="121" xfId="3" applyNumberFormat="1" applyFont="1" applyFill="1" applyBorder="1" applyAlignment="1">
      <alignment horizontal="center" vertical="top"/>
    </xf>
    <xf numFmtId="49" fontId="1" fillId="7" borderId="122" xfId="3" applyNumberFormat="1" applyFont="1" applyFill="1" applyBorder="1" applyAlignment="1">
      <alignment horizontal="center" vertical="top"/>
    </xf>
    <xf numFmtId="49" fontId="26" fillId="0" borderId="0" xfId="0" applyNumberFormat="1" applyFont="1" applyAlignment="1">
      <alignment horizontal="center" vertical="top"/>
    </xf>
    <xf numFmtId="49" fontId="2" fillId="0" borderId="31" xfId="0" applyNumberFormat="1" applyFont="1" applyBorder="1" applyAlignment="1">
      <alignment horizontal="center" vertical="top"/>
    </xf>
    <xf numFmtId="49" fontId="2" fillId="7" borderId="12" xfId="0" applyNumberFormat="1" applyFont="1" applyFill="1" applyBorder="1" applyAlignment="1">
      <alignment horizontal="center" vertical="top"/>
    </xf>
    <xf numFmtId="49" fontId="27" fillId="0" borderId="0" xfId="0" applyNumberFormat="1" applyFont="1" applyFill="1" applyAlignment="1">
      <alignment horizontal="center" vertical="top" wrapText="1"/>
    </xf>
    <xf numFmtId="49" fontId="2" fillId="0" borderId="0" xfId="0" applyNumberFormat="1" applyFont="1" applyAlignment="1">
      <alignment horizontal="center" vertical="top"/>
    </xf>
    <xf numFmtId="165" fontId="2" fillId="11" borderId="77" xfId="0" applyNumberFormat="1" applyFont="1" applyFill="1" applyBorder="1" applyAlignment="1">
      <alignment horizontal="center" vertical="center" wrapText="1"/>
    </xf>
    <xf numFmtId="165" fontId="2" fillId="11" borderId="75" xfId="0" applyNumberFormat="1" applyFont="1" applyFill="1" applyBorder="1" applyAlignment="1">
      <alignment horizontal="center" vertical="center" wrapText="1"/>
    </xf>
    <xf numFmtId="165" fontId="1" fillId="7" borderId="35" xfId="0" applyNumberFormat="1" applyFont="1" applyFill="1" applyBorder="1" applyAlignment="1">
      <alignment horizontal="left" vertical="top" wrapText="1"/>
    </xf>
    <xf numFmtId="165" fontId="1" fillId="7" borderId="28" xfId="0" applyNumberFormat="1" applyFont="1" applyFill="1" applyBorder="1" applyAlignment="1">
      <alignment horizontal="left" vertical="top" wrapText="1"/>
    </xf>
    <xf numFmtId="165" fontId="1" fillId="7" borderId="6" xfId="0" applyNumberFormat="1" applyFont="1" applyFill="1" applyBorder="1" applyAlignment="1">
      <alignment horizontal="left" vertical="top" wrapText="1"/>
    </xf>
    <xf numFmtId="165" fontId="13" fillId="7" borderId="6" xfId="0" applyNumberFormat="1" applyFont="1" applyFill="1" applyBorder="1" applyAlignment="1">
      <alignment horizontal="left" vertical="top" wrapText="1"/>
    </xf>
    <xf numFmtId="165" fontId="13" fillId="7" borderId="35" xfId="0" applyNumberFormat="1" applyFont="1" applyFill="1" applyBorder="1" applyAlignment="1">
      <alignment horizontal="left" vertical="top" wrapText="1"/>
    </xf>
    <xf numFmtId="165" fontId="2" fillId="2" borderId="47"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49" fontId="2" fillId="7" borderId="19" xfId="0" applyNumberFormat="1" applyFont="1" applyFill="1" applyBorder="1" applyAlignment="1">
      <alignment horizontal="center" vertical="top"/>
    </xf>
    <xf numFmtId="49" fontId="2" fillId="7" borderId="27" xfId="0" applyNumberFormat="1" applyFont="1" applyFill="1" applyBorder="1" applyAlignment="1">
      <alignment horizontal="center" vertical="top"/>
    </xf>
    <xf numFmtId="0" fontId="1" fillId="7" borderId="96" xfId="0" applyFont="1" applyFill="1" applyBorder="1" applyAlignment="1">
      <alignment vertical="top" wrapText="1"/>
    </xf>
    <xf numFmtId="165" fontId="1" fillId="7" borderId="35" xfId="0" applyNumberFormat="1" applyFont="1" applyFill="1" applyBorder="1" applyAlignment="1">
      <alignment horizontal="left" vertical="top" wrapText="1"/>
    </xf>
    <xf numFmtId="165" fontId="1" fillId="7" borderId="6" xfId="0" applyNumberFormat="1" applyFont="1" applyFill="1" applyBorder="1" applyAlignment="1">
      <alignment horizontal="left" vertical="top" wrapText="1"/>
    </xf>
    <xf numFmtId="0" fontId="1" fillId="7" borderId="35" xfId="0" applyFont="1" applyFill="1" applyBorder="1" applyAlignment="1">
      <alignment vertical="top" wrapText="1"/>
    </xf>
    <xf numFmtId="3" fontId="1" fillId="7" borderId="47"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165" fontId="2" fillId="7" borderId="99" xfId="0" applyNumberFormat="1" applyFont="1" applyFill="1" applyBorder="1" applyAlignment="1">
      <alignment horizontal="center" vertical="top"/>
    </xf>
    <xf numFmtId="165" fontId="2" fillId="9" borderId="6" xfId="0" applyNumberFormat="1" applyFont="1" applyFill="1" applyBorder="1" applyAlignment="1">
      <alignment horizontal="center" vertical="top"/>
    </xf>
    <xf numFmtId="165" fontId="2" fillId="7" borderId="19" xfId="0" applyNumberFormat="1" applyFont="1" applyFill="1" applyBorder="1" applyAlignment="1">
      <alignment horizontal="center" vertical="top" wrapText="1"/>
    </xf>
    <xf numFmtId="165" fontId="2" fillId="2" borderId="47" xfId="0" applyNumberFormat="1" applyFont="1" applyFill="1" applyBorder="1" applyAlignment="1">
      <alignment horizontal="center" vertical="top"/>
    </xf>
    <xf numFmtId="165" fontId="1" fillId="7" borderId="10" xfId="0" applyNumberFormat="1" applyFont="1" applyFill="1" applyBorder="1" applyAlignment="1">
      <alignment horizontal="center" vertical="center" textRotation="90" wrapText="1"/>
    </xf>
    <xf numFmtId="49" fontId="2" fillId="7" borderId="47" xfId="0" applyNumberFormat="1" applyFont="1" applyFill="1" applyBorder="1" applyAlignment="1">
      <alignment horizontal="center" vertical="top"/>
    </xf>
    <xf numFmtId="49" fontId="2" fillId="7" borderId="34"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2" fillId="8" borderId="10" xfId="0" applyNumberFormat="1" applyFont="1" applyFill="1" applyBorder="1" applyAlignment="1">
      <alignment horizontal="center" vertical="top"/>
    </xf>
    <xf numFmtId="165" fontId="1" fillId="7" borderId="27" xfId="0" applyNumberFormat="1" applyFont="1" applyFill="1" applyBorder="1" applyAlignment="1">
      <alignment horizontal="center" vertical="center" textRotation="90" wrapText="1"/>
    </xf>
    <xf numFmtId="165" fontId="2" fillId="7" borderId="10" xfId="0" applyNumberFormat="1" applyFont="1" applyFill="1" applyBorder="1" applyAlignment="1">
      <alignment horizontal="center" vertical="top" wrapText="1"/>
    </xf>
    <xf numFmtId="165" fontId="2" fillId="7" borderId="27" xfId="0" applyNumberFormat="1" applyFont="1" applyFill="1" applyBorder="1" applyAlignment="1">
      <alignment horizontal="center" vertical="top" wrapText="1"/>
    </xf>
    <xf numFmtId="165" fontId="1" fillId="7" borderId="27" xfId="0" applyNumberFormat="1" applyFont="1" applyFill="1" applyBorder="1" applyAlignment="1">
      <alignment horizontal="left" vertical="top" wrapText="1"/>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49" fontId="2" fillId="7" borderId="47"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49" fontId="2" fillId="7" borderId="34" xfId="0" applyNumberFormat="1" applyFont="1" applyFill="1" applyBorder="1" applyAlignment="1">
      <alignment horizontal="center" vertical="top"/>
    </xf>
    <xf numFmtId="165" fontId="6" fillId="7" borderId="10" xfId="0" applyNumberFormat="1" applyFont="1" applyFill="1" applyBorder="1" applyAlignment="1">
      <alignment horizontal="center" vertical="center" textRotation="90" wrapText="1"/>
    </xf>
    <xf numFmtId="165" fontId="1" fillId="7" borderId="46" xfId="0" applyNumberFormat="1" applyFont="1" applyFill="1" applyBorder="1" applyAlignment="1">
      <alignment horizontal="left" vertical="top" wrapText="1"/>
    </xf>
    <xf numFmtId="3" fontId="1" fillId="7" borderId="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49" fontId="2" fillId="7" borderId="27"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165" fontId="1" fillId="7" borderId="18" xfId="0" applyNumberFormat="1" applyFont="1" applyFill="1" applyBorder="1" applyAlignment="1">
      <alignment horizontal="left" vertical="top" wrapText="1"/>
    </xf>
    <xf numFmtId="3" fontId="1" fillId="7" borderId="10" xfId="0" applyNumberFormat="1" applyFont="1" applyFill="1" applyBorder="1" applyAlignment="1">
      <alignment horizontal="center" vertical="top"/>
    </xf>
    <xf numFmtId="165" fontId="9" fillId="11" borderId="44" xfId="0" applyNumberFormat="1" applyFont="1" applyFill="1" applyBorder="1" applyAlignment="1">
      <alignment horizontal="center" vertical="top" wrapText="1"/>
    </xf>
    <xf numFmtId="165" fontId="9" fillId="11" borderId="46" xfId="0" applyNumberFormat="1" applyFont="1" applyFill="1" applyBorder="1" applyAlignment="1">
      <alignment horizontal="center" vertical="top" wrapText="1"/>
    </xf>
    <xf numFmtId="165" fontId="5" fillId="11" borderId="18" xfId="0" applyNumberFormat="1" applyFont="1" applyFill="1" applyBorder="1" applyAlignment="1">
      <alignment horizontal="center" vertical="center" textRotation="90" wrapText="1"/>
    </xf>
    <xf numFmtId="165" fontId="1" fillId="7" borderId="115" xfId="0" applyNumberFormat="1" applyFont="1" applyFill="1" applyBorder="1" applyAlignment="1">
      <alignment horizontal="left" vertical="top" wrapText="1"/>
    </xf>
    <xf numFmtId="0" fontId="1" fillId="7" borderId="88" xfId="0" applyFont="1" applyFill="1" applyBorder="1" applyAlignment="1">
      <alignment horizontal="left" vertical="top" wrapText="1"/>
    </xf>
    <xf numFmtId="165" fontId="1" fillId="7" borderId="123" xfId="0" applyNumberFormat="1" applyFont="1" applyFill="1" applyBorder="1" applyAlignment="1">
      <alignment horizontal="left" vertical="top" wrapText="1"/>
    </xf>
    <xf numFmtId="165" fontId="1" fillId="7" borderId="113" xfId="0" applyNumberFormat="1" applyFont="1" applyFill="1" applyBorder="1" applyAlignment="1">
      <alignment horizontal="left" vertical="top" wrapText="1"/>
    </xf>
    <xf numFmtId="165" fontId="1" fillId="7" borderId="22" xfId="0" applyNumberFormat="1" applyFont="1" applyFill="1" applyBorder="1" applyAlignment="1">
      <alignment horizontal="center" vertical="top"/>
    </xf>
    <xf numFmtId="3" fontId="11" fillId="7" borderId="27" xfId="0" applyNumberFormat="1" applyFont="1" applyFill="1" applyBorder="1" applyAlignment="1">
      <alignment horizontal="center" vertical="top"/>
    </xf>
    <xf numFmtId="0" fontId="1" fillId="7" borderId="6" xfId="0" applyFont="1" applyFill="1" applyBorder="1" applyAlignment="1">
      <alignment horizontal="left" vertical="top" wrapText="1"/>
    </xf>
    <xf numFmtId="3" fontId="1" fillId="7" borderId="47"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165" fontId="1" fillId="8" borderId="10" xfId="0" applyNumberFormat="1" applyFont="1" applyFill="1" applyBorder="1" applyAlignment="1">
      <alignment vertical="center" textRotation="90" wrapText="1"/>
    </xf>
    <xf numFmtId="0" fontId="6" fillId="8" borderId="10" xfId="0" applyFont="1" applyFill="1" applyBorder="1" applyAlignment="1">
      <alignment vertical="center" textRotation="90" wrapText="1"/>
    </xf>
    <xf numFmtId="165" fontId="1" fillId="7" borderId="7" xfId="0" applyNumberFormat="1" applyFont="1" applyFill="1" applyBorder="1" applyAlignment="1">
      <alignment horizontal="center" vertical="top"/>
    </xf>
    <xf numFmtId="3" fontId="1" fillId="7" borderId="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3" fontId="1" fillId="7" borderId="19"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1" fillId="7" borderId="45"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165" fontId="2" fillId="12" borderId="10" xfId="0" applyNumberFormat="1" applyFont="1" applyFill="1" applyBorder="1" applyAlignment="1">
      <alignment horizontal="center" vertical="center" wrapText="1"/>
    </xf>
    <xf numFmtId="0" fontId="1" fillId="0" borderId="103" xfId="0" applyFont="1" applyBorder="1" applyAlignment="1">
      <alignment horizontal="center" vertical="top" wrapText="1"/>
    </xf>
    <xf numFmtId="165" fontId="1" fillId="7" borderId="22" xfId="0" applyNumberFormat="1" applyFont="1" applyFill="1" applyBorder="1" applyAlignment="1">
      <alignment horizontal="center" vertical="top"/>
    </xf>
    <xf numFmtId="165" fontId="1" fillId="7" borderId="7" xfId="0" applyNumberFormat="1" applyFont="1" applyFill="1" applyBorder="1" applyAlignment="1">
      <alignment horizontal="center" vertical="top"/>
    </xf>
    <xf numFmtId="165" fontId="2" fillId="2" borderId="10"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0" fontId="6" fillId="7" borderId="10" xfId="0" applyFont="1" applyFill="1" applyBorder="1" applyAlignment="1">
      <alignment vertical="top" wrapText="1"/>
    </xf>
    <xf numFmtId="165" fontId="2" fillId="9" borderId="33"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165" fontId="11" fillId="7" borderId="90" xfId="0" applyNumberFormat="1" applyFont="1" applyFill="1" applyBorder="1" applyAlignment="1">
      <alignment horizontal="center" vertical="top"/>
    </xf>
    <xf numFmtId="0" fontId="2" fillId="0" borderId="33" xfId="0" applyFont="1" applyBorder="1" applyAlignment="1">
      <alignment vertical="top" wrapText="1"/>
    </xf>
    <xf numFmtId="0" fontId="0" fillId="0" borderId="0" xfId="0" applyFont="1" applyAlignment="1">
      <alignment vertical="top" wrapText="1"/>
    </xf>
    <xf numFmtId="0" fontId="2" fillId="0" borderId="33" xfId="0" applyFont="1" applyBorder="1" applyAlignment="1">
      <alignment horizontal="left" vertical="top" wrapText="1"/>
    </xf>
    <xf numFmtId="0" fontId="2" fillId="0" borderId="0" xfId="0" applyFont="1" applyBorder="1" applyAlignment="1">
      <alignment vertical="top" wrapText="1"/>
    </xf>
    <xf numFmtId="165" fontId="2" fillId="0" borderId="0" xfId="0" applyNumberFormat="1" applyFont="1" applyBorder="1" applyAlignment="1">
      <alignment vertical="top" wrapText="1"/>
    </xf>
    <xf numFmtId="0" fontId="2" fillId="0" borderId="33" xfId="0" applyFont="1" applyBorder="1" applyAlignment="1">
      <alignment vertical="top"/>
    </xf>
    <xf numFmtId="0" fontId="1" fillId="0" borderId="0" xfId="0" applyFont="1" applyBorder="1" applyAlignment="1">
      <alignment horizontal="left" vertical="top" wrapText="1"/>
    </xf>
    <xf numFmtId="49" fontId="2" fillId="7" borderId="10"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165" fontId="1" fillId="0" borderId="0" xfId="0" applyNumberFormat="1" applyFont="1" applyFill="1" applyBorder="1" applyAlignment="1">
      <alignment vertical="top"/>
    </xf>
    <xf numFmtId="165" fontId="2" fillId="8" borderId="34"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2" fillId="12" borderId="27" xfId="0" applyNumberFormat="1" applyFont="1" applyFill="1" applyBorder="1" applyAlignment="1">
      <alignment horizontal="center" vertical="top" wrapText="1"/>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165" fontId="2" fillId="11" borderId="1" xfId="0" applyNumberFormat="1" applyFont="1" applyFill="1" applyBorder="1" applyAlignment="1">
      <alignment horizontal="center" vertical="center" wrapText="1"/>
    </xf>
    <xf numFmtId="165" fontId="2" fillId="11" borderId="84" xfId="0" applyNumberFormat="1" applyFont="1" applyFill="1" applyBorder="1" applyAlignment="1">
      <alignment horizontal="center" vertical="top" wrapText="1"/>
    </xf>
    <xf numFmtId="165" fontId="1" fillId="7" borderId="34" xfId="0" applyNumberFormat="1" applyFont="1" applyFill="1" applyBorder="1" applyAlignment="1">
      <alignment horizontal="left" vertical="top" wrapText="1"/>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2" fillId="0" borderId="27" xfId="0" applyNumberFormat="1" applyFont="1" applyFill="1" applyBorder="1" applyAlignment="1">
      <alignment horizontal="center" vertical="top" wrapText="1"/>
    </xf>
    <xf numFmtId="49" fontId="2" fillId="7" borderId="27"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2" fillId="8" borderId="10" xfId="0" applyNumberFormat="1" applyFont="1" applyFill="1" applyBorder="1" applyAlignment="1">
      <alignment horizontal="center" vertical="top"/>
    </xf>
    <xf numFmtId="165" fontId="1" fillId="7" borderId="28" xfId="0" applyNumberFormat="1" applyFont="1" applyFill="1" applyBorder="1" applyAlignment="1">
      <alignment horizontal="left" vertical="top" wrapText="1"/>
    </xf>
    <xf numFmtId="0" fontId="1" fillId="7" borderId="46" xfId="0" applyFont="1" applyFill="1" applyBorder="1" applyAlignment="1">
      <alignment vertical="top" wrapText="1"/>
    </xf>
    <xf numFmtId="0" fontId="2" fillId="0" borderId="0" xfId="0" applyFont="1" applyBorder="1" applyAlignment="1">
      <alignment horizontal="left" vertical="top" wrapText="1"/>
    </xf>
    <xf numFmtId="165" fontId="2" fillId="8" borderId="10" xfId="0" applyNumberFormat="1" applyFont="1" applyFill="1" applyBorder="1" applyAlignment="1">
      <alignment horizontal="center" vertical="top"/>
    </xf>
    <xf numFmtId="165" fontId="1" fillId="7" borderId="6" xfId="0" applyNumberFormat="1" applyFont="1" applyFill="1" applyBorder="1" applyAlignment="1">
      <alignment vertical="top" wrapText="1"/>
    </xf>
    <xf numFmtId="3" fontId="11" fillId="7" borderId="17" xfId="0" applyNumberFormat="1" applyFont="1" applyFill="1" applyBorder="1" applyAlignment="1">
      <alignment horizontal="center" vertical="top"/>
    </xf>
    <xf numFmtId="165" fontId="1" fillId="7" borderId="44" xfId="0" applyNumberFormat="1" applyFont="1" applyFill="1" applyBorder="1" applyAlignment="1">
      <alignment horizontal="left" vertical="top" wrapText="1"/>
    </xf>
    <xf numFmtId="3" fontId="1" fillId="7" borderId="106" xfId="0" applyNumberFormat="1" applyFont="1" applyFill="1" applyBorder="1" applyAlignment="1">
      <alignment horizontal="center" vertical="top" wrapText="1"/>
    </xf>
    <xf numFmtId="165" fontId="1" fillId="7" borderId="35" xfId="0" applyNumberFormat="1" applyFont="1" applyFill="1" applyBorder="1" applyAlignment="1">
      <alignment horizontal="left" vertical="top" wrapText="1"/>
    </xf>
    <xf numFmtId="165" fontId="1" fillId="7" borderId="6" xfId="0" applyNumberFormat="1" applyFont="1" applyFill="1" applyBorder="1" applyAlignment="1">
      <alignment horizontal="left" vertical="top" wrapText="1"/>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1" fillId="7" borderId="28" xfId="0" applyNumberFormat="1" applyFont="1" applyFill="1" applyBorder="1" applyAlignment="1">
      <alignment horizontal="left" vertical="top" wrapText="1"/>
    </xf>
    <xf numFmtId="3" fontId="1" fillId="7" borderId="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3" fontId="1" fillId="7" borderId="45" xfId="0" applyNumberFormat="1" applyFont="1" applyFill="1" applyBorder="1" applyAlignment="1">
      <alignment horizontal="center" vertical="top"/>
    </xf>
    <xf numFmtId="3" fontId="1" fillId="7" borderId="19"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165" fontId="1" fillId="7" borderId="28" xfId="0" applyNumberFormat="1" applyFont="1" applyFill="1" applyBorder="1" applyAlignment="1">
      <alignment horizontal="left" vertical="top" wrapText="1"/>
    </xf>
    <xf numFmtId="165" fontId="2" fillId="7" borderId="90" xfId="0" applyNumberFormat="1" applyFont="1" applyFill="1" applyBorder="1" applyAlignment="1">
      <alignment horizontal="center" vertical="top"/>
    </xf>
    <xf numFmtId="165" fontId="11" fillId="7" borderId="72" xfId="0" applyNumberFormat="1" applyFont="1" applyFill="1" applyBorder="1" applyAlignment="1">
      <alignment horizontal="center" vertical="top"/>
    </xf>
    <xf numFmtId="0" fontId="1" fillId="7" borderId="6" xfId="0" applyFont="1" applyFill="1" applyBorder="1" applyAlignment="1">
      <alignment vertical="top" wrapText="1"/>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49" fontId="2" fillId="7" borderId="47" xfId="0" applyNumberFormat="1" applyFont="1" applyFill="1" applyBorder="1" applyAlignment="1">
      <alignment horizontal="center" vertical="top"/>
    </xf>
    <xf numFmtId="0" fontId="6" fillId="7" borderId="6" xfId="0" applyFont="1" applyFill="1" applyBorder="1" applyAlignment="1">
      <alignment horizontal="left" vertical="top" wrapText="1"/>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3" fontId="1" fillId="7" borderId="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3" fontId="1" fillId="7" borderId="10" xfId="0" applyNumberFormat="1" applyFont="1" applyFill="1" applyBorder="1" applyAlignment="1">
      <alignment horizontal="center" vertical="top" wrapText="1"/>
    </xf>
    <xf numFmtId="0" fontId="6" fillId="11" borderId="10" xfId="0" applyFont="1" applyFill="1" applyBorder="1" applyAlignment="1">
      <alignment horizontal="left" vertical="top" wrapText="1"/>
    </xf>
    <xf numFmtId="165" fontId="2" fillId="8" borderId="1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49" fontId="2" fillId="7" borderId="10" xfId="0" applyNumberFormat="1" applyFont="1" applyFill="1" applyBorder="1" applyAlignment="1">
      <alignment vertical="top"/>
    </xf>
    <xf numFmtId="49" fontId="2" fillId="7" borderId="27" xfId="0" applyNumberFormat="1" applyFont="1" applyFill="1" applyBorder="1" applyAlignment="1">
      <alignment vertical="top"/>
    </xf>
    <xf numFmtId="165" fontId="2" fillId="12" borderId="1" xfId="0" applyNumberFormat="1" applyFont="1" applyFill="1" applyBorder="1" applyAlignment="1">
      <alignment horizontal="center" vertical="top" wrapText="1"/>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2" fillId="7" borderId="17"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1" fillId="7" borderId="22" xfId="0" applyNumberFormat="1" applyFont="1" applyFill="1" applyBorder="1" applyAlignment="1">
      <alignment horizontal="center" vertical="top"/>
    </xf>
    <xf numFmtId="0" fontId="6" fillId="0" borderId="26" xfId="0" applyFont="1" applyBorder="1" applyAlignment="1">
      <alignment horizontal="center" vertical="top" wrapText="1"/>
    </xf>
    <xf numFmtId="3" fontId="1" fillId="7" borderId="10" xfId="0" applyNumberFormat="1" applyFont="1" applyFill="1" applyBorder="1" applyAlignment="1">
      <alignment horizontal="center" vertical="top" wrapText="1"/>
    </xf>
    <xf numFmtId="165" fontId="13" fillId="7" borderId="72" xfId="0" applyNumberFormat="1" applyFont="1" applyFill="1" applyBorder="1" applyAlignment="1">
      <alignment horizontal="center" vertical="top"/>
    </xf>
    <xf numFmtId="0" fontId="13" fillId="7" borderId="61" xfId="0" applyFont="1" applyFill="1" applyBorder="1" applyAlignment="1">
      <alignment horizontal="center" vertical="center"/>
    </xf>
    <xf numFmtId="165" fontId="13" fillId="10" borderId="22" xfId="0" applyNumberFormat="1" applyFont="1" applyFill="1" applyBorder="1" applyAlignment="1">
      <alignment horizontal="center" vertical="center"/>
    </xf>
    <xf numFmtId="0" fontId="31" fillId="7" borderId="28" xfId="0" applyFont="1" applyFill="1" applyBorder="1" applyAlignment="1">
      <alignment horizontal="left" vertical="top" wrapText="1"/>
    </xf>
    <xf numFmtId="3" fontId="13" fillId="7" borderId="27" xfId="0" applyNumberFormat="1" applyFont="1" applyFill="1" applyBorder="1" applyAlignment="1">
      <alignment horizontal="center" vertical="top" wrapText="1"/>
    </xf>
    <xf numFmtId="165" fontId="1" fillId="3" borderId="27" xfId="0" applyNumberFormat="1" applyFont="1" applyFill="1" applyBorder="1" applyAlignment="1">
      <alignment horizontal="center" vertical="center" textRotation="90" wrapText="1"/>
    </xf>
    <xf numFmtId="0" fontId="0" fillId="7" borderId="17" xfId="0" applyFill="1" applyBorder="1" applyAlignment="1">
      <alignment horizontal="center" vertical="top" wrapText="1"/>
    </xf>
    <xf numFmtId="165" fontId="2" fillId="2" borderId="10"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0" fontId="1" fillId="7" borderId="0" xfId="0" applyFont="1" applyFill="1" applyBorder="1" applyAlignment="1">
      <alignment horizontal="center" vertical="top"/>
    </xf>
    <xf numFmtId="3" fontId="13" fillId="7" borderId="20" xfId="0" applyNumberFormat="1" applyFont="1" applyFill="1" applyBorder="1" applyAlignment="1">
      <alignment horizontal="center" vertical="top"/>
    </xf>
    <xf numFmtId="3" fontId="13" fillId="7" borderId="26" xfId="0" applyNumberFormat="1" applyFont="1" applyFill="1" applyBorder="1" applyAlignment="1">
      <alignment horizontal="center" vertical="top"/>
    </xf>
    <xf numFmtId="165" fontId="17" fillId="8" borderId="1" xfId="0" applyNumberFormat="1" applyFont="1" applyFill="1" applyBorder="1" applyAlignment="1">
      <alignment vertical="top" wrapText="1"/>
    </xf>
    <xf numFmtId="0" fontId="1" fillId="0" borderId="0" xfId="0" applyFont="1" applyAlignment="1">
      <alignment horizontal="center" vertical="center"/>
    </xf>
    <xf numFmtId="3" fontId="1" fillId="0" borderId="45" xfId="0" applyNumberFormat="1" applyFont="1" applyFill="1" applyBorder="1" applyAlignment="1">
      <alignment horizontal="center" vertical="top"/>
    </xf>
    <xf numFmtId="3" fontId="1" fillId="0" borderId="20" xfId="0" applyNumberFormat="1" applyFont="1" applyFill="1" applyBorder="1" applyAlignment="1">
      <alignment horizontal="center" vertical="top"/>
    </xf>
    <xf numFmtId="0" fontId="1" fillId="7" borderId="46" xfId="0" applyFont="1" applyFill="1" applyBorder="1" applyAlignment="1">
      <alignment vertical="top" wrapText="1"/>
    </xf>
    <xf numFmtId="165" fontId="1" fillId="7" borderId="110" xfId="0" applyNumberFormat="1" applyFont="1" applyFill="1" applyBorder="1" applyAlignment="1">
      <alignment vertical="top" wrapText="1"/>
    </xf>
    <xf numFmtId="165" fontId="1" fillId="2" borderId="31" xfId="0" applyNumberFormat="1" applyFont="1" applyFill="1" applyBorder="1" applyAlignment="1">
      <alignment horizontal="center" vertical="top" wrapText="1"/>
    </xf>
    <xf numFmtId="165" fontId="2" fillId="7" borderId="47"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3" fontId="20" fillId="7" borderId="0" xfId="0" applyNumberFormat="1" applyFont="1" applyFill="1" applyAlignment="1">
      <alignment horizontal="left" vertical="top" wrapText="1"/>
    </xf>
    <xf numFmtId="49" fontId="2" fillId="7" borderId="47"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49" fontId="2" fillId="7" borderId="19" xfId="0" applyNumberFormat="1" applyFont="1" applyFill="1" applyBorder="1" applyAlignment="1">
      <alignment horizontal="center" vertical="top"/>
    </xf>
    <xf numFmtId="165" fontId="1" fillId="7" borderId="7" xfId="0" applyNumberFormat="1" applyFont="1" applyFill="1" applyBorder="1" applyAlignment="1">
      <alignment horizontal="center" vertical="top"/>
    </xf>
    <xf numFmtId="49" fontId="2" fillId="7" borderId="27" xfId="0" applyNumberFormat="1" applyFont="1" applyFill="1" applyBorder="1" applyAlignment="1">
      <alignment horizontal="center" vertical="top"/>
    </xf>
    <xf numFmtId="165" fontId="9" fillId="11" borderId="19" xfId="0" applyNumberFormat="1" applyFont="1" applyFill="1" applyBorder="1" applyAlignment="1">
      <alignment horizontal="center" vertical="top" wrapText="1"/>
    </xf>
    <xf numFmtId="165" fontId="5" fillId="11" borderId="46" xfId="0" applyNumberFormat="1" applyFont="1" applyFill="1" applyBorder="1" applyAlignment="1">
      <alignment horizontal="center" vertical="center" textRotation="90" wrapText="1"/>
    </xf>
    <xf numFmtId="0" fontId="1" fillId="0" borderId="0" xfId="0" applyFont="1" applyAlignment="1">
      <alignment horizontal="left" vertical="top" wrapText="1"/>
    </xf>
    <xf numFmtId="165" fontId="1" fillId="7" borderId="10" xfId="0" applyNumberFormat="1" applyFont="1" applyFill="1" applyBorder="1" applyAlignment="1">
      <alignment vertical="center" textRotation="90" wrapText="1"/>
    </xf>
    <xf numFmtId="0" fontId="3" fillId="7" borderId="47" xfId="0" applyFont="1" applyFill="1" applyBorder="1" applyAlignment="1">
      <alignment horizontal="center" vertical="top" wrapText="1"/>
    </xf>
    <xf numFmtId="165" fontId="2" fillId="7" borderId="47" xfId="0" applyNumberFormat="1" applyFont="1" applyFill="1" applyBorder="1" applyAlignment="1">
      <alignment horizontal="center" vertical="center" wrapText="1"/>
    </xf>
    <xf numFmtId="165" fontId="12" fillId="7" borderId="47" xfId="0" applyNumberFormat="1" applyFont="1" applyFill="1" applyBorder="1" applyAlignment="1">
      <alignment horizontal="center" vertical="center" wrapText="1"/>
    </xf>
    <xf numFmtId="0" fontId="3" fillId="7" borderId="45" xfId="0" applyFont="1" applyFill="1" applyBorder="1" applyAlignment="1">
      <alignment horizontal="center" vertical="top" wrapText="1"/>
    </xf>
    <xf numFmtId="165" fontId="2" fillId="7" borderId="45" xfId="0" applyNumberFormat="1" applyFont="1" applyFill="1" applyBorder="1" applyAlignment="1">
      <alignment horizontal="center" vertical="center" wrapText="1"/>
    </xf>
    <xf numFmtId="165" fontId="12" fillId="7" borderId="34" xfId="0" applyNumberFormat="1" applyFont="1" applyFill="1" applyBorder="1" applyAlignment="1">
      <alignment horizontal="center" vertical="center" wrapText="1"/>
    </xf>
    <xf numFmtId="165" fontId="1" fillId="7" borderId="47" xfId="0" applyNumberFormat="1" applyFont="1" applyFill="1" applyBorder="1" applyAlignment="1">
      <alignment horizontal="center" vertical="center" textRotation="90" wrapText="1"/>
    </xf>
    <xf numFmtId="165" fontId="1" fillId="7" borderId="44" xfId="0" applyNumberFormat="1" applyFont="1" applyFill="1" applyBorder="1" applyAlignment="1">
      <alignment horizontal="center" vertical="top" wrapText="1"/>
    </xf>
    <xf numFmtId="0" fontId="1" fillId="7" borderId="90" xfId="0" applyFont="1" applyFill="1" applyBorder="1" applyAlignment="1">
      <alignment horizontal="center" vertical="top"/>
    </xf>
    <xf numFmtId="165" fontId="2" fillId="7" borderId="87" xfId="0" applyNumberFormat="1" applyFont="1" applyFill="1" applyBorder="1" applyAlignment="1">
      <alignment horizontal="center" vertical="top" wrapText="1"/>
    </xf>
    <xf numFmtId="165" fontId="2" fillId="7" borderId="34" xfId="0" applyNumberFormat="1" applyFont="1" applyFill="1" applyBorder="1" applyAlignment="1">
      <alignment horizontal="center" vertical="top" textRotation="90" wrapText="1"/>
    </xf>
    <xf numFmtId="165" fontId="9" fillId="7" borderId="45" xfId="0" applyNumberFormat="1" applyFont="1" applyFill="1" applyBorder="1" applyAlignment="1">
      <alignment horizontal="center" vertical="top" wrapText="1"/>
    </xf>
    <xf numFmtId="0" fontId="1" fillId="7" borderId="79" xfId="0" applyFont="1" applyFill="1" applyBorder="1" applyAlignment="1">
      <alignment vertical="top" wrapText="1"/>
    </xf>
    <xf numFmtId="165" fontId="9" fillId="7" borderId="57" xfId="0" applyNumberFormat="1" applyFont="1" applyFill="1" applyBorder="1" applyAlignment="1">
      <alignment horizontal="center" vertical="top" wrapText="1"/>
    </xf>
    <xf numFmtId="165" fontId="1" fillId="7" borderId="22" xfId="1" applyNumberFormat="1" applyFont="1" applyFill="1" applyBorder="1" applyAlignment="1">
      <alignment horizontal="center" vertical="top" wrapText="1"/>
    </xf>
    <xf numFmtId="0" fontId="13" fillId="7" borderId="79" xfId="0" applyFont="1" applyFill="1" applyBorder="1" applyAlignment="1">
      <alignment horizontal="left" vertical="top" wrapText="1"/>
    </xf>
    <xf numFmtId="49" fontId="13" fillId="7" borderId="89" xfId="0" applyNumberFormat="1" applyFont="1" applyFill="1" applyBorder="1" applyAlignment="1">
      <alignment horizontal="center" vertical="top" wrapText="1"/>
    </xf>
    <xf numFmtId="165" fontId="1" fillId="7" borderId="47" xfId="0" applyNumberFormat="1" applyFont="1" applyFill="1" applyBorder="1" applyAlignment="1">
      <alignment horizontal="center" vertical="center" wrapText="1"/>
    </xf>
    <xf numFmtId="165" fontId="1" fillId="7" borderId="34" xfId="0" applyNumberFormat="1" applyFont="1" applyFill="1" applyBorder="1" applyAlignment="1">
      <alignment horizontal="center" vertical="center" wrapText="1"/>
    </xf>
    <xf numFmtId="165" fontId="2" fillId="7" borderId="19" xfId="0" applyNumberFormat="1" applyFont="1" applyFill="1" applyBorder="1" applyAlignment="1">
      <alignment vertical="top"/>
    </xf>
    <xf numFmtId="49" fontId="2" fillId="7" borderId="29" xfId="0" applyNumberFormat="1" applyFont="1" applyFill="1" applyBorder="1" applyAlignment="1">
      <alignment vertical="top"/>
    </xf>
    <xf numFmtId="49" fontId="2" fillId="9" borderId="8" xfId="0" applyNumberFormat="1" applyFont="1" applyFill="1" applyBorder="1" applyAlignment="1">
      <alignment vertical="top"/>
    </xf>
    <xf numFmtId="49" fontId="2" fillId="2" borderId="54" xfId="0" applyNumberFormat="1" applyFont="1" applyFill="1" applyBorder="1" applyAlignment="1">
      <alignment vertical="top"/>
    </xf>
    <xf numFmtId="0" fontId="6" fillId="7" borderId="102" xfId="0" applyFont="1" applyFill="1" applyBorder="1" applyAlignment="1">
      <alignment horizontal="center" vertical="top" wrapText="1"/>
    </xf>
    <xf numFmtId="0" fontId="6" fillId="7" borderId="91" xfId="0" applyFont="1" applyFill="1" applyBorder="1" applyAlignment="1">
      <alignment horizontal="center" vertical="top" wrapText="1"/>
    </xf>
    <xf numFmtId="165" fontId="2" fillId="2" borderId="67" xfId="0" applyNumberFormat="1" applyFont="1" applyFill="1" applyBorder="1" applyAlignment="1">
      <alignment horizontal="center" vertical="top"/>
    </xf>
    <xf numFmtId="165" fontId="1" fillId="7" borderId="100" xfId="0" applyNumberFormat="1" applyFont="1" applyFill="1" applyBorder="1" applyAlignment="1">
      <alignment horizontal="center" vertical="top"/>
    </xf>
    <xf numFmtId="165" fontId="2" fillId="7" borderId="5" xfId="0" applyNumberFormat="1" applyFont="1" applyFill="1" applyBorder="1" applyAlignment="1">
      <alignment horizontal="center" vertical="top"/>
    </xf>
    <xf numFmtId="165" fontId="1" fillId="7" borderId="40" xfId="0" applyNumberFormat="1" applyFont="1" applyFill="1" applyBorder="1" applyAlignment="1">
      <alignment vertical="top"/>
    </xf>
    <xf numFmtId="165" fontId="2" fillId="7" borderId="97" xfId="0" applyNumberFormat="1" applyFont="1" applyFill="1" applyBorder="1" applyAlignment="1">
      <alignment horizontal="center" vertical="top" wrapText="1"/>
    </xf>
    <xf numFmtId="165" fontId="1" fillId="7" borderId="124" xfId="0" applyNumberFormat="1" applyFont="1" applyFill="1" applyBorder="1" applyAlignment="1">
      <alignment horizontal="left" vertical="top" wrapText="1"/>
    </xf>
    <xf numFmtId="165" fontId="1" fillId="7" borderId="123" xfId="0" applyNumberFormat="1" applyFont="1" applyFill="1" applyBorder="1" applyAlignment="1">
      <alignment vertical="top" wrapText="1"/>
    </xf>
    <xf numFmtId="165" fontId="1" fillId="7" borderId="124" xfId="0" applyNumberFormat="1" applyFont="1" applyFill="1" applyBorder="1" applyAlignment="1">
      <alignment vertical="top" wrapText="1"/>
    </xf>
    <xf numFmtId="165" fontId="1" fillId="0" borderId="78" xfId="0" applyNumberFormat="1" applyFont="1" applyFill="1" applyBorder="1" applyAlignment="1">
      <alignment horizontal="center" vertical="top"/>
    </xf>
    <xf numFmtId="165" fontId="2" fillId="7" borderId="91" xfId="0" applyNumberFormat="1" applyFont="1" applyFill="1" applyBorder="1" applyAlignment="1">
      <alignment horizontal="center" vertical="top" wrapText="1"/>
    </xf>
    <xf numFmtId="165" fontId="1" fillId="7" borderId="33" xfId="0" applyNumberFormat="1" applyFont="1" applyFill="1" applyBorder="1" applyAlignment="1">
      <alignment horizontal="left" vertical="top" wrapText="1"/>
    </xf>
    <xf numFmtId="3" fontId="5" fillId="7" borderId="34" xfId="0" applyNumberFormat="1" applyFont="1" applyFill="1" applyBorder="1" applyAlignment="1">
      <alignment horizontal="center" vertical="top"/>
    </xf>
    <xf numFmtId="3" fontId="5" fillId="7" borderId="26" xfId="0" applyNumberFormat="1" applyFont="1" applyFill="1" applyBorder="1" applyAlignment="1">
      <alignment horizontal="center" vertical="top"/>
    </xf>
    <xf numFmtId="3" fontId="5" fillId="7" borderId="27" xfId="0" applyNumberFormat="1" applyFont="1" applyFill="1" applyBorder="1" applyAlignment="1">
      <alignment horizontal="center" vertical="top"/>
    </xf>
    <xf numFmtId="0" fontId="2" fillId="7" borderId="10" xfId="0" applyFont="1" applyFill="1" applyBorder="1" applyAlignment="1">
      <alignment horizontal="center" vertical="top" wrapText="1"/>
    </xf>
    <xf numFmtId="0" fontId="1" fillId="7" borderId="27" xfId="0" applyFont="1" applyFill="1" applyBorder="1" applyAlignment="1">
      <alignment horizontal="center" vertical="center" wrapText="1"/>
    </xf>
    <xf numFmtId="165" fontId="2" fillId="7" borderId="17" xfId="0" applyNumberFormat="1" applyFont="1" applyFill="1" applyBorder="1" applyAlignment="1">
      <alignment horizontal="center" vertical="center" wrapText="1"/>
    </xf>
    <xf numFmtId="3" fontId="1" fillId="7" borderId="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165" fontId="2" fillId="2" borderId="10"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49" fontId="2" fillId="7" borderId="1" xfId="0" applyNumberFormat="1" applyFont="1" applyFill="1" applyBorder="1" applyAlignment="1">
      <alignment vertical="top"/>
    </xf>
    <xf numFmtId="165" fontId="2" fillId="0" borderId="1" xfId="0" applyNumberFormat="1" applyFont="1" applyFill="1" applyBorder="1" applyAlignment="1">
      <alignment horizontal="center" vertical="top" wrapText="1"/>
    </xf>
    <xf numFmtId="165" fontId="1" fillId="0" borderId="16" xfId="0" applyNumberFormat="1" applyFont="1" applyBorder="1" applyAlignment="1">
      <alignment horizontal="center" vertical="top" wrapText="1"/>
    </xf>
    <xf numFmtId="165" fontId="1" fillId="7" borderId="21" xfId="0" applyNumberFormat="1" applyFont="1" applyFill="1" applyBorder="1" applyAlignment="1">
      <alignment horizontal="center" vertical="top"/>
    </xf>
    <xf numFmtId="3" fontId="1" fillId="7" borderId="36" xfId="0" applyNumberFormat="1" applyFont="1" applyFill="1" applyBorder="1" applyAlignment="1">
      <alignment horizontal="center" vertical="top"/>
    </xf>
    <xf numFmtId="3" fontId="13" fillId="7" borderId="16" xfId="0" applyNumberFormat="1" applyFont="1" applyFill="1" applyBorder="1" applyAlignment="1">
      <alignment horizontal="center" vertical="top"/>
    </xf>
    <xf numFmtId="165" fontId="1" fillId="0" borderId="36" xfId="0" applyNumberFormat="1" applyFont="1" applyFill="1" applyBorder="1" applyAlignment="1">
      <alignment horizontal="left" vertical="top" wrapText="1"/>
    </xf>
    <xf numFmtId="165" fontId="1" fillId="7" borderId="35" xfId="0" applyNumberFormat="1" applyFont="1" applyFill="1" applyBorder="1" applyAlignment="1">
      <alignment horizontal="left" vertical="top" wrapText="1"/>
    </xf>
    <xf numFmtId="165" fontId="1" fillId="7" borderId="10" xfId="0" applyNumberFormat="1" applyFont="1" applyFill="1" applyBorder="1" applyAlignment="1">
      <alignment horizontal="center" vertical="center" textRotation="90" wrapText="1"/>
    </xf>
    <xf numFmtId="165" fontId="2" fillId="9" borderId="6" xfId="0" applyNumberFormat="1" applyFont="1" applyFill="1" applyBorder="1" applyAlignment="1">
      <alignment horizontal="center" vertical="top"/>
    </xf>
    <xf numFmtId="165" fontId="2" fillId="2" borderId="10"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3" fontId="1" fillId="7" borderId="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165" fontId="1" fillId="7" borderId="28" xfId="0" applyNumberFormat="1" applyFont="1" applyFill="1" applyBorder="1" applyAlignment="1">
      <alignment horizontal="left" vertical="top" wrapText="1"/>
    </xf>
    <xf numFmtId="165" fontId="1" fillId="7" borderId="6" xfId="0" applyNumberFormat="1" applyFont="1" applyFill="1" applyBorder="1" applyAlignment="1">
      <alignment horizontal="left" vertical="top" wrapText="1"/>
    </xf>
    <xf numFmtId="3" fontId="1" fillId="7" borderId="2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3" fontId="1" fillId="7" borderId="45" xfId="0" applyNumberFormat="1" applyFont="1" applyFill="1" applyBorder="1" applyAlignment="1">
      <alignment horizontal="center" vertical="top"/>
    </xf>
    <xf numFmtId="3" fontId="1" fillId="7" borderId="19"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49" fontId="2" fillId="7" borderId="27" xfId="0" applyNumberFormat="1" applyFont="1" applyFill="1" applyBorder="1" applyAlignment="1">
      <alignment horizontal="center" vertical="top"/>
    </xf>
    <xf numFmtId="165" fontId="6" fillId="7" borderId="17" xfId="0" applyNumberFormat="1" applyFont="1" applyFill="1" applyBorder="1" applyAlignment="1">
      <alignment horizontal="center" vertical="top" wrapText="1"/>
    </xf>
    <xf numFmtId="165" fontId="1" fillId="0" borderId="17" xfId="0" applyNumberFormat="1" applyFont="1" applyBorder="1" applyAlignment="1">
      <alignment horizontal="center" vertical="top" wrapText="1"/>
    </xf>
    <xf numFmtId="49" fontId="2" fillId="7" borderId="19" xfId="0" applyNumberFormat="1" applyFont="1" applyFill="1" applyBorder="1" applyAlignment="1">
      <alignment vertical="top"/>
    </xf>
    <xf numFmtId="0" fontId="6" fillId="7" borderId="20" xfId="0" applyFont="1" applyFill="1" applyBorder="1" applyAlignment="1">
      <alignment horizontal="center" wrapText="1"/>
    </xf>
    <xf numFmtId="0" fontId="6" fillId="7" borderId="26" xfId="0" applyFont="1" applyFill="1" applyBorder="1" applyAlignment="1">
      <alignment horizontal="center" wrapText="1"/>
    </xf>
    <xf numFmtId="3" fontId="13" fillId="7" borderId="27" xfId="0" applyNumberFormat="1" applyFont="1" applyFill="1" applyBorder="1" applyAlignment="1">
      <alignment horizontal="center" vertical="top"/>
    </xf>
    <xf numFmtId="165" fontId="2" fillId="9" borderId="6" xfId="0" applyNumberFormat="1" applyFont="1" applyFill="1" applyBorder="1" applyAlignment="1">
      <alignment horizontal="center" vertical="top"/>
    </xf>
    <xf numFmtId="165" fontId="2" fillId="2" borderId="10" xfId="0" applyNumberFormat="1" applyFont="1" applyFill="1" applyBorder="1" applyAlignment="1">
      <alignment horizontal="center" vertical="top"/>
    </xf>
    <xf numFmtId="165" fontId="2" fillId="7" borderId="10" xfId="0" applyNumberFormat="1" applyFont="1" applyFill="1" applyBorder="1" applyAlignment="1">
      <alignment horizontal="center" vertical="top"/>
    </xf>
    <xf numFmtId="165" fontId="1" fillId="7" borderId="44" xfId="0" applyNumberFormat="1" applyFont="1" applyFill="1" applyBorder="1" applyAlignment="1">
      <alignment horizontal="left" vertical="top" wrapText="1"/>
    </xf>
    <xf numFmtId="165" fontId="1" fillId="7" borderId="46" xfId="0" applyNumberFormat="1" applyFont="1" applyFill="1" applyBorder="1" applyAlignment="1">
      <alignment horizontal="left" vertical="top" wrapText="1"/>
    </xf>
    <xf numFmtId="165" fontId="1" fillId="7" borderId="19" xfId="0" applyNumberFormat="1" applyFont="1" applyFill="1" applyBorder="1" applyAlignment="1">
      <alignment horizontal="left" vertical="top" wrapText="1"/>
    </xf>
    <xf numFmtId="165" fontId="1" fillId="7" borderId="27" xfId="0" applyNumberFormat="1" applyFont="1" applyFill="1" applyBorder="1" applyAlignment="1">
      <alignment horizontal="left" vertical="top" wrapText="1"/>
    </xf>
    <xf numFmtId="165" fontId="1" fillId="7" borderId="10" xfId="0" applyNumberFormat="1" applyFont="1" applyFill="1" applyBorder="1" applyAlignment="1">
      <alignment vertical="top" wrapText="1"/>
    </xf>
    <xf numFmtId="0" fontId="6" fillId="7" borderId="10" xfId="0" applyFont="1" applyFill="1" applyBorder="1" applyAlignment="1">
      <alignment vertical="top" wrapText="1"/>
    </xf>
    <xf numFmtId="165" fontId="2" fillId="7" borderId="10" xfId="0" applyNumberFormat="1" applyFont="1" applyFill="1" applyBorder="1" applyAlignment="1">
      <alignment horizontal="center" vertical="top" wrapText="1"/>
    </xf>
    <xf numFmtId="165" fontId="1" fillId="7" borderId="35" xfId="0" applyNumberFormat="1" applyFont="1" applyFill="1" applyBorder="1" applyAlignment="1">
      <alignment horizontal="left" vertical="top" wrapText="1"/>
    </xf>
    <xf numFmtId="0" fontId="6" fillId="7" borderId="6" xfId="0" applyFont="1" applyFill="1" applyBorder="1" applyAlignment="1">
      <alignment horizontal="left" vertical="top" wrapText="1"/>
    </xf>
    <xf numFmtId="165" fontId="1" fillId="7" borderId="6" xfId="0" applyNumberFormat="1" applyFont="1" applyFill="1" applyBorder="1" applyAlignment="1">
      <alignment vertical="top" wrapText="1"/>
    </xf>
    <xf numFmtId="165" fontId="1" fillId="7" borderId="6" xfId="0" applyNumberFormat="1" applyFont="1" applyFill="1" applyBorder="1" applyAlignment="1">
      <alignment horizontal="left" vertical="top" wrapText="1"/>
    </xf>
    <xf numFmtId="0" fontId="1" fillId="7" borderId="27" xfId="0" applyFont="1" applyFill="1" applyBorder="1" applyAlignment="1">
      <alignment horizontal="left" vertical="top" wrapText="1"/>
    </xf>
    <xf numFmtId="49" fontId="2" fillId="7" borderId="24"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165" fontId="2" fillId="7" borderId="19" xfId="0" applyNumberFormat="1" applyFont="1" applyFill="1" applyBorder="1" applyAlignment="1">
      <alignment horizontal="center" vertical="top" wrapText="1"/>
    </xf>
    <xf numFmtId="49" fontId="2" fillId="9" borderId="4"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2" fillId="2" borderId="24"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165" fontId="2" fillId="7" borderId="27" xfId="0" applyNumberFormat="1" applyFont="1" applyFill="1" applyBorder="1" applyAlignment="1">
      <alignment horizontal="center" vertical="top" wrapText="1"/>
    </xf>
    <xf numFmtId="165" fontId="2" fillId="9" borderId="4" xfId="0" applyNumberFormat="1" applyFont="1" applyFill="1" applyBorder="1" applyAlignment="1">
      <alignment horizontal="center" vertical="top"/>
    </xf>
    <xf numFmtId="165" fontId="1" fillId="7" borderId="19" xfId="0" applyNumberFormat="1" applyFont="1" applyFill="1" applyBorder="1" applyAlignment="1">
      <alignment horizontal="center" vertical="center" textRotation="90" wrapText="1"/>
    </xf>
    <xf numFmtId="165" fontId="6" fillId="7" borderId="10" xfId="0" applyNumberFormat="1" applyFont="1" applyFill="1" applyBorder="1" applyAlignment="1">
      <alignment horizontal="center" vertical="center" textRotation="90" wrapText="1"/>
    </xf>
    <xf numFmtId="0" fontId="1" fillId="7" borderId="6" xfId="0" applyFont="1" applyFill="1" applyBorder="1" applyAlignment="1">
      <alignment vertical="top" wrapText="1"/>
    </xf>
    <xf numFmtId="165" fontId="1" fillId="2" borderId="67" xfId="0" applyNumberFormat="1" applyFont="1" applyFill="1" applyBorder="1" applyAlignment="1">
      <alignment horizontal="center" vertical="top" wrapText="1"/>
    </xf>
    <xf numFmtId="165" fontId="1" fillId="2" borderId="68" xfId="0" applyNumberFormat="1" applyFont="1" applyFill="1" applyBorder="1" applyAlignment="1">
      <alignment horizontal="center" vertical="top" wrapText="1"/>
    </xf>
    <xf numFmtId="3" fontId="1" fillId="7" borderId="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165" fontId="1" fillId="7" borderId="96" xfId="0" applyNumberFormat="1" applyFont="1" applyFill="1" applyBorder="1" applyAlignment="1">
      <alignment horizontal="left" vertical="top" wrapText="1"/>
    </xf>
    <xf numFmtId="165" fontId="1" fillId="7" borderId="28" xfId="0" applyNumberFormat="1" applyFont="1" applyFill="1" applyBorder="1" applyAlignment="1">
      <alignment horizontal="left" vertical="top" wrapText="1"/>
    </xf>
    <xf numFmtId="165" fontId="1" fillId="7" borderId="10" xfId="0" applyNumberFormat="1" applyFont="1" applyFill="1" applyBorder="1" applyAlignment="1">
      <alignment horizontal="center" vertical="center" textRotation="90" wrapText="1"/>
    </xf>
    <xf numFmtId="165" fontId="2" fillId="3" borderId="10" xfId="0" applyNumberFormat="1" applyFont="1" applyFill="1" applyBorder="1" applyAlignment="1">
      <alignment horizontal="center" vertical="top" wrapText="1"/>
    </xf>
    <xf numFmtId="165" fontId="1" fillId="7" borderId="97" xfId="0" applyNumberFormat="1" applyFont="1" applyFill="1" applyBorder="1" applyAlignment="1">
      <alignment horizontal="left" vertical="top" wrapText="1"/>
    </xf>
    <xf numFmtId="165" fontId="1" fillId="7" borderId="77" xfId="0" applyNumberFormat="1" applyFont="1" applyFill="1" applyBorder="1" applyAlignment="1">
      <alignment horizontal="left" vertical="top" wrapText="1"/>
    </xf>
    <xf numFmtId="165" fontId="1" fillId="7" borderId="35" xfId="0" applyNumberFormat="1" applyFont="1" applyFill="1" applyBorder="1" applyAlignment="1">
      <alignment vertical="top" wrapText="1"/>
    </xf>
    <xf numFmtId="165" fontId="6" fillId="7" borderId="6" xfId="0" applyNumberFormat="1" applyFont="1" applyFill="1" applyBorder="1" applyAlignment="1">
      <alignment vertical="top" wrapText="1"/>
    </xf>
    <xf numFmtId="0" fontId="1" fillId="7" borderId="96" xfId="0" applyFont="1" applyFill="1" applyBorder="1" applyAlignment="1">
      <alignment vertical="top" wrapText="1"/>
    </xf>
    <xf numFmtId="0" fontId="13" fillId="7" borderId="28" xfId="0" applyFont="1" applyFill="1" applyBorder="1" applyAlignment="1">
      <alignment vertical="top" wrapText="1"/>
    </xf>
    <xf numFmtId="165" fontId="1" fillId="7" borderId="18" xfId="0" applyNumberFormat="1" applyFont="1" applyFill="1" applyBorder="1" applyAlignment="1">
      <alignment horizontal="left" vertical="top" wrapText="1"/>
    </xf>
    <xf numFmtId="165" fontId="1" fillId="7" borderId="47" xfId="0" applyNumberFormat="1" applyFont="1" applyFill="1" applyBorder="1" applyAlignment="1">
      <alignment vertical="top" wrapText="1"/>
    </xf>
    <xf numFmtId="165" fontId="1" fillId="7" borderId="27" xfId="0" applyNumberFormat="1" applyFont="1" applyFill="1" applyBorder="1" applyAlignment="1">
      <alignment horizontal="center" vertical="center" textRotation="90" wrapText="1"/>
    </xf>
    <xf numFmtId="165" fontId="1" fillId="7" borderId="34" xfId="0" applyNumberFormat="1" applyFont="1" applyFill="1" applyBorder="1" applyAlignment="1">
      <alignment horizontal="left" vertical="top" wrapText="1"/>
    </xf>
    <xf numFmtId="49" fontId="2" fillId="7" borderId="47"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49" fontId="2" fillId="2" borderId="47" xfId="0" applyNumberFormat="1" applyFont="1" applyFill="1" applyBorder="1" applyAlignment="1">
      <alignment horizontal="center" vertical="top"/>
    </xf>
    <xf numFmtId="165" fontId="1" fillId="7" borderId="61" xfId="0" applyNumberFormat="1" applyFont="1" applyFill="1" applyBorder="1" applyAlignment="1">
      <alignment horizontal="left" vertical="top" wrapText="1"/>
    </xf>
    <xf numFmtId="49" fontId="1" fillId="0" borderId="2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165" fontId="1" fillId="7" borderId="33" xfId="0" applyNumberFormat="1" applyFont="1" applyFill="1" applyBorder="1" applyAlignment="1">
      <alignment vertical="top" wrapText="1"/>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3" fontId="1" fillId="7" borderId="2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3" fontId="1" fillId="7" borderId="45" xfId="0" applyNumberFormat="1" applyFont="1" applyFill="1" applyBorder="1" applyAlignment="1">
      <alignment horizontal="center" vertical="top"/>
    </xf>
    <xf numFmtId="3" fontId="1" fillId="7" borderId="19"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165" fontId="1" fillId="7" borderId="79" xfId="0" applyNumberFormat="1" applyFont="1" applyFill="1" applyBorder="1" applyAlignment="1">
      <alignment vertical="top" wrapText="1"/>
    </xf>
    <xf numFmtId="165" fontId="2" fillId="7" borderId="34" xfId="0" applyNumberFormat="1" applyFont="1" applyFill="1" applyBorder="1" applyAlignment="1">
      <alignment horizontal="center" vertical="top" wrapText="1"/>
    </xf>
    <xf numFmtId="0" fontId="1" fillId="7" borderId="28" xfId="0" applyFont="1" applyFill="1" applyBorder="1" applyAlignment="1">
      <alignment horizontal="left" vertical="top" wrapText="1"/>
    </xf>
    <xf numFmtId="165" fontId="2" fillId="7" borderId="47" xfId="0" applyNumberFormat="1" applyFont="1" applyFill="1" applyBorder="1" applyAlignment="1">
      <alignment horizontal="center" vertical="top" wrapText="1"/>
    </xf>
    <xf numFmtId="165" fontId="2" fillId="7" borderId="26" xfId="0" applyNumberFormat="1" applyFont="1" applyFill="1" applyBorder="1" applyAlignment="1">
      <alignment horizontal="center" vertical="top" wrapText="1"/>
    </xf>
    <xf numFmtId="49" fontId="1" fillId="7" borderId="45" xfId="0" applyNumberFormat="1" applyFont="1" applyFill="1" applyBorder="1" applyAlignment="1">
      <alignment horizontal="center" vertical="top"/>
    </xf>
    <xf numFmtId="49" fontId="1" fillId="7" borderId="34" xfId="0" applyNumberFormat="1" applyFont="1" applyFill="1" applyBorder="1" applyAlignment="1">
      <alignment horizontal="center" vertical="top"/>
    </xf>
    <xf numFmtId="0" fontId="1" fillId="7" borderId="10" xfId="0" applyFont="1" applyFill="1" applyBorder="1" applyAlignment="1">
      <alignment vertical="top" wrapText="1"/>
    </xf>
    <xf numFmtId="0" fontId="0" fillId="0" borderId="0" xfId="0" applyFont="1" applyBorder="1" applyAlignment="1">
      <alignment vertical="top" wrapText="1"/>
    </xf>
    <xf numFmtId="165" fontId="1" fillId="13" borderId="100" xfId="0" applyNumberFormat="1" applyFont="1" applyFill="1" applyBorder="1" applyAlignment="1">
      <alignment horizontal="center" vertical="top"/>
    </xf>
    <xf numFmtId="165" fontId="2" fillId="7" borderId="10" xfId="0" applyNumberFormat="1" applyFont="1" applyFill="1" applyBorder="1" applyAlignment="1">
      <alignment horizontal="center" vertical="top" wrapText="1"/>
    </xf>
    <xf numFmtId="165" fontId="2" fillId="7" borderId="27" xfId="0" applyNumberFormat="1" applyFont="1" applyFill="1" applyBorder="1" applyAlignment="1">
      <alignment horizontal="center" vertical="top" wrapText="1"/>
    </xf>
    <xf numFmtId="165" fontId="2" fillId="9" borderId="6"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165" fontId="11" fillId="13" borderId="47" xfId="0" applyNumberFormat="1" applyFont="1" applyFill="1" applyBorder="1" applyAlignment="1">
      <alignment horizontal="left" vertical="top" wrapText="1"/>
    </xf>
    <xf numFmtId="49" fontId="11" fillId="13" borderId="0" xfId="0" applyNumberFormat="1" applyFont="1" applyFill="1" applyBorder="1" applyAlignment="1">
      <alignment horizontal="center" vertical="top"/>
    </xf>
    <xf numFmtId="165" fontId="11" fillId="13" borderId="0" xfId="0" applyNumberFormat="1" applyFont="1" applyFill="1" applyBorder="1" applyAlignment="1">
      <alignment horizontal="right" vertical="top" wrapText="1"/>
    </xf>
    <xf numFmtId="165" fontId="11" fillId="13" borderId="10" xfId="0" applyNumberFormat="1" applyFont="1" applyFill="1" applyBorder="1" applyAlignment="1">
      <alignment horizontal="center" vertical="top"/>
    </xf>
    <xf numFmtId="49" fontId="11" fillId="13" borderId="47" xfId="0" applyNumberFormat="1" applyFont="1" applyFill="1" applyBorder="1" applyAlignment="1">
      <alignment horizontal="center" vertical="top"/>
    </xf>
    <xf numFmtId="49" fontId="11" fillId="13" borderId="17" xfId="0" applyNumberFormat="1" applyFont="1" applyFill="1" applyBorder="1" applyAlignment="1">
      <alignment horizontal="center" vertical="top"/>
    </xf>
    <xf numFmtId="165" fontId="11" fillId="13" borderId="102" xfId="0" applyNumberFormat="1" applyFont="1" applyFill="1" applyBorder="1" applyAlignment="1">
      <alignment horizontal="left" vertical="top" wrapText="1"/>
    </xf>
    <xf numFmtId="165" fontId="11" fillId="13" borderId="101" xfId="0" applyNumberFormat="1" applyFont="1" applyFill="1" applyBorder="1" applyAlignment="1">
      <alignment horizontal="left" vertical="top" wrapText="1"/>
    </xf>
    <xf numFmtId="165" fontId="1" fillId="13" borderId="97" xfId="0" applyNumberFormat="1" applyFont="1" applyFill="1" applyBorder="1" applyAlignment="1">
      <alignment horizontal="center" vertical="top"/>
    </xf>
    <xf numFmtId="0" fontId="11" fillId="13" borderId="101" xfId="0" applyNumberFormat="1" applyFont="1" applyFill="1" applyBorder="1" applyAlignment="1">
      <alignment horizontal="center" vertical="top"/>
    </xf>
    <xf numFmtId="165" fontId="11" fillId="13" borderId="72" xfId="0" applyNumberFormat="1" applyFont="1" applyFill="1" applyBorder="1" applyAlignment="1">
      <alignment horizontal="right" vertical="top" wrapText="1"/>
    </xf>
    <xf numFmtId="165" fontId="11" fillId="13" borderId="27" xfId="0" applyNumberFormat="1" applyFont="1" applyFill="1" applyBorder="1" applyAlignment="1">
      <alignment horizontal="center" vertical="top"/>
    </xf>
    <xf numFmtId="49" fontId="11" fillId="13" borderId="72" xfId="0" applyNumberFormat="1" applyFont="1" applyFill="1" applyBorder="1" applyAlignment="1">
      <alignment horizontal="center" vertical="top"/>
    </xf>
    <xf numFmtId="49" fontId="11" fillId="13" borderId="34" xfId="0" applyNumberFormat="1" applyFont="1" applyFill="1" applyBorder="1" applyAlignment="1">
      <alignment horizontal="center" vertical="top"/>
    </xf>
    <xf numFmtId="165" fontId="11" fillId="13" borderId="33" xfId="0" applyNumberFormat="1" applyFont="1" applyFill="1" applyBorder="1" applyAlignment="1">
      <alignment horizontal="center" vertical="top"/>
    </xf>
    <xf numFmtId="165" fontId="11" fillId="13" borderId="61" xfId="0" applyNumberFormat="1" applyFont="1" applyFill="1" applyBorder="1" applyAlignment="1">
      <alignment horizontal="center" vertical="top"/>
    </xf>
    <xf numFmtId="49" fontId="11" fillId="13" borderId="26" xfId="0" applyNumberFormat="1" applyFont="1" applyFill="1" applyBorder="1" applyAlignment="1">
      <alignment horizontal="center" vertical="top"/>
    </xf>
    <xf numFmtId="165" fontId="11" fillId="13" borderId="6" xfId="0" applyNumberFormat="1" applyFont="1" applyFill="1" applyBorder="1" applyAlignment="1">
      <alignment horizontal="center" vertical="top"/>
    </xf>
    <xf numFmtId="165" fontId="11" fillId="13" borderId="5" xfId="0" applyNumberFormat="1" applyFont="1" applyFill="1" applyBorder="1" applyAlignment="1">
      <alignment horizontal="center" vertical="top"/>
    </xf>
    <xf numFmtId="165" fontId="11" fillId="13" borderId="28" xfId="0" applyNumberFormat="1" applyFont="1" applyFill="1" applyBorder="1" applyAlignment="1">
      <alignment horizontal="center" vertical="top"/>
    </xf>
    <xf numFmtId="165" fontId="11" fillId="13" borderId="22" xfId="0" applyNumberFormat="1" applyFont="1" applyFill="1" applyBorder="1" applyAlignment="1">
      <alignment horizontal="center" vertical="top"/>
    </xf>
    <xf numFmtId="165" fontId="1" fillId="13" borderId="110" xfId="0" applyNumberFormat="1" applyFont="1" applyFill="1" applyBorder="1" applyAlignment="1">
      <alignment horizontal="center" vertical="top"/>
    </xf>
    <xf numFmtId="165" fontId="1" fillId="13" borderId="98" xfId="0" applyNumberFormat="1" applyFont="1" applyFill="1" applyBorder="1" applyAlignment="1">
      <alignment horizontal="center" vertical="top"/>
    </xf>
    <xf numFmtId="165" fontId="1" fillId="13" borderId="96" xfId="0" applyNumberFormat="1" applyFont="1" applyFill="1" applyBorder="1" applyAlignment="1">
      <alignment horizontal="center" vertical="top"/>
    </xf>
    <xf numFmtId="165" fontId="1" fillId="7" borderId="35" xfId="0" applyNumberFormat="1" applyFont="1" applyFill="1" applyBorder="1" applyAlignment="1">
      <alignment horizontal="left" vertical="top" wrapText="1"/>
    </xf>
    <xf numFmtId="3" fontId="1" fillId="7" borderId="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165" fontId="1" fillId="7" borderId="28" xfId="0" applyNumberFormat="1" applyFont="1" applyFill="1" applyBorder="1" applyAlignment="1">
      <alignment horizontal="left" vertical="top" wrapText="1"/>
    </xf>
    <xf numFmtId="49" fontId="1" fillId="7" borderId="34" xfId="0" applyNumberFormat="1" applyFont="1" applyFill="1" applyBorder="1" applyAlignment="1">
      <alignment horizontal="center" vertical="top"/>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3" fontId="1" fillId="7" borderId="19"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1" fillId="7" borderId="45"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165" fontId="6" fillId="7" borderId="6" xfId="0" applyNumberFormat="1" applyFont="1" applyFill="1" applyBorder="1" applyAlignment="1">
      <alignment vertical="top" wrapText="1"/>
    </xf>
    <xf numFmtId="165" fontId="1" fillId="7" borderId="22" xfId="0" applyNumberFormat="1" applyFont="1" applyFill="1" applyBorder="1" applyAlignment="1">
      <alignment horizontal="center" vertical="top"/>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165" fontId="1" fillId="0" borderId="0" xfId="0" applyNumberFormat="1" applyFont="1" applyBorder="1" applyAlignment="1">
      <alignment horizontal="left" vertical="top" wrapText="1"/>
    </xf>
    <xf numFmtId="3" fontId="1" fillId="7" borderId="19" xfId="0" applyNumberFormat="1" applyFont="1" applyFill="1" applyBorder="1" applyAlignment="1">
      <alignment horizontal="center" vertical="top"/>
    </xf>
    <xf numFmtId="49" fontId="2" fillId="7" borderId="10" xfId="0" applyNumberFormat="1" applyFont="1" applyFill="1" applyBorder="1" applyAlignment="1">
      <alignment horizontal="center" vertical="top"/>
    </xf>
    <xf numFmtId="49" fontId="2" fillId="9" borderId="6"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49" fontId="2" fillId="2" borderId="47" xfId="0" applyNumberFormat="1" applyFont="1" applyFill="1" applyBorder="1" applyAlignment="1">
      <alignment horizontal="center" vertical="top"/>
    </xf>
    <xf numFmtId="49" fontId="13" fillId="7" borderId="34" xfId="0" applyNumberFormat="1" applyFont="1" applyFill="1" applyBorder="1" applyAlignment="1">
      <alignment horizontal="center" vertical="top"/>
    </xf>
    <xf numFmtId="165" fontId="2" fillId="9" borderId="6" xfId="0" applyNumberFormat="1" applyFont="1" applyFill="1" applyBorder="1" applyAlignment="1">
      <alignment horizontal="center" vertical="top"/>
    </xf>
    <xf numFmtId="165" fontId="2" fillId="2" borderId="10" xfId="0" applyNumberFormat="1" applyFont="1" applyFill="1" applyBorder="1" applyAlignment="1">
      <alignment horizontal="center" vertical="top"/>
    </xf>
    <xf numFmtId="165" fontId="1" fillId="7" borderId="27" xfId="0" applyNumberFormat="1" applyFont="1" applyFill="1" applyBorder="1" applyAlignment="1">
      <alignment vertical="top" wrapText="1"/>
    </xf>
    <xf numFmtId="165" fontId="1" fillId="7" borderId="6" xfId="0" applyNumberFormat="1" applyFont="1" applyFill="1" applyBorder="1" applyAlignment="1">
      <alignment horizontal="left" vertical="top" wrapText="1"/>
    </xf>
    <xf numFmtId="165" fontId="1" fillId="7" borderId="28" xfId="0" applyNumberFormat="1" applyFont="1" applyFill="1" applyBorder="1" applyAlignment="1">
      <alignment horizontal="left" vertical="top" wrapText="1"/>
    </xf>
    <xf numFmtId="165" fontId="1" fillId="7" borderId="10" xfId="0" applyNumberFormat="1" applyFont="1" applyFill="1" applyBorder="1" applyAlignment="1">
      <alignment horizontal="center" vertical="center" textRotation="90" wrapText="1"/>
    </xf>
    <xf numFmtId="165" fontId="1" fillId="7" borderId="22" xfId="0" applyNumberFormat="1" applyFont="1" applyFill="1" applyBorder="1" applyAlignment="1">
      <alignment horizontal="center" vertical="top"/>
    </xf>
    <xf numFmtId="0" fontId="0" fillId="0" borderId="33" xfId="0" applyFont="1" applyBorder="1" applyAlignment="1">
      <alignment vertical="top" wrapText="1"/>
    </xf>
    <xf numFmtId="165" fontId="1" fillId="7" borderId="17" xfId="0" applyNumberFormat="1" applyFont="1" applyFill="1" applyBorder="1" applyAlignment="1">
      <alignment horizontal="center" vertical="top" wrapText="1"/>
    </xf>
    <xf numFmtId="0" fontId="13" fillId="7" borderId="35" xfId="0" applyFont="1" applyFill="1" applyBorder="1" applyAlignment="1">
      <alignment vertical="top" wrapText="1"/>
    </xf>
    <xf numFmtId="0" fontId="13" fillId="7" borderId="28" xfId="0" applyFont="1" applyFill="1" applyBorder="1" applyAlignment="1">
      <alignment vertical="top" wrapText="1"/>
    </xf>
    <xf numFmtId="165" fontId="13" fillId="7" borderId="6" xfId="0" applyNumberFormat="1" applyFont="1" applyFill="1" applyBorder="1" applyAlignment="1">
      <alignment horizontal="left" vertical="top" wrapText="1"/>
    </xf>
    <xf numFmtId="3" fontId="13" fillId="7" borderId="57" xfId="0" applyNumberFormat="1" applyFont="1" applyFill="1" applyBorder="1" applyAlignment="1">
      <alignment horizontal="center" vertical="top"/>
    </xf>
    <xf numFmtId="3" fontId="13" fillId="7" borderId="45" xfId="0" applyNumberFormat="1" applyFont="1" applyFill="1" applyBorder="1" applyAlignment="1">
      <alignment horizontal="center" vertical="top"/>
    </xf>
    <xf numFmtId="165" fontId="13" fillId="7" borderId="44" xfId="0" applyNumberFormat="1" applyFont="1" applyFill="1" applyBorder="1" applyAlignment="1">
      <alignment vertical="top" wrapText="1"/>
    </xf>
    <xf numFmtId="3" fontId="13" fillId="7" borderId="57" xfId="0" applyNumberFormat="1" applyFont="1" applyFill="1" applyBorder="1" applyAlignment="1">
      <alignment horizontal="center" vertical="top" wrapText="1"/>
    </xf>
    <xf numFmtId="3" fontId="13" fillId="7" borderId="45" xfId="0" applyNumberFormat="1" applyFont="1" applyFill="1" applyBorder="1" applyAlignment="1">
      <alignment horizontal="center" vertical="top" wrapText="1"/>
    </xf>
    <xf numFmtId="3" fontId="13" fillId="7" borderId="0" xfId="0" applyNumberFormat="1" applyFont="1" applyFill="1" applyBorder="1" applyAlignment="1">
      <alignment horizontal="center" vertical="top" wrapText="1"/>
    </xf>
    <xf numFmtId="3" fontId="13" fillId="7" borderId="0" xfId="0" applyNumberFormat="1" applyFont="1" applyFill="1" applyBorder="1" applyAlignment="1">
      <alignment horizontal="center" vertical="top"/>
    </xf>
    <xf numFmtId="0" fontId="1" fillId="7" borderId="127" xfId="0" applyFont="1" applyFill="1" applyBorder="1" applyAlignment="1">
      <alignment vertical="top" wrapText="1"/>
    </xf>
    <xf numFmtId="165" fontId="1" fillId="7" borderId="128" xfId="0" applyNumberFormat="1" applyFont="1" applyFill="1" applyBorder="1" applyAlignment="1">
      <alignment horizontal="center" vertical="top"/>
    </xf>
    <xf numFmtId="165" fontId="1" fillId="7" borderId="129" xfId="0" applyNumberFormat="1" applyFont="1" applyFill="1" applyBorder="1" applyAlignment="1">
      <alignment horizontal="left" vertical="top" wrapText="1"/>
    </xf>
    <xf numFmtId="165" fontId="1" fillId="7" borderId="125" xfId="0" applyNumberFormat="1" applyFont="1" applyFill="1" applyBorder="1" applyAlignment="1">
      <alignment horizontal="center" vertical="top"/>
    </xf>
    <xf numFmtId="165" fontId="1" fillId="7" borderId="126" xfId="0" applyNumberFormat="1" applyFont="1" applyFill="1" applyBorder="1" applyAlignment="1">
      <alignment horizontal="center" vertical="top"/>
    </xf>
    <xf numFmtId="165" fontId="1" fillId="7" borderId="130" xfId="0" applyNumberFormat="1" applyFont="1" applyFill="1" applyBorder="1" applyAlignment="1">
      <alignment horizontal="center" vertical="top"/>
    </xf>
    <xf numFmtId="165" fontId="5" fillId="7" borderId="26" xfId="0" applyNumberFormat="1" applyFont="1" applyFill="1" applyBorder="1" applyAlignment="1">
      <alignment horizontal="center" vertical="center" textRotation="90" wrapText="1"/>
    </xf>
    <xf numFmtId="3" fontId="1" fillId="7" borderId="19" xfId="0" applyNumberFormat="1" applyFont="1" applyFill="1" applyBorder="1" applyAlignment="1">
      <alignment horizontal="center" vertical="top" wrapText="1"/>
    </xf>
    <xf numFmtId="3" fontId="1" fillId="7" borderId="27" xfId="0" applyNumberFormat="1" applyFont="1" applyFill="1" applyBorder="1" applyAlignment="1">
      <alignment horizontal="center" vertical="top" wrapText="1"/>
    </xf>
    <xf numFmtId="165" fontId="2" fillId="7" borderId="10" xfId="0" applyNumberFormat="1" applyFont="1" applyFill="1" applyBorder="1" applyAlignment="1">
      <alignment horizontal="center" vertical="top" wrapText="1"/>
    </xf>
    <xf numFmtId="49" fontId="2" fillId="7" borderId="10" xfId="0" applyNumberFormat="1" applyFont="1" applyFill="1" applyBorder="1" applyAlignment="1">
      <alignment horizontal="center" vertical="top"/>
    </xf>
    <xf numFmtId="165" fontId="2" fillId="7" borderId="19" xfId="0" applyNumberFormat="1" applyFont="1" applyFill="1" applyBorder="1" applyAlignment="1">
      <alignment horizontal="center" vertical="top" wrapText="1"/>
    </xf>
    <xf numFmtId="165" fontId="2" fillId="7" borderId="27" xfId="0" applyNumberFormat="1" applyFont="1" applyFill="1" applyBorder="1" applyAlignment="1">
      <alignment horizontal="center" vertical="top" wrapText="1"/>
    </xf>
    <xf numFmtId="165" fontId="2" fillId="2" borderId="47" xfId="0" applyNumberFormat="1" applyFont="1" applyFill="1" applyBorder="1" applyAlignment="1">
      <alignment horizontal="center" vertical="top"/>
    </xf>
    <xf numFmtId="165" fontId="2" fillId="9" borderId="33" xfId="0" applyNumberFormat="1" applyFont="1" applyFill="1" applyBorder="1" applyAlignment="1">
      <alignment horizontal="center" vertical="top"/>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165" fontId="1" fillId="7" borderId="48" xfId="0" applyNumberFormat="1" applyFont="1" applyFill="1" applyBorder="1" applyAlignment="1">
      <alignment vertical="top" wrapText="1"/>
    </xf>
    <xf numFmtId="49" fontId="2" fillId="7" borderId="27" xfId="0" applyNumberFormat="1" applyFont="1" applyFill="1" applyBorder="1" applyAlignment="1">
      <alignment horizontal="center" vertical="top"/>
    </xf>
    <xf numFmtId="165" fontId="1" fillId="7" borderId="19" xfId="0" applyNumberFormat="1" applyFont="1" applyFill="1" applyBorder="1" applyAlignment="1">
      <alignment horizontal="left" vertical="top" wrapText="1"/>
    </xf>
    <xf numFmtId="165" fontId="2" fillId="7" borderId="19" xfId="0" applyNumberFormat="1" applyFont="1" applyFill="1" applyBorder="1" applyAlignment="1">
      <alignment horizontal="center" vertical="top" wrapText="1"/>
    </xf>
    <xf numFmtId="165" fontId="2" fillId="7" borderId="10" xfId="0" applyNumberFormat="1" applyFont="1" applyFill="1" applyBorder="1" applyAlignment="1">
      <alignment horizontal="center" vertical="top" wrapText="1"/>
    </xf>
    <xf numFmtId="165" fontId="1" fillId="7" borderId="10" xfId="0" applyNumberFormat="1" applyFont="1" applyFill="1" applyBorder="1" applyAlignment="1">
      <alignment horizontal="left" vertical="top" wrapText="1"/>
    </xf>
    <xf numFmtId="165" fontId="1" fillId="7" borderId="27" xfId="0" applyNumberFormat="1" applyFont="1" applyFill="1" applyBorder="1" applyAlignment="1">
      <alignment horizontal="left" vertical="top" wrapText="1"/>
    </xf>
    <xf numFmtId="165" fontId="1" fillId="7" borderId="35" xfId="0" applyNumberFormat="1" applyFont="1" applyFill="1" applyBorder="1" applyAlignment="1">
      <alignment vertical="top" wrapText="1"/>
    </xf>
    <xf numFmtId="3" fontId="1" fillId="7" borderId="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165" fontId="1" fillId="7" borderId="6" xfId="0" applyNumberFormat="1" applyFont="1" applyFill="1" applyBorder="1" applyAlignment="1">
      <alignment vertical="top" wrapText="1"/>
    </xf>
    <xf numFmtId="165" fontId="2" fillId="7" borderId="27" xfId="0" applyNumberFormat="1" applyFont="1" applyFill="1" applyBorder="1" applyAlignment="1">
      <alignment horizontal="center" vertical="top" wrapText="1"/>
    </xf>
    <xf numFmtId="165" fontId="6" fillId="7" borderId="10" xfId="0" applyNumberFormat="1" applyFont="1" applyFill="1" applyBorder="1" applyAlignment="1">
      <alignment horizontal="center" vertical="center" textRotation="90" wrapText="1"/>
    </xf>
    <xf numFmtId="3" fontId="1" fillId="7" borderId="19" xfId="0" applyNumberFormat="1" applyFont="1" applyFill="1" applyBorder="1" applyAlignment="1">
      <alignment horizontal="center" vertical="top" wrapText="1"/>
    </xf>
    <xf numFmtId="3" fontId="1" fillId="7" borderId="27" xfId="0" applyNumberFormat="1" applyFont="1" applyFill="1" applyBorder="1" applyAlignment="1">
      <alignment horizontal="center" vertical="top" wrapText="1"/>
    </xf>
    <xf numFmtId="3" fontId="1" fillId="7" borderId="17" xfId="0" applyNumberFormat="1" applyFont="1" applyFill="1" applyBorder="1" applyAlignment="1">
      <alignment horizontal="center" vertical="top"/>
    </xf>
    <xf numFmtId="165" fontId="1" fillId="7" borderId="33" xfId="0" applyNumberFormat="1" applyFont="1" applyFill="1" applyBorder="1" applyAlignment="1">
      <alignment vertical="top" wrapText="1"/>
    </xf>
    <xf numFmtId="3" fontId="1" fillId="7" borderId="10" xfId="0" applyNumberFormat="1" applyFont="1" applyFill="1" applyBorder="1" applyAlignment="1">
      <alignment horizontal="center" vertical="top"/>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165" fontId="1" fillId="7" borderId="17" xfId="0" applyNumberFormat="1" applyFont="1" applyFill="1" applyBorder="1" applyAlignment="1">
      <alignment horizontal="center" vertical="top" wrapText="1"/>
    </xf>
    <xf numFmtId="165" fontId="13" fillId="7" borderId="17" xfId="0" applyNumberFormat="1" applyFont="1" applyFill="1" applyBorder="1" applyAlignment="1">
      <alignment horizontal="center" vertical="center" wrapText="1"/>
    </xf>
    <xf numFmtId="165" fontId="6" fillId="7" borderId="17" xfId="0" applyNumberFormat="1" applyFont="1" applyFill="1" applyBorder="1" applyAlignment="1">
      <alignment horizontal="center" vertical="top" wrapText="1"/>
    </xf>
    <xf numFmtId="0" fontId="2" fillId="7" borderId="0" xfId="0" applyFont="1" applyFill="1" applyBorder="1" applyAlignment="1">
      <alignment vertical="top"/>
    </xf>
    <xf numFmtId="0" fontId="1" fillId="0" borderId="72" xfId="0" applyFont="1" applyBorder="1" applyAlignment="1">
      <alignment horizontal="center" vertical="center"/>
    </xf>
    <xf numFmtId="0" fontId="1" fillId="0" borderId="72" xfId="0" applyFont="1" applyBorder="1" applyAlignment="1">
      <alignment horizontal="center" vertical="top"/>
    </xf>
    <xf numFmtId="165" fontId="1" fillId="0" borderId="72" xfId="0" applyNumberFormat="1" applyFont="1" applyBorder="1" applyAlignment="1">
      <alignment vertical="top"/>
    </xf>
    <xf numFmtId="165" fontId="2" fillId="9" borderId="6" xfId="0" applyNumberFormat="1" applyFont="1" applyFill="1" applyBorder="1" applyAlignment="1">
      <alignment horizontal="center" vertical="top"/>
    </xf>
    <xf numFmtId="165" fontId="2" fillId="7" borderId="10" xfId="0" applyNumberFormat="1" applyFont="1" applyFill="1" applyBorder="1" applyAlignment="1">
      <alignment horizontal="center" vertical="top"/>
    </xf>
    <xf numFmtId="165" fontId="2" fillId="7" borderId="10" xfId="0" applyNumberFormat="1" applyFont="1" applyFill="1" applyBorder="1" applyAlignment="1">
      <alignment horizontal="center" vertical="top" wrapText="1"/>
    </xf>
    <xf numFmtId="165" fontId="1" fillId="7" borderId="6" xfId="0" applyNumberFormat="1" applyFont="1" applyFill="1" applyBorder="1" applyAlignment="1">
      <alignment horizontal="left" vertical="top" wrapText="1"/>
    </xf>
    <xf numFmtId="49" fontId="2" fillId="7" borderId="10"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165" fontId="1" fillId="7" borderId="96" xfId="0" applyNumberFormat="1" applyFont="1" applyFill="1" applyBorder="1" applyAlignment="1">
      <alignment horizontal="left" vertical="top" wrapText="1"/>
    </xf>
    <xf numFmtId="0" fontId="6" fillId="7" borderId="76" xfId="0" applyFont="1" applyFill="1" applyBorder="1" applyAlignment="1">
      <alignment vertical="top" wrapText="1"/>
    </xf>
    <xf numFmtId="165" fontId="1" fillId="7" borderId="47" xfId="0" applyNumberFormat="1" applyFont="1" applyFill="1" applyBorder="1" applyAlignment="1">
      <alignment horizontal="left" vertical="top" wrapText="1"/>
    </xf>
    <xf numFmtId="165" fontId="2" fillId="2" borderId="47" xfId="0" applyNumberFormat="1" applyFont="1" applyFill="1" applyBorder="1" applyAlignment="1">
      <alignment horizontal="center" vertical="top"/>
    </xf>
    <xf numFmtId="3" fontId="1" fillId="7" borderId="10" xfId="0" applyNumberFormat="1" applyFont="1" applyFill="1" applyBorder="1" applyAlignment="1">
      <alignment horizontal="center" vertical="top" wrapText="1"/>
    </xf>
    <xf numFmtId="0" fontId="1" fillId="7" borderId="28" xfId="0" applyFont="1" applyFill="1" applyBorder="1" applyAlignment="1">
      <alignment horizontal="left" vertical="top" wrapText="1"/>
    </xf>
    <xf numFmtId="3" fontId="1" fillId="7" borderId="17"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165" fontId="2" fillId="8" borderId="10" xfId="0" applyNumberFormat="1" applyFont="1" applyFill="1" applyBorder="1" applyAlignment="1">
      <alignment horizontal="center" vertical="top"/>
    </xf>
    <xf numFmtId="3" fontId="1" fillId="7" borderId="27" xfId="0" applyNumberFormat="1" applyFont="1" applyFill="1" applyBorder="1" applyAlignment="1">
      <alignment vertical="top" wrapText="1"/>
    </xf>
    <xf numFmtId="3" fontId="1" fillId="7" borderId="85" xfId="0" applyNumberFormat="1" applyFont="1" applyFill="1" applyBorder="1" applyAlignment="1">
      <alignment horizontal="center" vertical="top" wrapText="1"/>
    </xf>
    <xf numFmtId="3" fontId="1" fillId="7" borderId="84" xfId="0" applyNumberFormat="1" applyFont="1" applyFill="1" applyBorder="1" applyAlignment="1">
      <alignment vertical="top" wrapText="1"/>
    </xf>
    <xf numFmtId="3" fontId="1" fillId="7" borderId="92" xfId="0" applyNumberFormat="1" applyFont="1" applyFill="1" applyBorder="1" applyAlignment="1">
      <alignment horizontal="center" vertical="top" wrapText="1"/>
    </xf>
    <xf numFmtId="3" fontId="1" fillId="3" borderId="75" xfId="0" applyNumberFormat="1" applyFont="1" applyFill="1" applyBorder="1" applyAlignment="1">
      <alignment horizontal="center" vertical="top" wrapText="1"/>
    </xf>
    <xf numFmtId="3" fontId="1" fillId="7" borderId="103" xfId="0" applyNumberFormat="1" applyFont="1" applyFill="1" applyBorder="1" applyAlignment="1">
      <alignment horizontal="center" vertical="top" wrapText="1"/>
    </xf>
    <xf numFmtId="165" fontId="11" fillId="7" borderId="88" xfId="0" applyNumberFormat="1" applyFont="1" applyFill="1" applyBorder="1" applyAlignment="1">
      <alignment horizontal="left" vertical="top" wrapText="1"/>
    </xf>
    <xf numFmtId="49" fontId="11" fillId="7" borderId="99" xfId="0" applyNumberFormat="1" applyFont="1" applyFill="1" applyBorder="1" applyAlignment="1">
      <alignment horizontal="center" vertical="top"/>
    </xf>
    <xf numFmtId="49" fontId="38" fillId="7" borderId="91" xfId="0" applyNumberFormat="1" applyFont="1" applyFill="1" applyBorder="1" applyAlignment="1">
      <alignment horizontal="center" vertical="top"/>
    </xf>
    <xf numFmtId="49" fontId="11" fillId="0" borderId="91" xfId="0" applyNumberFormat="1" applyFont="1" applyFill="1" applyBorder="1" applyAlignment="1">
      <alignment horizontal="center" vertical="top"/>
    </xf>
    <xf numFmtId="165" fontId="1" fillId="7" borderId="43" xfId="0" applyNumberFormat="1" applyFont="1" applyFill="1" applyBorder="1" applyAlignment="1">
      <alignment vertical="top"/>
    </xf>
    <xf numFmtId="165" fontId="1" fillId="7" borderId="82" xfId="0" applyNumberFormat="1" applyFont="1" applyFill="1" applyBorder="1" applyAlignment="1">
      <alignment vertical="top"/>
    </xf>
    <xf numFmtId="49" fontId="1" fillId="0" borderId="78" xfId="0" applyNumberFormat="1" applyFont="1" applyFill="1" applyBorder="1" applyAlignment="1">
      <alignment horizontal="center" vertical="top"/>
    </xf>
    <xf numFmtId="165" fontId="1" fillId="0" borderId="65" xfId="0" applyNumberFormat="1" applyFont="1" applyBorder="1" applyAlignment="1">
      <alignment vertical="top"/>
    </xf>
    <xf numFmtId="165" fontId="1" fillId="7" borderId="74" xfId="0" applyNumberFormat="1" applyFont="1" applyFill="1" applyBorder="1" applyAlignment="1">
      <alignment vertical="top"/>
    </xf>
    <xf numFmtId="49" fontId="11" fillId="0" borderId="78" xfId="0" applyNumberFormat="1" applyFont="1" applyFill="1" applyBorder="1" applyAlignment="1">
      <alignment horizontal="center" vertical="top"/>
    </xf>
    <xf numFmtId="165" fontId="1" fillId="0" borderId="97" xfId="0" applyNumberFormat="1" applyFont="1" applyFill="1" applyBorder="1" applyAlignment="1">
      <alignment horizontal="center" vertical="top"/>
    </xf>
    <xf numFmtId="165" fontId="11" fillId="11" borderId="91" xfId="0" applyNumberFormat="1" applyFont="1" applyFill="1" applyBorder="1" applyAlignment="1">
      <alignment horizontal="left" vertical="top" wrapText="1"/>
    </xf>
    <xf numFmtId="49" fontId="5" fillId="7" borderId="91" xfId="0" applyNumberFormat="1" applyFont="1" applyFill="1" applyBorder="1" applyAlignment="1">
      <alignment horizontal="center" vertical="top"/>
    </xf>
    <xf numFmtId="3" fontId="11" fillId="7" borderId="26" xfId="0" applyNumberFormat="1" applyFont="1" applyFill="1" applyBorder="1" applyAlignment="1">
      <alignment horizontal="center" vertical="top" wrapText="1"/>
    </xf>
    <xf numFmtId="165" fontId="1" fillId="7" borderId="35" xfId="0" applyNumberFormat="1" applyFont="1" applyFill="1" applyBorder="1" applyAlignment="1">
      <alignment horizontal="left" vertical="top" wrapText="1"/>
    </xf>
    <xf numFmtId="165" fontId="1" fillId="7" borderId="6" xfId="0" applyNumberFormat="1" applyFont="1" applyFill="1" applyBorder="1" applyAlignment="1">
      <alignment horizontal="left" vertical="top" wrapText="1"/>
    </xf>
    <xf numFmtId="3" fontId="1" fillId="7" borderId="2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3" fontId="1" fillId="7" borderId="45" xfId="0" applyNumberFormat="1" applyFont="1" applyFill="1" applyBorder="1" applyAlignment="1">
      <alignment horizontal="center" vertical="top"/>
    </xf>
    <xf numFmtId="3" fontId="1" fillId="0" borderId="19" xfId="0" applyNumberFormat="1" applyFont="1" applyFill="1" applyBorder="1" applyAlignment="1">
      <alignment horizontal="center" vertical="top"/>
    </xf>
    <xf numFmtId="3" fontId="1" fillId="7" borderId="75" xfId="0" applyNumberFormat="1" applyFont="1" applyFill="1" applyBorder="1" applyAlignment="1">
      <alignment horizontal="center" vertical="top" wrapText="1"/>
    </xf>
    <xf numFmtId="165" fontId="1" fillId="11" borderId="6" xfId="0" applyNumberFormat="1" applyFont="1" applyFill="1" applyBorder="1" applyAlignment="1">
      <alignment horizontal="left" vertical="top" wrapText="1"/>
    </xf>
    <xf numFmtId="3" fontId="11" fillId="11" borderId="10" xfId="0" applyNumberFormat="1" applyFont="1" applyFill="1" applyBorder="1" applyAlignment="1">
      <alignment horizontal="center" vertical="top"/>
    </xf>
    <xf numFmtId="3" fontId="1" fillId="11" borderId="10" xfId="0" applyNumberFormat="1" applyFont="1" applyFill="1" applyBorder="1" applyAlignment="1">
      <alignment horizontal="center" vertical="top"/>
    </xf>
    <xf numFmtId="0" fontId="1" fillId="7" borderId="19" xfId="0" applyFont="1" applyFill="1" applyBorder="1" applyAlignment="1">
      <alignment horizontal="center" vertical="top"/>
    </xf>
    <xf numFmtId="0" fontId="1" fillId="7" borderId="45" xfId="0" applyFont="1" applyFill="1" applyBorder="1" applyAlignment="1">
      <alignment horizontal="center" vertical="top"/>
    </xf>
    <xf numFmtId="165" fontId="1" fillId="7" borderId="19" xfId="0" applyNumberFormat="1" applyFont="1" applyFill="1" applyBorder="1" applyAlignment="1">
      <alignment vertical="top" wrapText="1"/>
    </xf>
    <xf numFmtId="3" fontId="1" fillId="7" borderId="20" xfId="0" applyNumberFormat="1" applyFont="1" applyFill="1" applyBorder="1" applyAlignment="1">
      <alignment horizontal="center" vertical="top"/>
    </xf>
    <xf numFmtId="165" fontId="1" fillId="7" borderId="48" xfId="0" applyNumberFormat="1" applyFont="1" applyFill="1" applyBorder="1" applyAlignment="1">
      <alignment vertical="top" wrapText="1"/>
    </xf>
    <xf numFmtId="3" fontId="1" fillId="7" borderId="19" xfId="0" applyNumberFormat="1" applyFont="1" applyFill="1" applyBorder="1" applyAlignment="1">
      <alignment horizontal="center" vertical="top"/>
    </xf>
    <xf numFmtId="3" fontId="1" fillId="7" borderId="45" xfId="0" applyNumberFormat="1" applyFont="1" applyFill="1" applyBorder="1" applyAlignment="1">
      <alignment horizontal="center" vertical="top"/>
    </xf>
    <xf numFmtId="165" fontId="6" fillId="7" borderId="27" xfId="0" applyNumberFormat="1" applyFont="1" applyFill="1" applyBorder="1" applyAlignment="1">
      <alignment vertical="top" wrapText="1"/>
    </xf>
    <xf numFmtId="165" fontId="9" fillId="7" borderId="1" xfId="0" applyNumberFormat="1" applyFont="1" applyFill="1" applyBorder="1" applyAlignment="1">
      <alignment horizontal="center" vertical="center" wrapText="1"/>
    </xf>
    <xf numFmtId="165" fontId="1" fillId="7" borderId="64" xfId="0" applyNumberFormat="1" applyFont="1" applyFill="1" applyBorder="1" applyAlignment="1">
      <alignment horizontal="left" vertical="top" wrapText="1"/>
    </xf>
    <xf numFmtId="0" fontId="0" fillId="0" borderId="59" xfId="0" applyBorder="1" applyAlignment="1">
      <alignment horizontal="left" vertical="top" wrapText="1"/>
    </xf>
    <xf numFmtId="0" fontId="0" fillId="0" borderId="41" xfId="0" applyBorder="1" applyAlignment="1">
      <alignment horizontal="left" vertical="top" wrapText="1"/>
    </xf>
    <xf numFmtId="3" fontId="14" fillId="0" borderId="0" xfId="0" applyNumberFormat="1" applyFont="1" applyAlignment="1">
      <alignment horizontal="center" vertical="top" wrapText="1"/>
    </xf>
    <xf numFmtId="0" fontId="15" fillId="0" borderId="0" xfId="0" applyFont="1" applyBorder="1" applyAlignment="1">
      <alignment horizontal="center" vertical="top" wrapText="1"/>
    </xf>
    <xf numFmtId="0" fontId="14" fillId="0" borderId="0" xfId="0" applyFont="1" applyBorder="1" applyAlignment="1">
      <alignment horizontal="center" vertical="top"/>
    </xf>
    <xf numFmtId="0" fontId="1" fillId="0" borderId="31" xfId="0" applyFont="1" applyBorder="1" applyAlignment="1">
      <alignment horizontal="right" vertical="top"/>
    </xf>
    <xf numFmtId="0" fontId="0" fillId="0" borderId="31" xfId="0" applyFont="1" applyBorder="1" applyAlignment="1">
      <alignment vertical="top"/>
    </xf>
    <xf numFmtId="3" fontId="1" fillId="0" borderId="4" xfId="0" applyNumberFormat="1" applyFont="1" applyBorder="1" applyAlignment="1">
      <alignment horizontal="center" vertical="center" textRotation="90" shrinkToFit="1"/>
    </xf>
    <xf numFmtId="3" fontId="1" fillId="0" borderId="6" xfId="0" applyNumberFormat="1" applyFont="1" applyBorder="1" applyAlignment="1">
      <alignment horizontal="center" vertical="center" textRotation="90" shrinkToFit="1"/>
    </xf>
    <xf numFmtId="3" fontId="1" fillId="0" borderId="8" xfId="0" applyNumberFormat="1" applyFont="1" applyBorder="1" applyAlignment="1">
      <alignment horizontal="center" vertical="center" textRotation="90" shrinkToFit="1"/>
    </xf>
    <xf numFmtId="3" fontId="1" fillId="0" borderId="24" xfId="0" applyNumberFormat="1" applyFont="1" applyBorder="1" applyAlignment="1">
      <alignment horizontal="center" vertical="center" textRotation="90" shrinkToFit="1"/>
    </xf>
    <xf numFmtId="3" fontId="1" fillId="0" borderId="10" xfId="0" applyNumberFormat="1" applyFont="1" applyBorder="1" applyAlignment="1">
      <alignment horizontal="center" vertical="center" textRotation="90" shrinkToFit="1"/>
    </xf>
    <xf numFmtId="3" fontId="1" fillId="0" borderId="29" xfId="0" applyNumberFormat="1" applyFont="1" applyBorder="1" applyAlignment="1">
      <alignment horizontal="center" vertical="center" textRotation="90" shrinkToFit="1"/>
    </xf>
    <xf numFmtId="3" fontId="1" fillId="0" borderId="40" xfId="0" applyNumberFormat="1" applyFont="1" applyBorder="1" applyAlignment="1">
      <alignment horizontal="center" vertical="center" shrinkToFit="1"/>
    </xf>
    <xf numFmtId="3" fontId="1" fillId="0" borderId="47" xfId="0" applyNumberFormat="1" applyFont="1" applyBorder="1" applyAlignment="1">
      <alignment horizontal="center" vertical="center" shrinkToFit="1"/>
    </xf>
    <xf numFmtId="3" fontId="1" fillId="0" borderId="54" xfId="0" applyNumberFormat="1" applyFont="1" applyBorder="1" applyAlignment="1">
      <alignment horizontal="center" vertical="center" shrinkToFit="1"/>
    </xf>
    <xf numFmtId="0" fontId="2" fillId="9" borderId="36" xfId="0" applyFont="1" applyFill="1" applyBorder="1" applyAlignment="1">
      <alignment horizontal="left" vertical="top"/>
    </xf>
    <xf numFmtId="0" fontId="2" fillId="9" borderId="59" xfId="0" applyFont="1" applyFill="1" applyBorder="1" applyAlignment="1">
      <alignment horizontal="left" vertical="top"/>
    </xf>
    <xf numFmtId="0" fontId="2" fillId="9" borderId="41" xfId="0" applyFont="1" applyFill="1" applyBorder="1" applyAlignment="1">
      <alignment horizontal="left" vertical="top"/>
    </xf>
    <xf numFmtId="0" fontId="2" fillId="2" borderId="36" xfId="0" applyFont="1" applyFill="1" applyBorder="1" applyAlignment="1">
      <alignment horizontal="left" vertical="top" wrapText="1"/>
    </xf>
    <xf numFmtId="0" fontId="2" fillId="2" borderId="59"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7" borderId="19" xfId="0" applyFont="1" applyFill="1" applyBorder="1" applyAlignment="1">
      <alignment vertical="top" wrapText="1"/>
    </xf>
    <xf numFmtId="0" fontId="0" fillId="7" borderId="10" xfId="0" applyFill="1" applyBorder="1" applyAlignment="1">
      <alignment vertical="top" wrapText="1"/>
    </xf>
    <xf numFmtId="165" fontId="1" fillId="7" borderId="45" xfId="0" applyNumberFormat="1" applyFont="1" applyFill="1" applyBorder="1" applyAlignment="1">
      <alignment horizontal="left" vertical="top" wrapText="1"/>
    </xf>
    <xf numFmtId="165" fontId="1" fillId="7" borderId="47" xfId="0" applyNumberFormat="1" applyFont="1" applyFill="1" applyBorder="1" applyAlignment="1">
      <alignment horizontal="left" vertical="top" wrapText="1"/>
    </xf>
    <xf numFmtId="165" fontId="2" fillId="7" borderId="45" xfId="0" applyNumberFormat="1" applyFont="1" applyFill="1" applyBorder="1" applyAlignment="1">
      <alignment horizontal="center" vertical="top" wrapText="1"/>
    </xf>
    <xf numFmtId="0" fontId="6" fillId="7" borderId="47" xfId="0" applyFont="1" applyFill="1" applyBorder="1" applyAlignment="1">
      <alignment horizontal="center" vertical="top" wrapText="1"/>
    </xf>
    <xf numFmtId="165" fontId="1" fillId="7" borderId="79" xfId="0" applyNumberFormat="1" applyFont="1" applyFill="1" applyBorder="1" applyAlignment="1">
      <alignment vertical="top" wrapText="1"/>
    </xf>
    <xf numFmtId="0" fontId="1" fillId="7" borderId="96" xfId="0" applyFont="1" applyFill="1" applyBorder="1" applyAlignment="1">
      <alignment vertical="top" wrapText="1"/>
    </xf>
    <xf numFmtId="0" fontId="1" fillId="0" borderId="3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3" xfId="0" applyFont="1" applyBorder="1" applyAlignment="1">
      <alignment horizontal="center" vertical="center" textRotation="90" wrapText="1"/>
    </xf>
    <xf numFmtId="0" fontId="2" fillId="0" borderId="65" xfId="0" applyFont="1" applyBorder="1" applyAlignment="1">
      <alignment horizontal="center" vertical="center"/>
    </xf>
    <xf numFmtId="0" fontId="2" fillId="0" borderId="70" xfId="0" applyFont="1" applyBorder="1" applyAlignment="1">
      <alignment horizontal="center" vertical="center"/>
    </xf>
    <xf numFmtId="0" fontId="2" fillId="0" borderId="66" xfId="0" applyFont="1" applyBorder="1" applyAlignment="1">
      <alignment horizontal="center" vertical="center"/>
    </xf>
    <xf numFmtId="0" fontId="1" fillId="0" borderId="3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9" xfId="0" applyFont="1" applyBorder="1" applyAlignment="1">
      <alignment horizontal="center" vertical="center"/>
    </xf>
    <xf numFmtId="0" fontId="1" fillId="0" borderId="41" xfId="0" applyFont="1" applyBorder="1" applyAlignment="1">
      <alignment horizontal="center" vertical="center"/>
    </xf>
    <xf numFmtId="49" fontId="4" fillId="6" borderId="65" xfId="0" applyNumberFormat="1" applyFont="1" applyFill="1" applyBorder="1" applyAlignment="1">
      <alignment horizontal="left" vertical="top" wrapText="1"/>
    </xf>
    <xf numFmtId="49" fontId="4" fillId="6" borderId="70" xfId="0" applyNumberFormat="1" applyFont="1" applyFill="1" applyBorder="1" applyAlignment="1">
      <alignment horizontal="left" vertical="top" wrapText="1"/>
    </xf>
    <xf numFmtId="49" fontId="4" fillId="6" borderId="66" xfId="0" applyNumberFormat="1" applyFont="1" applyFill="1" applyBorder="1" applyAlignment="1">
      <alignment horizontal="left" vertical="top" wrapText="1"/>
    </xf>
    <xf numFmtId="0" fontId="4" fillId="5" borderId="64" xfId="0" applyFont="1" applyFill="1" applyBorder="1" applyAlignment="1">
      <alignment horizontal="left" vertical="top" wrapText="1"/>
    </xf>
    <xf numFmtId="0" fontId="4" fillId="5" borderId="59" xfId="0" applyFont="1" applyFill="1" applyBorder="1" applyAlignment="1">
      <alignment horizontal="left" vertical="top" wrapText="1"/>
    </xf>
    <xf numFmtId="0" fontId="4" fillId="5" borderId="41" xfId="0" applyFont="1" applyFill="1" applyBorder="1" applyAlignment="1">
      <alignment horizontal="left" vertical="top" wrapText="1"/>
    </xf>
    <xf numFmtId="3" fontId="1" fillId="0" borderId="40" xfId="0" applyNumberFormat="1" applyFont="1" applyBorder="1" applyAlignment="1">
      <alignment horizontal="center" vertical="center" textRotation="90" shrinkToFit="1"/>
    </xf>
    <xf numFmtId="3" fontId="1" fillId="0" borderId="47" xfId="0" applyNumberFormat="1" applyFont="1" applyBorder="1" applyAlignment="1">
      <alignment horizontal="center" vertical="center" textRotation="90" shrinkToFit="1"/>
    </xf>
    <xf numFmtId="3" fontId="1" fillId="0" borderId="54" xfId="0" applyNumberFormat="1" applyFont="1" applyBorder="1" applyAlignment="1">
      <alignment horizontal="center" vertical="center" textRotation="90" shrinkToFit="1"/>
    </xf>
    <xf numFmtId="3" fontId="1" fillId="0" borderId="38" xfId="0" applyNumberFormat="1" applyFont="1" applyBorder="1" applyAlignment="1">
      <alignment horizontal="center" vertical="center" textRotation="90" wrapText="1" shrinkToFit="1"/>
    </xf>
    <xf numFmtId="3" fontId="1" fillId="0" borderId="5" xfId="0" applyNumberFormat="1" applyFont="1" applyBorder="1" applyAlignment="1">
      <alignment horizontal="center" vertical="center" textRotation="90" wrapText="1" shrinkToFit="1"/>
    </xf>
    <xf numFmtId="3" fontId="1" fillId="0" borderId="63" xfId="0" applyNumberFormat="1" applyFont="1" applyBorder="1" applyAlignment="1">
      <alignment horizontal="center" vertical="center" textRotation="90" wrapText="1" shrinkToFit="1"/>
    </xf>
    <xf numFmtId="165" fontId="2" fillId="9" borderId="6" xfId="0" applyNumberFormat="1" applyFont="1" applyFill="1" applyBorder="1" applyAlignment="1">
      <alignment horizontal="center" vertical="top"/>
    </xf>
    <xf numFmtId="165" fontId="2" fillId="2" borderId="47" xfId="0" applyNumberFormat="1" applyFont="1" applyFill="1" applyBorder="1" applyAlignment="1">
      <alignment horizontal="center" vertical="top"/>
    </xf>
    <xf numFmtId="165" fontId="2" fillId="7" borderId="10" xfId="0" applyNumberFormat="1" applyFont="1" applyFill="1" applyBorder="1" applyAlignment="1">
      <alignment horizontal="center" vertical="top"/>
    </xf>
    <xf numFmtId="0" fontId="1" fillId="7" borderId="35" xfId="0" applyFont="1" applyFill="1" applyBorder="1" applyAlignment="1">
      <alignment horizontal="left" vertical="top" wrapText="1"/>
    </xf>
    <xf numFmtId="0" fontId="6" fillId="7" borderId="76" xfId="0" applyFont="1" applyFill="1" applyBorder="1" applyAlignment="1">
      <alignment horizontal="left" vertical="top" wrapText="1"/>
    </xf>
    <xf numFmtId="165" fontId="5" fillId="7" borderId="0" xfId="0" applyNumberFormat="1" applyFont="1" applyFill="1" applyBorder="1" applyAlignment="1">
      <alignment horizontal="center" vertical="center" textRotation="90" wrapText="1"/>
    </xf>
    <xf numFmtId="165" fontId="5" fillId="7" borderId="72" xfId="0" applyNumberFormat="1" applyFont="1" applyFill="1" applyBorder="1" applyAlignment="1">
      <alignment horizontal="center" vertical="center" textRotation="90" wrapText="1"/>
    </xf>
    <xf numFmtId="49" fontId="1" fillId="7" borderId="19" xfId="0" applyNumberFormat="1" applyFont="1" applyFill="1" applyBorder="1" applyAlignment="1">
      <alignment horizontal="center" vertical="center" textRotation="90" wrapText="1"/>
    </xf>
    <xf numFmtId="0" fontId="6" fillId="7" borderId="10" xfId="0" applyFont="1" applyFill="1" applyBorder="1" applyAlignment="1">
      <alignment horizontal="center" vertical="center" textRotation="90" wrapText="1"/>
    </xf>
    <xf numFmtId="0" fontId="6" fillId="7" borderId="27" xfId="0" applyFont="1" applyFill="1" applyBorder="1" applyAlignment="1">
      <alignment horizontal="center" vertical="center" textRotation="90" wrapText="1"/>
    </xf>
    <xf numFmtId="165" fontId="1" fillId="7" borderId="19" xfId="0" applyNumberFormat="1" applyFont="1" applyFill="1" applyBorder="1" applyAlignment="1">
      <alignment vertical="top" wrapText="1"/>
    </xf>
    <xf numFmtId="165" fontId="1" fillId="7" borderId="10" xfId="0" applyNumberFormat="1" applyFont="1" applyFill="1" applyBorder="1" applyAlignment="1">
      <alignment vertical="top" wrapText="1"/>
    </xf>
    <xf numFmtId="165" fontId="1" fillId="7" borderId="27" xfId="0" applyNumberFormat="1" applyFont="1" applyFill="1" applyBorder="1" applyAlignment="1">
      <alignment vertical="top" wrapText="1"/>
    </xf>
    <xf numFmtId="165" fontId="9" fillId="7" borderId="17" xfId="0" applyNumberFormat="1" applyFont="1" applyFill="1" applyBorder="1" applyAlignment="1">
      <alignment horizontal="center" vertical="top" wrapText="1"/>
    </xf>
    <xf numFmtId="165" fontId="9" fillId="7" borderId="26" xfId="0" applyNumberFormat="1" applyFont="1" applyFill="1" applyBorder="1" applyAlignment="1">
      <alignment horizontal="center" vertical="top" wrapText="1"/>
    </xf>
    <xf numFmtId="165" fontId="9" fillId="7" borderId="47" xfId="0" applyNumberFormat="1" applyFont="1" applyFill="1" applyBorder="1" applyAlignment="1">
      <alignment horizontal="center" vertical="top" wrapText="1"/>
    </xf>
    <xf numFmtId="165" fontId="9" fillId="7" borderId="34" xfId="0" applyNumberFormat="1" applyFont="1" applyFill="1" applyBorder="1" applyAlignment="1">
      <alignment horizontal="center" vertical="top" wrapText="1"/>
    </xf>
    <xf numFmtId="165" fontId="1" fillId="7" borderId="35" xfId="0" applyNumberFormat="1" applyFont="1" applyFill="1" applyBorder="1" applyAlignment="1">
      <alignment horizontal="left" vertical="top" wrapText="1"/>
    </xf>
    <xf numFmtId="0" fontId="6" fillId="7" borderId="6" xfId="0" applyFont="1" applyFill="1" applyBorder="1" applyAlignment="1">
      <alignment horizontal="left" vertical="top" wrapText="1"/>
    </xf>
    <xf numFmtId="165" fontId="6" fillId="7" borderId="34" xfId="0" applyNumberFormat="1" applyFont="1" applyFill="1" applyBorder="1" applyAlignment="1">
      <alignment horizontal="left" vertical="top" wrapText="1"/>
    </xf>
    <xf numFmtId="165" fontId="1" fillId="7" borderId="6" xfId="0" applyNumberFormat="1" applyFont="1" applyFill="1" applyBorder="1" applyAlignment="1">
      <alignment horizontal="left" vertical="top" wrapText="1"/>
    </xf>
    <xf numFmtId="0" fontId="6" fillId="7" borderId="28" xfId="0" applyFont="1" applyFill="1" applyBorder="1" applyAlignment="1">
      <alignment horizontal="left" vertical="top" wrapText="1"/>
    </xf>
    <xf numFmtId="165" fontId="2" fillId="9" borderId="33" xfId="0" applyNumberFormat="1" applyFont="1" applyFill="1" applyBorder="1" applyAlignment="1">
      <alignment horizontal="center" vertical="top"/>
    </xf>
    <xf numFmtId="165" fontId="2" fillId="2" borderId="10" xfId="0" applyNumberFormat="1" applyFont="1" applyFill="1" applyBorder="1" applyAlignment="1">
      <alignment horizontal="center" vertical="top"/>
    </xf>
    <xf numFmtId="165" fontId="1" fillId="7" borderId="19" xfId="0" applyNumberFormat="1" applyFont="1" applyFill="1" applyBorder="1" applyAlignment="1">
      <alignment horizontal="center" vertical="center" textRotation="90" wrapText="1"/>
    </xf>
    <xf numFmtId="165" fontId="1" fillId="7" borderId="10" xfId="0" applyNumberFormat="1" applyFont="1" applyFill="1" applyBorder="1" applyAlignment="1">
      <alignment horizontal="center" vertical="center" textRotation="90" wrapText="1"/>
    </xf>
    <xf numFmtId="165" fontId="1" fillId="7" borderId="27" xfId="0" applyNumberFormat="1" applyFont="1" applyFill="1" applyBorder="1" applyAlignment="1">
      <alignment horizontal="center" vertical="center" textRotation="90" wrapText="1"/>
    </xf>
    <xf numFmtId="0" fontId="1" fillId="7" borderId="19" xfId="0" applyFont="1" applyFill="1" applyBorder="1" applyAlignment="1">
      <alignment vertical="top" wrapText="1"/>
    </xf>
    <xf numFmtId="0" fontId="6" fillId="7" borderId="10" xfId="0" applyFont="1" applyFill="1" applyBorder="1" applyAlignment="1">
      <alignment vertical="top" wrapText="1"/>
    </xf>
    <xf numFmtId="165" fontId="1" fillId="7" borderId="19" xfId="0" applyNumberFormat="1" applyFont="1" applyFill="1" applyBorder="1" applyAlignment="1">
      <alignment horizontal="left" vertical="top" wrapText="1"/>
    </xf>
    <xf numFmtId="165" fontId="1" fillId="7" borderId="27" xfId="0" applyNumberFormat="1" applyFont="1" applyFill="1" applyBorder="1" applyAlignment="1">
      <alignment horizontal="left" vertical="top" wrapText="1"/>
    </xf>
    <xf numFmtId="0" fontId="0" fillId="7" borderId="28" xfId="0" applyFill="1" applyBorder="1" applyAlignment="1">
      <alignment horizontal="left" vertical="top" wrapText="1"/>
    </xf>
    <xf numFmtId="165" fontId="2" fillId="7" borderId="34" xfId="0" applyNumberFormat="1" applyFont="1" applyFill="1" applyBorder="1" applyAlignment="1">
      <alignment horizontal="center" vertical="top" wrapText="1"/>
    </xf>
    <xf numFmtId="0" fontId="1" fillId="7" borderId="28" xfId="0" applyFont="1" applyFill="1" applyBorder="1" applyAlignment="1">
      <alignment horizontal="left" vertical="top" wrapText="1"/>
    </xf>
    <xf numFmtId="165" fontId="2" fillId="7" borderId="47" xfId="0" applyNumberFormat="1" applyFont="1" applyFill="1" applyBorder="1" applyAlignment="1">
      <alignment horizontal="center" vertical="center" textRotation="90" wrapText="1"/>
    </xf>
    <xf numFmtId="0" fontId="6" fillId="7" borderId="47" xfId="0" applyFont="1" applyFill="1" applyBorder="1" applyAlignment="1">
      <alignment horizontal="center" vertical="center" textRotation="90" wrapText="1"/>
    </xf>
    <xf numFmtId="0" fontId="0" fillId="7" borderId="6" xfId="0" applyFill="1" applyBorder="1" applyAlignment="1">
      <alignment horizontal="left" vertical="top" wrapText="1"/>
    </xf>
    <xf numFmtId="165" fontId="1" fillId="7" borderId="10" xfId="0" applyNumberFormat="1" applyFont="1" applyFill="1" applyBorder="1" applyAlignment="1">
      <alignment horizontal="left" vertical="top" wrapText="1"/>
    </xf>
    <xf numFmtId="0" fontId="6" fillId="7" borderId="27" xfId="0" applyFont="1" applyFill="1" applyBorder="1" applyAlignment="1">
      <alignment horizontal="left" vertical="top" wrapText="1"/>
    </xf>
    <xf numFmtId="0" fontId="1" fillId="0" borderId="0" xfId="0" applyFont="1" applyBorder="1" applyAlignment="1">
      <alignment vertical="top" wrapText="1"/>
    </xf>
    <xf numFmtId="0" fontId="0" fillId="0" borderId="0" xfId="0" applyFont="1" applyBorder="1" applyAlignment="1">
      <alignment vertical="top" wrapText="1"/>
    </xf>
    <xf numFmtId="165" fontId="1" fillId="7" borderId="34" xfId="0" applyNumberFormat="1" applyFont="1" applyFill="1" applyBorder="1" applyAlignment="1">
      <alignment horizontal="left" vertical="top" wrapText="1"/>
    </xf>
    <xf numFmtId="165" fontId="2" fillId="0" borderId="45" xfId="0" applyNumberFormat="1" applyFont="1" applyFill="1" applyBorder="1" applyAlignment="1">
      <alignment horizontal="center" vertical="top" wrapText="1"/>
    </xf>
    <xf numFmtId="165" fontId="2" fillId="0" borderId="47" xfId="0" applyNumberFormat="1" applyFont="1" applyFill="1" applyBorder="1" applyAlignment="1">
      <alignment horizontal="center" vertical="top" wrapText="1"/>
    </xf>
    <xf numFmtId="165" fontId="2" fillId="0" borderId="34" xfId="0" applyNumberFormat="1" applyFont="1" applyFill="1" applyBorder="1" applyAlignment="1">
      <alignment horizontal="center" vertical="top" wrapText="1"/>
    </xf>
    <xf numFmtId="0" fontId="1" fillId="7" borderId="19" xfId="0" applyFont="1" applyFill="1" applyBorder="1" applyAlignment="1">
      <alignment horizontal="left" vertical="top" wrapText="1"/>
    </xf>
    <xf numFmtId="0" fontId="1" fillId="7" borderId="27" xfId="0" applyFont="1" applyFill="1" applyBorder="1" applyAlignment="1">
      <alignment horizontal="left" vertical="top" wrapText="1"/>
    </xf>
    <xf numFmtId="165" fontId="1" fillId="7" borderId="28" xfId="0" applyNumberFormat="1" applyFont="1" applyFill="1" applyBorder="1" applyAlignment="1">
      <alignment horizontal="left" vertical="top" wrapText="1"/>
    </xf>
    <xf numFmtId="49" fontId="1" fillId="7" borderId="10" xfId="0" applyNumberFormat="1" applyFont="1" applyFill="1" applyBorder="1" applyAlignment="1">
      <alignment horizontal="center" vertical="center" textRotation="90"/>
    </xf>
    <xf numFmtId="49" fontId="1" fillId="7" borderId="126" xfId="0" applyNumberFormat="1" applyFont="1" applyFill="1" applyBorder="1" applyAlignment="1">
      <alignment horizontal="center" vertical="center" textRotation="90"/>
    </xf>
    <xf numFmtId="49" fontId="1" fillId="7" borderId="27" xfId="0" applyNumberFormat="1" applyFont="1" applyFill="1" applyBorder="1" applyAlignment="1">
      <alignment horizontal="center" vertical="center" textRotation="90"/>
    </xf>
    <xf numFmtId="0" fontId="6" fillId="7" borderId="27" xfId="0" applyFont="1" applyFill="1" applyBorder="1" applyAlignment="1">
      <alignment vertical="top" wrapText="1"/>
    </xf>
    <xf numFmtId="49" fontId="1" fillId="7" borderId="46" xfId="0" applyNumberFormat="1" applyFont="1" applyFill="1" applyBorder="1" applyAlignment="1">
      <alignment horizontal="left" vertical="top" wrapText="1"/>
    </xf>
    <xf numFmtId="0" fontId="6" fillId="7" borderId="18" xfId="0" applyFont="1" applyFill="1" applyBorder="1" applyAlignment="1">
      <alignment horizontal="left" vertical="top" wrapText="1"/>
    </xf>
    <xf numFmtId="165" fontId="2" fillId="0" borderId="20" xfId="0" applyNumberFormat="1" applyFont="1" applyFill="1" applyBorder="1" applyAlignment="1">
      <alignment horizontal="center" vertical="top" wrapText="1"/>
    </xf>
    <xf numFmtId="165" fontId="2" fillId="0" borderId="26" xfId="0" applyNumberFormat="1" applyFont="1" applyFill="1" applyBorder="1" applyAlignment="1">
      <alignment horizontal="center" vertical="top" wrapText="1"/>
    </xf>
    <xf numFmtId="165" fontId="2" fillId="7" borderId="47" xfId="0" applyNumberFormat="1" applyFont="1" applyFill="1" applyBorder="1" applyAlignment="1">
      <alignment horizontal="center" vertical="top" wrapText="1"/>
    </xf>
    <xf numFmtId="165" fontId="1" fillId="7" borderId="46" xfId="0" applyNumberFormat="1" applyFont="1" applyFill="1" applyBorder="1" applyAlignment="1">
      <alignment horizontal="left" vertical="top" wrapText="1"/>
    </xf>
    <xf numFmtId="165" fontId="6" fillId="7" borderId="28" xfId="0" applyNumberFormat="1" applyFont="1" applyFill="1" applyBorder="1" applyAlignment="1">
      <alignment horizontal="left" vertical="top" wrapText="1"/>
    </xf>
    <xf numFmtId="165" fontId="2" fillId="7" borderId="20" xfId="0" applyNumberFormat="1" applyFont="1" applyFill="1" applyBorder="1" applyAlignment="1">
      <alignment horizontal="center" vertical="top" wrapText="1"/>
    </xf>
    <xf numFmtId="165" fontId="2" fillId="7" borderId="26" xfId="0" applyNumberFormat="1" applyFont="1" applyFill="1" applyBorder="1" applyAlignment="1">
      <alignment horizontal="center" vertical="top" wrapText="1"/>
    </xf>
    <xf numFmtId="165" fontId="1" fillId="7" borderId="47" xfId="0" applyNumberFormat="1" applyFont="1" applyFill="1" applyBorder="1" applyAlignment="1">
      <alignment vertical="top" wrapText="1"/>
    </xf>
    <xf numFmtId="165" fontId="1" fillId="3" borderId="19" xfId="0" applyNumberFormat="1" applyFont="1" applyFill="1" applyBorder="1" applyAlignment="1">
      <alignment vertical="top" wrapText="1"/>
    </xf>
    <xf numFmtId="165" fontId="1" fillId="3" borderId="10" xfId="0" applyNumberFormat="1" applyFont="1" applyFill="1" applyBorder="1" applyAlignment="1">
      <alignment vertical="top" wrapText="1"/>
    </xf>
    <xf numFmtId="0" fontId="6" fillId="0" borderId="27" xfId="0" applyFont="1" applyBorder="1" applyAlignment="1">
      <alignment vertical="top" wrapText="1"/>
    </xf>
    <xf numFmtId="165" fontId="1" fillId="7" borderId="20" xfId="0" applyNumberFormat="1" applyFont="1" applyFill="1" applyBorder="1" applyAlignment="1">
      <alignment horizontal="center" vertical="center" textRotation="90" wrapText="1"/>
    </xf>
    <xf numFmtId="165" fontId="1" fillId="7" borderId="17" xfId="0" applyNumberFormat="1" applyFont="1" applyFill="1" applyBorder="1" applyAlignment="1">
      <alignment horizontal="center" vertical="center" textRotation="90" wrapText="1"/>
    </xf>
    <xf numFmtId="165" fontId="1" fillId="7" borderId="26" xfId="0" applyNumberFormat="1" applyFont="1" applyFill="1" applyBorder="1" applyAlignment="1">
      <alignment horizontal="center" vertical="center" textRotation="90" wrapText="1"/>
    </xf>
    <xf numFmtId="49" fontId="1" fillId="7" borderId="97" xfId="0" applyNumberFormat="1" applyFont="1" applyFill="1" applyBorder="1" applyAlignment="1">
      <alignment vertical="top" wrapText="1"/>
    </xf>
    <xf numFmtId="165" fontId="1" fillId="7" borderId="33" xfId="0" applyNumberFormat="1" applyFont="1" applyFill="1" applyBorder="1" applyAlignment="1">
      <alignment horizontal="left" vertical="top" wrapText="1"/>
    </xf>
    <xf numFmtId="0" fontId="6" fillId="7" borderId="33" xfId="0" applyFont="1" applyFill="1" applyBorder="1" applyAlignment="1">
      <alignment horizontal="left" vertical="top" wrapText="1"/>
    </xf>
    <xf numFmtId="0" fontId="6" fillId="7" borderId="61" xfId="0" applyFont="1" applyFill="1" applyBorder="1" applyAlignment="1">
      <alignment horizontal="left" vertical="top" wrapText="1"/>
    </xf>
    <xf numFmtId="0" fontId="1" fillId="7" borderId="97" xfId="0" applyNumberFormat="1" applyFont="1" applyFill="1" applyBorder="1" applyAlignment="1">
      <alignment horizontal="left" vertical="top" wrapText="1"/>
    </xf>
    <xf numFmtId="0" fontId="0" fillId="7" borderId="27" xfId="0" applyFill="1" applyBorder="1" applyAlignment="1">
      <alignment horizontal="left" vertical="top" wrapText="1"/>
    </xf>
    <xf numFmtId="0" fontId="1" fillId="7" borderId="46" xfId="0" applyFont="1" applyFill="1" applyBorder="1" applyAlignment="1">
      <alignment horizontal="left" vertical="top" wrapText="1"/>
    </xf>
    <xf numFmtId="165" fontId="2" fillId="2" borderId="71" xfId="0" applyNumberFormat="1" applyFont="1" applyFill="1" applyBorder="1" applyAlignment="1">
      <alignment horizontal="right" vertical="top"/>
    </xf>
    <xf numFmtId="165" fontId="2" fillId="2" borderId="67" xfId="0" applyNumberFormat="1" applyFont="1" applyFill="1" applyBorder="1" applyAlignment="1">
      <alignment horizontal="right" vertical="top"/>
    </xf>
    <xf numFmtId="165" fontId="2" fillId="2" borderId="3" xfId="0" applyNumberFormat="1" applyFont="1" applyFill="1" applyBorder="1" applyAlignment="1">
      <alignment horizontal="left" vertical="top"/>
    </xf>
    <xf numFmtId="165" fontId="2" fillId="2" borderId="24" xfId="0" applyNumberFormat="1" applyFont="1" applyFill="1" applyBorder="1" applyAlignment="1">
      <alignment horizontal="left" vertical="top"/>
    </xf>
    <xf numFmtId="165" fontId="2" fillId="2" borderId="71" xfId="0" applyNumberFormat="1" applyFont="1" applyFill="1" applyBorder="1" applyAlignment="1">
      <alignment horizontal="left" vertical="top"/>
    </xf>
    <xf numFmtId="165" fontId="2" fillId="2" borderId="73" xfId="0" applyNumberFormat="1" applyFont="1" applyFill="1" applyBorder="1" applyAlignment="1">
      <alignment horizontal="left" vertical="top"/>
    </xf>
    <xf numFmtId="165" fontId="1" fillId="7" borderId="87" xfId="0" applyNumberFormat="1" applyFont="1" applyFill="1" applyBorder="1" applyAlignment="1">
      <alignment horizontal="left" vertical="top" wrapText="1"/>
    </xf>
    <xf numFmtId="0" fontId="3" fillId="7" borderId="46" xfId="0" applyFont="1" applyFill="1" applyBorder="1" applyAlignment="1">
      <alignment horizontal="center" vertical="center" textRotation="90" wrapText="1"/>
    </xf>
    <xf numFmtId="0" fontId="3" fillId="7" borderId="18" xfId="0" applyFont="1" applyFill="1" applyBorder="1" applyAlignment="1">
      <alignment horizontal="center" vertical="center" textRotation="90" wrapText="1"/>
    </xf>
    <xf numFmtId="0" fontId="0" fillId="7" borderId="76" xfId="0" applyFill="1" applyBorder="1" applyAlignment="1">
      <alignment vertical="top" wrapText="1"/>
    </xf>
    <xf numFmtId="165" fontId="2" fillId="7" borderId="24" xfId="0" applyNumberFormat="1" applyFont="1" applyFill="1" applyBorder="1" applyAlignment="1">
      <alignment horizontal="left" vertical="top" wrapText="1"/>
    </xf>
    <xf numFmtId="165" fontId="2" fillId="7" borderId="10" xfId="0" applyNumberFormat="1" applyFont="1" applyFill="1" applyBorder="1" applyAlignment="1">
      <alignment horizontal="left" vertical="top" wrapText="1"/>
    </xf>
    <xf numFmtId="165" fontId="2" fillId="7" borderId="27" xfId="0" applyNumberFormat="1" applyFont="1" applyFill="1" applyBorder="1" applyAlignment="1">
      <alignment horizontal="left" vertical="top" wrapText="1"/>
    </xf>
    <xf numFmtId="165" fontId="9" fillId="7" borderId="25" xfId="0" applyNumberFormat="1" applyFont="1" applyFill="1" applyBorder="1" applyAlignment="1">
      <alignment horizontal="center" vertical="top" wrapText="1"/>
    </xf>
    <xf numFmtId="165" fontId="1" fillId="7" borderId="97" xfId="0" applyNumberFormat="1" applyFont="1" applyFill="1" applyBorder="1" applyAlignment="1">
      <alignment horizontal="left" vertical="top" wrapText="1"/>
    </xf>
    <xf numFmtId="165" fontId="1" fillId="7" borderId="77" xfId="0" applyNumberFormat="1" applyFont="1" applyFill="1" applyBorder="1" applyAlignment="1">
      <alignment horizontal="left" vertical="top" wrapText="1"/>
    </xf>
    <xf numFmtId="165" fontId="1" fillId="7" borderId="44" xfId="0" applyNumberFormat="1" applyFont="1" applyFill="1" applyBorder="1" applyAlignment="1">
      <alignment horizontal="left" vertical="top" wrapText="1"/>
    </xf>
    <xf numFmtId="165" fontId="1" fillId="7" borderId="18" xfId="0" applyNumberFormat="1" applyFont="1" applyFill="1" applyBorder="1" applyAlignment="1">
      <alignment horizontal="left" vertical="top" wrapText="1"/>
    </xf>
    <xf numFmtId="49" fontId="1" fillId="7" borderId="45" xfId="0" applyNumberFormat="1" applyFont="1" applyFill="1" applyBorder="1" applyAlignment="1">
      <alignment horizontal="center" vertical="top"/>
    </xf>
    <xf numFmtId="49" fontId="1" fillId="7" borderId="34"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165" fontId="2" fillId="7" borderId="19" xfId="0" applyNumberFormat="1" applyFont="1" applyFill="1" applyBorder="1" applyAlignment="1">
      <alignment horizontal="center" vertical="top" wrapText="1"/>
    </xf>
    <xf numFmtId="165" fontId="2" fillId="7" borderId="10" xfId="0" applyNumberFormat="1" applyFont="1" applyFill="1" applyBorder="1" applyAlignment="1">
      <alignment horizontal="center" vertical="top" wrapText="1"/>
    </xf>
    <xf numFmtId="165" fontId="2" fillId="7" borderId="27" xfId="0" applyNumberFormat="1" applyFont="1" applyFill="1" applyBorder="1" applyAlignment="1">
      <alignment horizontal="center" vertical="top" wrapText="1"/>
    </xf>
    <xf numFmtId="165" fontId="1" fillId="7" borderId="45" xfId="0" applyNumberFormat="1" applyFont="1" applyFill="1" applyBorder="1" applyAlignment="1">
      <alignment vertical="top" wrapText="1"/>
    </xf>
    <xf numFmtId="0" fontId="1" fillId="7" borderId="113" xfId="0" applyFont="1" applyFill="1" applyBorder="1" applyAlignment="1">
      <alignment horizontal="left" vertical="top" wrapText="1"/>
    </xf>
    <xf numFmtId="0" fontId="6" fillId="7" borderId="88" xfId="0" applyFont="1" applyFill="1" applyBorder="1" applyAlignment="1">
      <alignment horizontal="left" vertical="top" wrapText="1"/>
    </xf>
    <xf numFmtId="165" fontId="1" fillId="7" borderId="97" xfId="0" applyNumberFormat="1" applyFont="1" applyFill="1" applyBorder="1" applyAlignment="1">
      <alignment vertical="top" wrapText="1"/>
    </xf>
    <xf numFmtId="0" fontId="0" fillId="7" borderId="27" xfId="0" applyFill="1" applyBorder="1" applyAlignment="1">
      <alignment vertical="top" wrapText="1"/>
    </xf>
    <xf numFmtId="0" fontId="0" fillId="7" borderId="18" xfId="0" applyFill="1" applyBorder="1" applyAlignment="1">
      <alignment horizontal="left" vertical="top" wrapText="1"/>
    </xf>
    <xf numFmtId="165" fontId="1" fillId="7" borderId="7" xfId="0" applyNumberFormat="1" applyFont="1" applyFill="1" applyBorder="1" applyAlignment="1">
      <alignment horizontal="center" vertical="top"/>
    </xf>
    <xf numFmtId="165" fontId="1" fillId="7" borderId="22" xfId="0" applyNumberFormat="1" applyFont="1" applyFill="1" applyBorder="1" applyAlignment="1">
      <alignment horizontal="center" vertical="top"/>
    </xf>
    <xf numFmtId="165" fontId="1" fillId="7" borderId="34" xfId="0" applyNumberFormat="1" applyFont="1" applyFill="1" applyBorder="1" applyAlignment="1">
      <alignment vertical="top" wrapText="1"/>
    </xf>
    <xf numFmtId="165" fontId="1" fillId="2" borderId="67" xfId="0" applyNumberFormat="1" applyFont="1" applyFill="1" applyBorder="1" applyAlignment="1">
      <alignment horizontal="center" vertical="top" wrapText="1"/>
    </xf>
    <xf numFmtId="165" fontId="1" fillId="2" borderId="68" xfId="0" applyNumberFormat="1" applyFont="1" applyFill="1" applyBorder="1" applyAlignment="1">
      <alignment horizontal="center" vertical="top" wrapText="1"/>
    </xf>
    <xf numFmtId="165" fontId="2" fillId="2" borderId="67" xfId="0" applyNumberFormat="1" applyFont="1" applyFill="1" applyBorder="1" applyAlignment="1">
      <alignment horizontal="left" vertical="top"/>
    </xf>
    <xf numFmtId="165" fontId="2" fillId="2" borderId="68" xfId="0" applyNumberFormat="1" applyFont="1" applyFill="1" applyBorder="1" applyAlignment="1">
      <alignment horizontal="left" vertical="top"/>
    </xf>
    <xf numFmtId="165" fontId="6" fillId="7" borderId="10" xfId="0" applyNumberFormat="1" applyFont="1" applyFill="1" applyBorder="1" applyAlignment="1">
      <alignment horizontal="center" vertical="center" textRotation="90" wrapText="1"/>
    </xf>
    <xf numFmtId="0" fontId="0" fillId="0" borderId="10" xfId="0" applyBorder="1" applyAlignment="1">
      <alignment horizontal="center" vertical="center" textRotation="90" wrapText="1"/>
    </xf>
    <xf numFmtId="165" fontId="1" fillId="0" borderId="0" xfId="0" applyNumberFormat="1" applyFont="1" applyBorder="1" applyAlignment="1">
      <alignment horizontal="left" vertical="top" wrapText="1"/>
    </xf>
    <xf numFmtId="0" fontId="1" fillId="0" borderId="0" xfId="0" applyFont="1" applyAlignment="1">
      <alignment horizontal="left" vertical="top" wrapText="1"/>
    </xf>
    <xf numFmtId="49" fontId="2" fillId="7" borderId="10" xfId="0" applyNumberFormat="1" applyFont="1" applyFill="1" applyBorder="1" applyAlignment="1">
      <alignment horizontal="center" vertical="top"/>
    </xf>
    <xf numFmtId="165" fontId="3" fillId="0" borderId="19" xfId="0" applyNumberFormat="1" applyFont="1" applyFill="1" applyBorder="1" applyAlignment="1">
      <alignment horizontal="center" vertical="top" wrapText="1"/>
    </xf>
    <xf numFmtId="165" fontId="3" fillId="0" borderId="27" xfId="0" applyNumberFormat="1" applyFont="1" applyFill="1" applyBorder="1" applyAlignment="1">
      <alignment horizontal="center" vertical="top" wrapText="1"/>
    </xf>
    <xf numFmtId="165" fontId="1" fillId="7" borderId="33" xfId="0" applyNumberFormat="1" applyFont="1" applyFill="1" applyBorder="1" applyAlignment="1">
      <alignment vertical="top" wrapText="1"/>
    </xf>
    <xf numFmtId="165" fontId="6" fillId="7" borderId="61" xfId="0" applyNumberFormat="1" applyFont="1" applyFill="1" applyBorder="1" applyAlignment="1">
      <alignment vertical="top" wrapText="1"/>
    </xf>
    <xf numFmtId="0" fontId="1" fillId="7" borderId="35" xfId="0" applyFont="1" applyFill="1" applyBorder="1" applyAlignment="1">
      <alignment vertical="top" wrapText="1"/>
    </xf>
    <xf numFmtId="0" fontId="0" fillId="7" borderId="6" xfId="0" applyFill="1" applyBorder="1" applyAlignment="1">
      <alignment vertical="top" wrapText="1"/>
    </xf>
    <xf numFmtId="0" fontId="1" fillId="7" borderId="10" xfId="0" applyFont="1" applyFill="1" applyBorder="1" applyAlignment="1">
      <alignment vertical="top" wrapText="1"/>
    </xf>
    <xf numFmtId="0" fontId="1" fillId="7" borderId="27" xfId="0" applyFont="1" applyFill="1" applyBorder="1" applyAlignment="1">
      <alignment vertical="top" wrapText="1"/>
    </xf>
    <xf numFmtId="49" fontId="2" fillId="9" borderId="6" xfId="0" applyNumberFormat="1" applyFont="1" applyFill="1" applyBorder="1" applyAlignment="1">
      <alignment horizontal="center" vertical="top"/>
    </xf>
    <xf numFmtId="49" fontId="2" fillId="2" borderId="10" xfId="0" applyNumberFormat="1" applyFont="1" applyFill="1" applyBorder="1" applyAlignment="1">
      <alignment horizontal="center" vertical="top"/>
    </xf>
    <xf numFmtId="165" fontId="2" fillId="7" borderId="24" xfId="0" applyNumberFormat="1" applyFont="1" applyFill="1" applyBorder="1" applyAlignment="1">
      <alignment vertical="top" wrapText="1"/>
    </xf>
    <xf numFmtId="165" fontId="2" fillId="7" borderId="10" xfId="0" applyNumberFormat="1" applyFont="1" applyFill="1" applyBorder="1" applyAlignment="1">
      <alignment vertical="top" wrapText="1"/>
    </xf>
    <xf numFmtId="165" fontId="9" fillId="7" borderId="24" xfId="0" applyNumberFormat="1" applyFont="1" applyFill="1" applyBorder="1" applyAlignment="1">
      <alignment horizontal="center" vertical="top" wrapText="1"/>
    </xf>
    <xf numFmtId="165" fontId="9" fillId="7" borderId="10" xfId="0" applyNumberFormat="1" applyFont="1" applyFill="1" applyBorder="1" applyAlignment="1">
      <alignment horizontal="center" vertical="top" wrapText="1"/>
    </xf>
    <xf numFmtId="0" fontId="6" fillId="7" borderId="34" xfId="0" applyFont="1" applyFill="1" applyBorder="1" applyAlignment="1">
      <alignment vertical="top" wrapText="1"/>
    </xf>
    <xf numFmtId="165" fontId="9" fillId="7" borderId="19" xfId="0" applyNumberFormat="1" applyFont="1" applyFill="1" applyBorder="1" applyAlignment="1">
      <alignment horizontal="center" vertical="center" wrapText="1"/>
    </xf>
    <xf numFmtId="165" fontId="5" fillId="7" borderId="10" xfId="0" applyNumberFormat="1" applyFont="1" applyFill="1" applyBorder="1" applyAlignment="1">
      <alignment horizontal="center" vertical="center" wrapText="1"/>
    </xf>
    <xf numFmtId="0" fontId="34" fillId="7" borderId="27" xfId="0" applyFont="1" applyFill="1" applyBorder="1" applyAlignment="1">
      <alignment horizontal="center" vertical="center" wrapText="1"/>
    </xf>
    <xf numFmtId="165" fontId="1" fillId="7" borderId="61" xfId="0" applyNumberFormat="1" applyFont="1" applyFill="1" applyBorder="1" applyAlignment="1">
      <alignment horizontal="left" vertical="top" wrapText="1"/>
    </xf>
    <xf numFmtId="165" fontId="1" fillId="7" borderId="72" xfId="0" applyNumberFormat="1" applyFont="1" applyFill="1" applyBorder="1" applyAlignment="1">
      <alignment horizontal="left" vertical="top" wrapText="1"/>
    </xf>
    <xf numFmtId="165" fontId="1" fillId="7" borderId="51" xfId="0" applyNumberFormat="1" applyFont="1" applyFill="1" applyBorder="1" applyAlignment="1">
      <alignment horizontal="left" vertical="top" wrapText="1"/>
    </xf>
    <xf numFmtId="165" fontId="2" fillId="2" borderId="68" xfId="0" applyNumberFormat="1" applyFont="1" applyFill="1" applyBorder="1" applyAlignment="1">
      <alignment horizontal="right" vertical="top"/>
    </xf>
    <xf numFmtId="165" fontId="1" fillId="2" borderId="53" xfId="0" applyNumberFormat="1" applyFont="1" applyFill="1" applyBorder="1" applyAlignment="1">
      <alignment horizontal="center" vertical="top" wrapText="1"/>
    </xf>
    <xf numFmtId="165" fontId="2" fillId="9" borderId="71" xfId="0" applyNumberFormat="1" applyFont="1" applyFill="1" applyBorder="1" applyAlignment="1">
      <alignment horizontal="right" vertical="top"/>
    </xf>
    <xf numFmtId="165" fontId="2" fillId="9" borderId="67" xfId="0" applyNumberFormat="1" applyFont="1" applyFill="1" applyBorder="1" applyAlignment="1">
      <alignment horizontal="right" vertical="top"/>
    </xf>
    <xf numFmtId="165" fontId="2" fillId="9" borderId="68" xfId="0" applyNumberFormat="1" applyFont="1" applyFill="1" applyBorder="1" applyAlignment="1">
      <alignment horizontal="right" vertical="top"/>
    </xf>
    <xf numFmtId="165" fontId="1" fillId="9" borderId="67" xfId="0" applyNumberFormat="1" applyFont="1" applyFill="1" applyBorder="1" applyAlignment="1">
      <alignment horizontal="center" vertical="top"/>
    </xf>
    <xf numFmtId="165" fontId="1" fillId="9" borderId="68" xfId="0" applyNumberFormat="1" applyFont="1" applyFill="1" applyBorder="1" applyAlignment="1">
      <alignment horizontal="center" vertical="top"/>
    </xf>
    <xf numFmtId="165" fontId="2" fillId="5" borderId="71" xfId="0" applyNumberFormat="1" applyFont="1" applyFill="1" applyBorder="1" applyAlignment="1">
      <alignment horizontal="right" vertical="top"/>
    </xf>
    <xf numFmtId="165" fontId="2" fillId="5" borderId="67" xfId="0" applyNumberFormat="1" applyFont="1" applyFill="1" applyBorder="1" applyAlignment="1">
      <alignment horizontal="right" vertical="top"/>
    </xf>
    <xf numFmtId="165" fontId="2" fillId="5" borderId="68" xfId="0" applyNumberFormat="1" applyFont="1" applyFill="1" applyBorder="1" applyAlignment="1">
      <alignment horizontal="right" vertical="top"/>
    </xf>
    <xf numFmtId="165" fontId="1" fillId="5" borderId="67" xfId="0" applyNumberFormat="1" applyFont="1" applyFill="1" applyBorder="1" applyAlignment="1">
      <alignment horizontal="center" vertical="top"/>
    </xf>
    <xf numFmtId="165" fontId="1" fillId="5" borderId="68" xfId="0" applyNumberFormat="1" applyFont="1" applyFill="1" applyBorder="1" applyAlignment="1">
      <alignment horizontal="center" vertical="top"/>
    </xf>
    <xf numFmtId="165" fontId="1" fillId="0" borderId="64" xfId="0" applyNumberFormat="1" applyFont="1" applyBorder="1" applyAlignment="1">
      <alignment horizontal="left" vertical="top" wrapText="1"/>
    </xf>
    <xf numFmtId="165" fontId="1" fillId="0" borderId="59" xfId="0" applyNumberFormat="1" applyFont="1" applyBorder="1" applyAlignment="1">
      <alignment horizontal="left" vertical="top" wrapText="1"/>
    </xf>
    <xf numFmtId="165" fontId="1" fillId="0" borderId="41" xfId="0" applyNumberFormat="1" applyFont="1" applyBorder="1" applyAlignment="1">
      <alignment horizontal="left" vertical="top" wrapText="1"/>
    </xf>
    <xf numFmtId="0" fontId="1" fillId="3" borderId="61" xfId="0" applyFont="1" applyFill="1" applyBorder="1" applyAlignment="1">
      <alignment horizontal="left" vertical="top" wrapText="1"/>
    </xf>
    <xf numFmtId="0" fontId="1" fillId="3" borderId="72" xfId="0" applyFont="1" applyFill="1" applyBorder="1" applyAlignment="1">
      <alignment horizontal="left" vertical="top" wrapText="1"/>
    </xf>
    <xf numFmtId="0" fontId="1" fillId="3" borderId="51" xfId="0" applyFont="1" applyFill="1" applyBorder="1" applyAlignment="1">
      <alignment horizontal="left" vertical="top" wrapText="1"/>
    </xf>
    <xf numFmtId="165" fontId="2" fillId="4" borderId="69" xfId="0" applyNumberFormat="1" applyFont="1" applyFill="1" applyBorder="1" applyAlignment="1">
      <alignment horizontal="right" vertical="top" wrapText="1"/>
    </xf>
    <xf numFmtId="165" fontId="2" fillId="4" borderId="31" xfId="0" applyNumberFormat="1" applyFont="1" applyFill="1" applyBorder="1" applyAlignment="1">
      <alignment horizontal="right" vertical="top" wrapText="1"/>
    </xf>
    <xf numFmtId="165" fontId="2" fillId="4" borderId="32" xfId="0" applyNumberFormat="1" applyFont="1" applyFill="1" applyBorder="1" applyAlignment="1">
      <alignment horizontal="right" vertical="top" wrapText="1"/>
    </xf>
    <xf numFmtId="3" fontId="20" fillId="7" borderId="0" xfId="0" applyNumberFormat="1" applyFont="1" applyFill="1" applyAlignment="1">
      <alignment horizontal="left" vertical="top" wrapText="1"/>
    </xf>
    <xf numFmtId="165" fontId="1" fillId="8" borderId="64" xfId="0" applyNumberFormat="1" applyFont="1" applyFill="1" applyBorder="1" applyAlignment="1">
      <alignment horizontal="left" vertical="top" wrapText="1"/>
    </xf>
    <xf numFmtId="165" fontId="2" fillId="8" borderId="59" xfId="0" applyNumberFormat="1" applyFont="1" applyFill="1" applyBorder="1" applyAlignment="1">
      <alignment horizontal="left" vertical="top" wrapText="1"/>
    </xf>
    <xf numFmtId="165" fontId="2" fillId="8" borderId="41" xfId="0" applyNumberFormat="1" applyFont="1" applyFill="1" applyBorder="1" applyAlignment="1">
      <alignment horizontal="left" vertical="top" wrapText="1"/>
    </xf>
    <xf numFmtId="165" fontId="1" fillId="8" borderId="64" xfId="0" applyNumberFormat="1" applyFont="1" applyFill="1" applyBorder="1" applyAlignment="1">
      <alignment vertical="top" wrapText="1"/>
    </xf>
    <xf numFmtId="165" fontId="6" fillId="8" borderId="59" xfId="0" applyNumberFormat="1" applyFont="1" applyFill="1" applyBorder="1" applyAlignment="1">
      <alignment vertical="top" wrapText="1"/>
    </xf>
    <xf numFmtId="165" fontId="6" fillId="8" borderId="41" xfId="0" applyNumberFormat="1" applyFont="1" applyFill="1" applyBorder="1" applyAlignment="1">
      <alignment vertical="top" wrapText="1"/>
    </xf>
    <xf numFmtId="165" fontId="2" fillId="5" borderId="64" xfId="0" applyNumberFormat="1" applyFont="1" applyFill="1" applyBorder="1" applyAlignment="1">
      <alignment horizontal="right" vertical="top" wrapText="1"/>
    </xf>
    <xf numFmtId="165" fontId="2" fillId="5" borderId="59" xfId="0" applyNumberFormat="1" applyFont="1" applyFill="1" applyBorder="1" applyAlignment="1">
      <alignment horizontal="right" vertical="top" wrapText="1"/>
    </xf>
    <xf numFmtId="165" fontId="2" fillId="5" borderId="41" xfId="0" applyNumberFormat="1" applyFont="1" applyFill="1" applyBorder="1" applyAlignment="1">
      <alignment horizontal="right" vertical="top" wrapText="1"/>
    </xf>
    <xf numFmtId="165" fontId="1" fillId="3" borderId="61" xfId="0" applyNumberFormat="1" applyFont="1" applyFill="1" applyBorder="1" applyAlignment="1">
      <alignment horizontal="left" vertical="top" wrapText="1"/>
    </xf>
    <xf numFmtId="165" fontId="1" fillId="3" borderId="72" xfId="0" applyNumberFormat="1" applyFont="1" applyFill="1" applyBorder="1" applyAlignment="1">
      <alignment horizontal="left" vertical="top" wrapText="1"/>
    </xf>
    <xf numFmtId="165" fontId="1" fillId="3" borderId="51" xfId="0" applyNumberFormat="1" applyFont="1" applyFill="1" applyBorder="1" applyAlignment="1">
      <alignment horizontal="left" vertical="top" wrapText="1"/>
    </xf>
    <xf numFmtId="165" fontId="1" fillId="3" borderId="64" xfId="0" applyNumberFormat="1" applyFont="1" applyFill="1" applyBorder="1" applyAlignment="1">
      <alignment horizontal="left" vertical="top" wrapText="1"/>
    </xf>
    <xf numFmtId="165" fontId="1" fillId="3" borderId="59" xfId="0" applyNumberFormat="1" applyFont="1" applyFill="1" applyBorder="1" applyAlignment="1">
      <alignment horizontal="left" vertical="top" wrapText="1"/>
    </xf>
    <xf numFmtId="165" fontId="1" fillId="3" borderId="41" xfId="0" applyNumberFormat="1" applyFont="1" applyFill="1" applyBorder="1" applyAlignment="1">
      <alignment horizontal="left" vertical="top" wrapText="1"/>
    </xf>
    <xf numFmtId="165" fontId="1" fillId="7" borderId="59" xfId="0" applyNumberFormat="1" applyFont="1" applyFill="1" applyBorder="1" applyAlignment="1">
      <alignment horizontal="left" vertical="top" wrapText="1"/>
    </xf>
    <xf numFmtId="165" fontId="1" fillId="7" borderId="41" xfId="0" applyNumberFormat="1" applyFont="1" applyFill="1" applyBorder="1" applyAlignment="1">
      <alignment horizontal="left" vertical="top" wrapText="1"/>
    </xf>
    <xf numFmtId="165" fontId="1" fillId="8" borderId="59" xfId="0" applyNumberFormat="1" applyFont="1" applyFill="1" applyBorder="1" applyAlignment="1">
      <alignment horizontal="left" vertical="top" wrapText="1"/>
    </xf>
    <xf numFmtId="165" fontId="1" fillId="8" borderId="41" xfId="0" applyNumberFormat="1" applyFont="1" applyFill="1" applyBorder="1" applyAlignment="1">
      <alignment horizontal="left" vertical="top" wrapText="1"/>
    </xf>
    <xf numFmtId="165" fontId="2" fillId="8" borderId="64" xfId="0" applyNumberFormat="1" applyFont="1" applyFill="1" applyBorder="1" applyAlignment="1">
      <alignment horizontal="left" vertical="top" wrapText="1"/>
    </xf>
    <xf numFmtId="165" fontId="1" fillId="0" borderId="49" xfId="0" applyNumberFormat="1" applyFont="1" applyFill="1" applyBorder="1" applyAlignment="1">
      <alignment horizontal="left" vertical="top"/>
    </xf>
    <xf numFmtId="165" fontId="2" fillId="0" borderId="31" xfId="0" applyNumberFormat="1" applyFont="1" applyFill="1" applyBorder="1" applyAlignment="1">
      <alignment horizontal="center" vertical="top" wrapText="1"/>
    </xf>
    <xf numFmtId="3" fontId="2" fillId="0" borderId="53" xfId="0" applyNumberFormat="1" applyFont="1" applyBorder="1" applyAlignment="1">
      <alignment horizontal="center" vertical="center" wrapText="1"/>
    </xf>
    <xf numFmtId="3" fontId="2" fillId="0" borderId="67" xfId="0" applyNumberFormat="1" applyFont="1" applyBorder="1" applyAlignment="1">
      <alignment horizontal="center" vertical="center" wrapText="1"/>
    </xf>
    <xf numFmtId="3" fontId="2" fillId="0" borderId="68" xfId="0" applyNumberFormat="1" applyFont="1" applyBorder="1" applyAlignment="1">
      <alignment horizontal="center" vertical="center" wrapText="1"/>
    </xf>
    <xf numFmtId="165" fontId="2" fillId="5" borderId="65" xfId="0" applyNumberFormat="1" applyFont="1" applyFill="1" applyBorder="1" applyAlignment="1">
      <alignment horizontal="right" vertical="top" wrapText="1"/>
    </xf>
    <xf numFmtId="165" fontId="2" fillId="5" borderId="70" xfId="0" applyNumberFormat="1" applyFont="1" applyFill="1" applyBorder="1" applyAlignment="1">
      <alignment horizontal="right" vertical="top" wrapText="1"/>
    </xf>
    <xf numFmtId="165" fontId="2" fillId="5" borderId="66" xfId="0" applyNumberFormat="1" applyFont="1" applyFill="1" applyBorder="1" applyAlignment="1">
      <alignment horizontal="right" vertical="top" wrapText="1"/>
    </xf>
    <xf numFmtId="165" fontId="2" fillId="8" borderId="64" xfId="0" applyNumberFormat="1" applyFont="1" applyFill="1" applyBorder="1" applyAlignment="1">
      <alignment horizontal="right" vertical="top" wrapText="1"/>
    </xf>
    <xf numFmtId="165" fontId="6" fillId="8" borderId="59" xfId="0" applyNumberFormat="1" applyFont="1" applyFill="1" applyBorder="1" applyAlignment="1">
      <alignment horizontal="right" vertical="top" wrapText="1"/>
    </xf>
    <xf numFmtId="165" fontId="6" fillId="8" borderId="41" xfId="0" applyNumberFormat="1" applyFont="1" applyFill="1" applyBorder="1" applyAlignment="1">
      <alignment horizontal="right" vertical="top" wrapText="1"/>
    </xf>
    <xf numFmtId="0" fontId="1" fillId="0" borderId="33" xfId="0" applyFont="1" applyBorder="1" applyAlignment="1">
      <alignment vertical="top" wrapText="1"/>
    </xf>
    <xf numFmtId="0" fontId="0" fillId="0" borderId="33" xfId="0" applyFont="1" applyBorder="1" applyAlignment="1">
      <alignment vertical="top" wrapText="1"/>
    </xf>
    <xf numFmtId="165" fontId="6" fillId="7" borderId="27" xfId="0" applyNumberFormat="1" applyFont="1" applyFill="1" applyBorder="1" applyAlignment="1">
      <alignment horizontal="left" vertical="top" wrapText="1"/>
    </xf>
    <xf numFmtId="165" fontId="13" fillId="11" borderId="19" xfId="0" applyNumberFormat="1" applyFont="1" applyFill="1" applyBorder="1" applyAlignment="1">
      <alignment horizontal="left" vertical="top" wrapText="1"/>
    </xf>
    <xf numFmtId="165" fontId="13" fillId="11" borderId="10" xfId="0" applyNumberFormat="1" applyFont="1" applyFill="1" applyBorder="1" applyAlignment="1">
      <alignment horizontal="left" vertical="top" wrapText="1"/>
    </xf>
    <xf numFmtId="0" fontId="31" fillId="0" borderId="17" xfId="0" applyFont="1" applyBorder="1" applyAlignment="1">
      <alignment horizontal="center" vertical="top" wrapText="1"/>
    </xf>
    <xf numFmtId="165" fontId="13" fillId="7" borderId="35" xfId="0" applyNumberFormat="1" applyFont="1" applyFill="1" applyBorder="1" applyAlignment="1">
      <alignment horizontal="left" vertical="top" wrapText="1"/>
    </xf>
    <xf numFmtId="0" fontId="31" fillId="7" borderId="6" xfId="0" applyFont="1" applyFill="1" applyBorder="1" applyAlignment="1">
      <alignment horizontal="left" vertical="top" wrapText="1"/>
    </xf>
    <xf numFmtId="0" fontId="13" fillId="7" borderId="35" xfId="0" applyFont="1" applyFill="1" applyBorder="1" applyAlignment="1">
      <alignment vertical="top" wrapText="1"/>
    </xf>
    <xf numFmtId="0" fontId="13" fillId="7" borderId="28" xfId="0" applyFont="1" applyFill="1" applyBorder="1" applyAlignment="1">
      <alignment vertical="top" wrapText="1"/>
    </xf>
    <xf numFmtId="165" fontId="13" fillId="7" borderId="19" xfId="0" applyNumberFormat="1" applyFont="1" applyFill="1" applyBorder="1" applyAlignment="1">
      <alignment vertical="top" wrapText="1"/>
    </xf>
    <xf numFmtId="165" fontId="13" fillId="7" borderId="27" xfId="0" applyNumberFormat="1" applyFont="1" applyFill="1" applyBorder="1" applyAlignment="1">
      <alignment vertical="top" wrapText="1"/>
    </xf>
    <xf numFmtId="165" fontId="17" fillId="7" borderId="10" xfId="0" applyNumberFormat="1" applyFont="1" applyFill="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27" xfId="0" applyFont="1" applyBorder="1" applyAlignment="1">
      <alignment horizontal="center" vertical="center" textRotation="90" wrapText="1"/>
    </xf>
    <xf numFmtId="165" fontId="13" fillId="7" borderId="6" xfId="0" applyNumberFormat="1" applyFont="1" applyFill="1" applyBorder="1" applyAlignment="1">
      <alignment horizontal="left" vertical="top" wrapText="1"/>
    </xf>
    <xf numFmtId="0" fontId="31" fillId="0" borderId="6" xfId="0" applyFont="1" applyBorder="1" applyAlignment="1">
      <alignment horizontal="left" vertical="top" wrapText="1"/>
    </xf>
    <xf numFmtId="0" fontId="6" fillId="0" borderId="18" xfId="0" applyFont="1" applyBorder="1" applyAlignment="1">
      <alignment horizontal="left" vertical="top" wrapText="1"/>
    </xf>
    <xf numFmtId="165" fontId="1" fillId="0" borderId="17" xfId="0" applyNumberFormat="1" applyFont="1" applyBorder="1" applyAlignment="1">
      <alignment horizontal="center" vertical="top" wrapText="1"/>
    </xf>
    <xf numFmtId="165" fontId="2" fillId="12" borderId="19" xfId="0" applyNumberFormat="1" applyFont="1" applyFill="1" applyBorder="1" applyAlignment="1">
      <alignment horizontal="center" vertical="top" wrapText="1"/>
    </xf>
    <xf numFmtId="0" fontId="6" fillId="12" borderId="10" xfId="0" applyFont="1" applyFill="1" applyBorder="1" applyAlignment="1">
      <alignment horizontal="center" vertical="top" wrapText="1"/>
    </xf>
    <xf numFmtId="0" fontId="6" fillId="12" borderId="27" xfId="0" applyFont="1" applyFill="1" applyBorder="1" applyAlignment="1">
      <alignment horizontal="center" vertical="top" wrapText="1"/>
    </xf>
    <xf numFmtId="165" fontId="1" fillId="7" borderId="17" xfId="0" applyNumberFormat="1" applyFont="1" applyFill="1" applyBorder="1" applyAlignment="1">
      <alignment horizontal="center" vertical="top" wrapText="1"/>
    </xf>
    <xf numFmtId="165" fontId="13" fillId="7" borderId="45" xfId="0" applyNumberFormat="1" applyFont="1" applyFill="1" applyBorder="1" applyAlignment="1">
      <alignment horizontal="left" vertical="top" wrapText="1"/>
    </xf>
    <xf numFmtId="165" fontId="13" fillId="7" borderId="47" xfId="0" applyNumberFormat="1" applyFont="1" applyFill="1" applyBorder="1" applyAlignment="1">
      <alignment horizontal="left" vertical="top" wrapText="1"/>
    </xf>
    <xf numFmtId="165" fontId="2" fillId="3" borderId="19" xfId="0" applyNumberFormat="1" applyFont="1" applyFill="1" applyBorder="1" applyAlignment="1">
      <alignment horizontal="center" vertical="top" wrapText="1"/>
    </xf>
    <xf numFmtId="165" fontId="2" fillId="3" borderId="27" xfId="0" applyNumberFormat="1" applyFont="1" applyFill="1" applyBorder="1" applyAlignment="1">
      <alignment horizontal="center" vertical="top" wrapText="1"/>
    </xf>
    <xf numFmtId="165" fontId="1" fillId="7" borderId="17" xfId="0" applyNumberFormat="1" applyFont="1" applyFill="1" applyBorder="1" applyAlignment="1">
      <alignment horizontal="center" vertical="center" wrapText="1"/>
    </xf>
    <xf numFmtId="165" fontId="6" fillId="7" borderId="17"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165" fontId="13" fillId="7" borderId="96" xfId="0" applyNumberFormat="1" applyFont="1" applyFill="1" applyBorder="1" applyAlignment="1">
      <alignment horizontal="left" vertical="top" wrapText="1"/>
    </xf>
    <xf numFmtId="0" fontId="31" fillId="7" borderId="76" xfId="0" applyFont="1" applyFill="1" applyBorder="1" applyAlignment="1">
      <alignment vertical="top" wrapText="1"/>
    </xf>
    <xf numFmtId="165" fontId="13" fillId="11" borderId="45" xfId="0" applyNumberFormat="1" applyFont="1" applyFill="1" applyBorder="1" applyAlignment="1">
      <alignment horizontal="left" vertical="top" wrapText="1"/>
    </xf>
    <xf numFmtId="165" fontId="13" fillId="11" borderId="47" xfId="0" applyNumberFormat="1" applyFont="1" applyFill="1" applyBorder="1" applyAlignment="1">
      <alignment horizontal="left" vertical="top" wrapText="1"/>
    </xf>
    <xf numFmtId="165" fontId="31" fillId="11" borderId="34" xfId="0" applyNumberFormat="1" applyFont="1" applyFill="1" applyBorder="1" applyAlignment="1">
      <alignment horizontal="left" vertical="top" wrapText="1"/>
    </xf>
    <xf numFmtId="0" fontId="6" fillId="0" borderId="76" xfId="0" applyFont="1" applyBorder="1" applyAlignment="1">
      <alignment horizontal="left" vertical="top" wrapText="1"/>
    </xf>
    <xf numFmtId="0" fontId="6" fillId="0" borderId="17" xfId="0" applyFont="1" applyBorder="1" applyAlignment="1">
      <alignment horizontal="center" vertical="top" wrapText="1"/>
    </xf>
    <xf numFmtId="165" fontId="1" fillId="7" borderId="6" xfId="0" applyNumberFormat="1" applyFont="1" applyFill="1" applyBorder="1" applyAlignment="1">
      <alignment vertical="top" wrapText="1"/>
    </xf>
    <xf numFmtId="0" fontId="1" fillId="7" borderId="6" xfId="0" applyFont="1" applyFill="1" applyBorder="1" applyAlignment="1">
      <alignment vertical="top" wrapText="1"/>
    </xf>
    <xf numFmtId="0" fontId="6" fillId="0" borderId="28" xfId="0" applyFont="1" applyBorder="1" applyAlignment="1">
      <alignment horizontal="left" vertical="top" wrapText="1"/>
    </xf>
    <xf numFmtId="0" fontId="0" fillId="0" borderId="6" xfId="0" applyBorder="1" applyAlignment="1">
      <alignment horizontal="left" vertical="top" wrapText="1"/>
    </xf>
    <xf numFmtId="165" fontId="1" fillId="11" borderId="19" xfId="0" applyNumberFormat="1" applyFont="1" applyFill="1" applyBorder="1" applyAlignment="1">
      <alignment vertical="top" wrapText="1"/>
    </xf>
    <xf numFmtId="165" fontId="1" fillId="11" borderId="10" xfId="0" applyNumberFormat="1" applyFont="1" applyFill="1" applyBorder="1" applyAlignment="1">
      <alignment vertical="top" wrapText="1"/>
    </xf>
    <xf numFmtId="165" fontId="1" fillId="11" borderId="27" xfId="0" applyNumberFormat="1" applyFont="1" applyFill="1" applyBorder="1" applyAlignment="1">
      <alignment vertical="top" wrapText="1"/>
    </xf>
    <xf numFmtId="165" fontId="1" fillId="11" borderId="45" xfId="0" applyNumberFormat="1" applyFont="1" applyFill="1" applyBorder="1" applyAlignment="1">
      <alignment horizontal="left" vertical="top" wrapText="1"/>
    </xf>
    <xf numFmtId="165" fontId="1" fillId="11" borderId="47" xfId="0" applyNumberFormat="1" applyFont="1" applyFill="1" applyBorder="1" applyAlignment="1">
      <alignment horizontal="left" vertical="top" wrapText="1"/>
    </xf>
    <xf numFmtId="165" fontId="2" fillId="7" borderId="10" xfId="0" applyNumberFormat="1" applyFont="1" applyFill="1" applyBorder="1" applyAlignment="1">
      <alignment horizontal="center" vertical="center" textRotation="90" wrapText="1"/>
    </xf>
    <xf numFmtId="0" fontId="6" fillId="0" borderId="10" xfId="0" applyFont="1" applyBorder="1" applyAlignment="1">
      <alignment horizontal="center" vertical="center" textRotation="90" wrapText="1"/>
    </xf>
    <xf numFmtId="165" fontId="1" fillId="7" borderId="20" xfId="0" applyNumberFormat="1" applyFont="1" applyFill="1" applyBorder="1" applyAlignment="1">
      <alignment horizontal="center" vertical="top" wrapText="1"/>
    </xf>
    <xf numFmtId="0" fontId="0" fillId="0" borderId="17" xfId="0" applyBorder="1" applyAlignment="1">
      <alignment horizontal="center" vertical="top" wrapText="1"/>
    </xf>
    <xf numFmtId="165" fontId="1" fillId="7" borderId="100" xfId="0" applyNumberFormat="1" applyFont="1" applyFill="1" applyBorder="1" applyAlignment="1">
      <alignment horizontal="center" vertical="top" wrapText="1"/>
    </xf>
    <xf numFmtId="165" fontId="1" fillId="7" borderId="26" xfId="0" applyNumberFormat="1" applyFont="1" applyFill="1" applyBorder="1" applyAlignment="1">
      <alignment horizontal="center" vertical="top" wrapText="1"/>
    </xf>
    <xf numFmtId="165" fontId="1" fillId="11" borderId="19" xfId="0" applyNumberFormat="1" applyFont="1" applyFill="1" applyBorder="1" applyAlignment="1">
      <alignment horizontal="left" vertical="top" wrapText="1"/>
    </xf>
    <xf numFmtId="0" fontId="6" fillId="11" borderId="10" xfId="0" applyFont="1" applyFill="1" applyBorder="1" applyAlignment="1">
      <alignment horizontal="left" vertical="top" wrapText="1"/>
    </xf>
    <xf numFmtId="165" fontId="1" fillId="7" borderId="20" xfId="0" applyNumberFormat="1" applyFont="1" applyFill="1" applyBorder="1" applyAlignment="1">
      <alignment horizontal="center" vertical="center" wrapText="1"/>
    </xf>
    <xf numFmtId="0" fontId="6" fillId="7" borderId="17" xfId="0" applyFont="1" applyFill="1" applyBorder="1" applyAlignment="1">
      <alignment horizontal="center" vertical="center" wrapText="1"/>
    </xf>
    <xf numFmtId="165" fontId="6" fillId="7" borderId="17" xfId="0" applyNumberFormat="1" applyFont="1" applyFill="1" applyBorder="1" applyAlignment="1">
      <alignment horizontal="center" vertical="top" wrapText="1"/>
    </xf>
    <xf numFmtId="0" fontId="0" fillId="0" borderId="17" xfId="0" applyBorder="1" applyAlignment="1">
      <alignment horizontal="center" wrapText="1"/>
    </xf>
    <xf numFmtId="165" fontId="5" fillId="11" borderId="19" xfId="0" applyNumberFormat="1" applyFont="1" applyFill="1" applyBorder="1" applyAlignment="1">
      <alignment horizontal="center" vertical="center" textRotation="90" wrapText="1"/>
    </xf>
    <xf numFmtId="165" fontId="5" fillId="11" borderId="27" xfId="0" applyNumberFormat="1" applyFont="1" applyFill="1" applyBorder="1" applyAlignment="1">
      <alignment horizontal="center" vertical="center" textRotation="90" wrapText="1"/>
    </xf>
    <xf numFmtId="165" fontId="1" fillId="11" borderId="10" xfId="0" applyNumberFormat="1" applyFont="1" applyFill="1" applyBorder="1" applyAlignment="1">
      <alignment horizontal="left" vertical="top" wrapText="1"/>
    </xf>
    <xf numFmtId="165" fontId="1" fillId="11" borderId="27" xfId="0" applyNumberFormat="1" applyFont="1" applyFill="1" applyBorder="1" applyAlignment="1">
      <alignment horizontal="left" vertical="top" wrapText="1"/>
    </xf>
    <xf numFmtId="0" fontId="0" fillId="0" borderId="28" xfId="0" applyBorder="1" applyAlignment="1">
      <alignment horizontal="left" vertical="top" wrapText="1"/>
    </xf>
    <xf numFmtId="49" fontId="2" fillId="7" borderId="19" xfId="0" applyNumberFormat="1" applyFont="1" applyFill="1" applyBorder="1" applyAlignment="1">
      <alignment horizontal="center" vertical="top"/>
    </xf>
    <xf numFmtId="49" fontId="2" fillId="7" borderId="27" xfId="0" applyNumberFormat="1" applyFont="1" applyFill="1" applyBorder="1" applyAlignment="1">
      <alignment horizontal="center" vertical="top"/>
    </xf>
    <xf numFmtId="0" fontId="2" fillId="11" borderId="19" xfId="0" applyFont="1" applyFill="1" applyBorder="1" applyAlignment="1">
      <alignment vertical="top" wrapText="1"/>
    </xf>
    <xf numFmtId="0" fontId="0" fillId="11" borderId="10" xfId="0" applyFill="1" applyBorder="1" applyAlignment="1">
      <alignment vertical="top" wrapText="1"/>
    </xf>
    <xf numFmtId="165" fontId="35" fillId="11" borderId="10" xfId="0" applyNumberFormat="1" applyFont="1" applyFill="1" applyBorder="1" applyAlignment="1">
      <alignment horizontal="center" vertical="center" textRotation="90" wrapText="1"/>
    </xf>
    <xf numFmtId="165" fontId="13" fillId="7" borderId="34" xfId="0" applyNumberFormat="1" applyFont="1" applyFill="1" applyBorder="1" applyAlignment="1">
      <alignment horizontal="left" vertical="top" wrapText="1"/>
    </xf>
    <xf numFmtId="165" fontId="9" fillId="11" borderId="10" xfId="0" applyNumberFormat="1" applyFont="1" applyFill="1" applyBorder="1" applyAlignment="1">
      <alignment horizontal="center" vertical="top" wrapText="1"/>
    </xf>
    <xf numFmtId="165" fontId="9" fillId="11" borderId="27" xfId="0" applyNumberFormat="1" applyFont="1" applyFill="1" applyBorder="1" applyAlignment="1">
      <alignment horizontal="center" vertical="top" wrapText="1"/>
    </xf>
    <xf numFmtId="165" fontId="1" fillId="11" borderId="87" xfId="0" applyNumberFormat="1" applyFont="1" applyFill="1" applyBorder="1" applyAlignment="1">
      <alignment horizontal="left" vertical="top" wrapText="1"/>
    </xf>
    <xf numFmtId="165" fontId="13" fillId="7" borderId="25" xfId="0" applyNumberFormat="1" applyFont="1" applyFill="1" applyBorder="1" applyAlignment="1">
      <alignment horizontal="center" vertical="top" wrapText="1"/>
    </xf>
    <xf numFmtId="165" fontId="13" fillId="7" borderId="17" xfId="0" applyNumberFormat="1" applyFont="1" applyFill="1" applyBorder="1" applyAlignment="1">
      <alignment horizontal="center" vertical="top" wrapText="1"/>
    </xf>
    <xf numFmtId="165" fontId="13" fillId="7" borderId="30" xfId="0" applyNumberFormat="1" applyFont="1" applyFill="1" applyBorder="1" applyAlignment="1">
      <alignment horizontal="center" vertical="top" wrapText="1"/>
    </xf>
    <xf numFmtId="165" fontId="2" fillId="8" borderId="10" xfId="0" applyNumberFormat="1" applyFont="1" applyFill="1" applyBorder="1" applyAlignment="1">
      <alignment horizontal="center" vertical="top"/>
    </xf>
    <xf numFmtId="49" fontId="17" fillId="7" borderId="19" xfId="0" applyNumberFormat="1" applyFont="1" applyFill="1" applyBorder="1" applyAlignment="1">
      <alignment horizontal="center" vertical="top" textRotation="90" wrapText="1"/>
    </xf>
    <xf numFmtId="0" fontId="36" fillId="0" borderId="10" xfId="0" applyFont="1" applyBorder="1" applyAlignment="1">
      <alignment horizontal="center" vertical="top" textRotation="90" wrapText="1"/>
    </xf>
    <xf numFmtId="0" fontId="36" fillId="0" borderId="27" xfId="0" applyFont="1" applyBorder="1" applyAlignment="1">
      <alignment horizontal="center" vertical="top" textRotation="90" wrapText="1"/>
    </xf>
    <xf numFmtId="0" fontId="6" fillId="0" borderId="10" xfId="0" applyFont="1" applyBorder="1" applyAlignment="1">
      <alignment vertical="top" wrapText="1"/>
    </xf>
    <xf numFmtId="0" fontId="1" fillId="7" borderId="10" xfId="0" applyFont="1" applyFill="1" applyBorder="1" applyAlignment="1">
      <alignment horizontal="left" vertical="top" wrapText="1"/>
    </xf>
    <xf numFmtId="49" fontId="2" fillId="7" borderId="40" xfId="0" applyNumberFormat="1" applyFont="1" applyFill="1" applyBorder="1" applyAlignment="1">
      <alignment horizontal="center" vertical="top"/>
    </xf>
    <xf numFmtId="49" fontId="2" fillId="7" borderId="47" xfId="0" applyNumberFormat="1" applyFont="1" applyFill="1" applyBorder="1" applyAlignment="1">
      <alignment horizontal="center" vertical="top"/>
    </xf>
    <xf numFmtId="49" fontId="2" fillId="7" borderId="54" xfId="0" applyNumberFormat="1" applyFont="1" applyFill="1" applyBorder="1" applyAlignment="1">
      <alignment horizontal="center" vertical="top"/>
    </xf>
    <xf numFmtId="165" fontId="13" fillId="11" borderId="24" xfId="0" applyNumberFormat="1" applyFont="1" applyFill="1" applyBorder="1" applyAlignment="1">
      <alignment vertical="top" wrapText="1"/>
    </xf>
    <xf numFmtId="165" fontId="13" fillId="11" borderId="10" xfId="0" applyNumberFormat="1" applyFont="1" applyFill="1" applyBorder="1" applyAlignment="1">
      <alignment vertical="top" wrapText="1"/>
    </xf>
    <xf numFmtId="49" fontId="1" fillId="8" borderId="19" xfId="0" applyNumberFormat="1" applyFont="1" applyFill="1" applyBorder="1" applyAlignment="1">
      <alignment horizontal="center" vertical="center" textRotation="90"/>
    </xf>
    <xf numFmtId="49" fontId="1" fillId="8" borderId="10" xfId="0" applyNumberFormat="1" applyFont="1" applyFill="1" applyBorder="1" applyAlignment="1">
      <alignment horizontal="center" vertical="center" textRotation="90"/>
    </xf>
    <xf numFmtId="49" fontId="1" fillId="8" borderId="27" xfId="0" applyNumberFormat="1" applyFont="1" applyFill="1" applyBorder="1" applyAlignment="1">
      <alignment horizontal="center" vertical="center" textRotation="90"/>
    </xf>
    <xf numFmtId="49" fontId="13" fillId="8" borderId="19" xfId="0" applyNumberFormat="1" applyFont="1" applyFill="1" applyBorder="1" applyAlignment="1">
      <alignment horizontal="center" vertical="center" textRotation="90" wrapText="1"/>
    </xf>
    <xf numFmtId="0" fontId="31" fillId="8" borderId="10" xfId="0" applyFont="1" applyFill="1" applyBorder="1" applyAlignment="1">
      <alignment horizontal="center" vertical="center" textRotation="90" wrapText="1"/>
    </xf>
    <xf numFmtId="0" fontId="31" fillId="8" borderId="27" xfId="0" applyFont="1" applyFill="1" applyBorder="1" applyAlignment="1">
      <alignment horizontal="center" vertical="center" textRotation="90" wrapText="1"/>
    </xf>
    <xf numFmtId="49" fontId="13" fillId="8" borderId="10" xfId="0" applyNumberFormat="1" applyFont="1" applyFill="1" applyBorder="1" applyAlignment="1">
      <alignment horizontal="center" vertical="top" textRotation="90" wrapText="1"/>
    </xf>
    <xf numFmtId="0" fontId="31" fillId="8" borderId="10" xfId="0" applyFont="1" applyFill="1" applyBorder="1" applyAlignment="1">
      <alignment horizontal="center" vertical="top" textRotation="90" wrapText="1"/>
    </xf>
    <xf numFmtId="0" fontId="31" fillId="8" borderId="27" xfId="0" applyFont="1" applyFill="1" applyBorder="1" applyAlignment="1">
      <alignment horizontal="center" vertical="top" textRotation="90" wrapText="1"/>
    </xf>
    <xf numFmtId="49" fontId="17" fillId="7" borderId="10" xfId="0" applyNumberFormat="1" applyFont="1" applyFill="1" applyBorder="1" applyAlignment="1">
      <alignment horizontal="center" vertical="top" textRotation="90" wrapText="1"/>
    </xf>
    <xf numFmtId="0" fontId="0" fillId="0" borderId="17" xfId="0" applyBorder="1" applyAlignment="1">
      <alignment horizontal="center" vertical="top"/>
    </xf>
    <xf numFmtId="0" fontId="0" fillId="0" borderId="26" xfId="0" applyBorder="1" applyAlignment="1">
      <alignment horizontal="center" vertical="top"/>
    </xf>
    <xf numFmtId="49" fontId="2" fillId="7" borderId="10" xfId="0" applyNumberFormat="1" applyFont="1" applyFill="1" applyBorder="1" applyAlignment="1">
      <alignment horizontal="center" vertical="top" textRotation="90"/>
    </xf>
    <xf numFmtId="165" fontId="1" fillId="8" borderId="19" xfId="0" applyNumberFormat="1" applyFont="1" applyFill="1" applyBorder="1" applyAlignment="1">
      <alignment horizontal="center" vertical="center" textRotation="90" wrapText="1"/>
    </xf>
    <xf numFmtId="165" fontId="1" fillId="8" borderId="10" xfId="0" applyNumberFormat="1" applyFont="1" applyFill="1" applyBorder="1" applyAlignment="1">
      <alignment horizontal="center" vertical="center" textRotation="90" wrapText="1"/>
    </xf>
    <xf numFmtId="165" fontId="1" fillId="8" borderId="27" xfId="0" applyNumberFormat="1" applyFont="1" applyFill="1" applyBorder="1" applyAlignment="1">
      <alignment horizontal="center" vertical="center" textRotation="90" wrapText="1"/>
    </xf>
    <xf numFmtId="0" fontId="6" fillId="11" borderId="27" xfId="0" applyFont="1" applyFill="1" applyBorder="1" applyAlignment="1">
      <alignment horizontal="left" vertical="top" wrapText="1"/>
    </xf>
    <xf numFmtId="0" fontId="1" fillId="0" borderId="17" xfId="0" applyFont="1" applyBorder="1" applyAlignment="1">
      <alignment horizontal="center" vertical="top" wrapText="1"/>
    </xf>
    <xf numFmtId="0" fontId="6" fillId="0" borderId="26" xfId="0" applyFont="1" applyBorder="1" applyAlignment="1">
      <alignment horizontal="center" vertical="top" wrapText="1"/>
    </xf>
    <xf numFmtId="165" fontId="2" fillId="7" borderId="19" xfId="0" applyNumberFormat="1" applyFont="1" applyFill="1" applyBorder="1" applyAlignment="1">
      <alignment horizontal="center" vertical="center" textRotation="90" wrapText="1"/>
    </xf>
    <xf numFmtId="165" fontId="2" fillId="7" borderId="27" xfId="0" applyNumberFormat="1" applyFont="1" applyFill="1" applyBorder="1" applyAlignment="1">
      <alignment horizontal="center" vertical="center" textRotation="90" wrapText="1"/>
    </xf>
    <xf numFmtId="165" fontId="2" fillId="0" borderId="19" xfId="0" applyNumberFormat="1" applyFont="1" applyFill="1" applyBorder="1" applyAlignment="1">
      <alignment horizontal="center" vertical="top" wrapText="1"/>
    </xf>
    <xf numFmtId="165" fontId="2" fillId="0" borderId="10" xfId="0" applyNumberFormat="1" applyFont="1" applyFill="1" applyBorder="1" applyAlignment="1">
      <alignment horizontal="center" vertical="top" wrapText="1"/>
    </xf>
    <xf numFmtId="165" fontId="2" fillId="0" borderId="27" xfId="0" applyNumberFormat="1" applyFont="1" applyFill="1" applyBorder="1" applyAlignment="1">
      <alignment horizontal="center" vertical="top" wrapText="1"/>
    </xf>
    <xf numFmtId="165" fontId="2" fillId="3" borderId="10" xfId="0" applyNumberFormat="1" applyFont="1" applyFill="1" applyBorder="1" applyAlignment="1">
      <alignment horizontal="center" vertical="top" wrapText="1"/>
    </xf>
    <xf numFmtId="165" fontId="1" fillId="11" borderId="45" xfId="0" applyNumberFormat="1" applyFont="1" applyFill="1" applyBorder="1" applyAlignment="1">
      <alignment vertical="top" wrapText="1"/>
    </xf>
    <xf numFmtId="165" fontId="1" fillId="11" borderId="47" xfId="0" applyNumberFormat="1" applyFont="1" applyFill="1" applyBorder="1" applyAlignment="1">
      <alignment vertical="top" wrapText="1"/>
    </xf>
    <xf numFmtId="0" fontId="6" fillId="11" borderId="47" xfId="0" applyFont="1" applyFill="1" applyBorder="1" applyAlignment="1">
      <alignment vertical="top" wrapText="1"/>
    </xf>
    <xf numFmtId="0" fontId="6" fillId="11" borderId="91" xfId="0" applyFont="1" applyFill="1" applyBorder="1" applyAlignment="1">
      <alignment vertical="top" wrapText="1"/>
    </xf>
    <xf numFmtId="0" fontId="1" fillId="11" borderId="10" xfId="0" applyFont="1" applyFill="1" applyBorder="1" applyAlignment="1">
      <alignment vertical="top" wrapText="1"/>
    </xf>
    <xf numFmtId="0" fontId="1" fillId="11" borderId="27" xfId="0" applyFont="1" applyFill="1" applyBorder="1" applyAlignment="1">
      <alignment vertical="top" wrapText="1"/>
    </xf>
    <xf numFmtId="49" fontId="2" fillId="8" borderId="10" xfId="0" applyNumberFormat="1" applyFont="1" applyFill="1" applyBorder="1" applyAlignment="1">
      <alignment horizontal="center" vertical="top"/>
    </xf>
    <xf numFmtId="49" fontId="2" fillId="9" borderId="4" xfId="0" applyNumberFormat="1" applyFont="1" applyFill="1" applyBorder="1" applyAlignment="1">
      <alignment horizontal="center" vertical="top"/>
    </xf>
    <xf numFmtId="49" fontId="2" fillId="9" borderId="8" xfId="0" applyNumberFormat="1" applyFont="1" applyFill="1" applyBorder="1" applyAlignment="1">
      <alignment horizontal="center" vertical="top"/>
    </xf>
    <xf numFmtId="165" fontId="13" fillId="7" borderId="10" xfId="0" applyNumberFormat="1" applyFont="1" applyFill="1" applyBorder="1" applyAlignment="1">
      <alignment vertical="top" wrapText="1"/>
    </xf>
    <xf numFmtId="165" fontId="1" fillId="11" borderId="10" xfId="0" applyNumberFormat="1" applyFont="1" applyFill="1" applyBorder="1" applyAlignment="1">
      <alignment horizontal="center" vertical="center" textRotation="90" wrapText="1"/>
    </xf>
    <xf numFmtId="165" fontId="1" fillId="11" borderId="77" xfId="0" applyNumberFormat="1" applyFont="1" applyFill="1" applyBorder="1" applyAlignment="1">
      <alignment horizontal="center" vertical="center" textRotation="90" wrapText="1"/>
    </xf>
    <xf numFmtId="165" fontId="5" fillId="11" borderId="10" xfId="0" applyNumberFormat="1" applyFont="1" applyFill="1" applyBorder="1" applyAlignment="1">
      <alignment horizontal="center" vertical="center" textRotation="90" wrapText="1"/>
    </xf>
    <xf numFmtId="49" fontId="2" fillId="2" borderId="40" xfId="0" applyNumberFormat="1" applyFont="1" applyFill="1" applyBorder="1" applyAlignment="1">
      <alignment horizontal="center" vertical="top"/>
    </xf>
    <xf numFmtId="49" fontId="2" fillId="2" borderId="47" xfId="0" applyNumberFormat="1" applyFont="1" applyFill="1" applyBorder="1" applyAlignment="1">
      <alignment horizontal="center" vertical="top"/>
    </xf>
    <xf numFmtId="49" fontId="2" fillId="2" borderId="54" xfId="0" applyNumberFormat="1" applyFont="1" applyFill="1" applyBorder="1" applyAlignment="1">
      <alignment horizontal="center" vertical="top"/>
    </xf>
    <xf numFmtId="49" fontId="2" fillId="7" borderId="24" xfId="0" applyNumberFormat="1" applyFont="1" applyFill="1" applyBorder="1" applyAlignment="1">
      <alignment horizontal="center" vertical="top"/>
    </xf>
    <xf numFmtId="49" fontId="2" fillId="7" borderId="29" xfId="0" applyNumberFormat="1" applyFont="1" applyFill="1" applyBorder="1" applyAlignment="1">
      <alignment horizontal="center" vertical="top"/>
    </xf>
    <xf numFmtId="49" fontId="2" fillId="0" borderId="19" xfId="0" applyNumberFormat="1" applyFont="1" applyBorder="1" applyAlignment="1">
      <alignment horizontal="center" vertical="top"/>
    </xf>
    <xf numFmtId="49" fontId="2" fillId="0" borderId="27" xfId="0" applyNumberFormat="1" applyFont="1" applyBorder="1" applyAlignment="1">
      <alignment horizontal="center" vertical="top"/>
    </xf>
    <xf numFmtId="0" fontId="0" fillId="7" borderId="17" xfId="0" applyFill="1" applyBorder="1" applyAlignment="1">
      <alignment vertical="top" wrapText="1"/>
    </xf>
    <xf numFmtId="0" fontId="0" fillId="0" borderId="27" xfId="0" applyBorder="1" applyAlignment="1">
      <alignment horizontal="center" wrapText="1"/>
    </xf>
    <xf numFmtId="0" fontId="6" fillId="11" borderId="10" xfId="0" applyFont="1" applyFill="1" applyBorder="1" applyAlignment="1">
      <alignment vertical="top" wrapText="1"/>
    </xf>
    <xf numFmtId="165" fontId="5" fillId="7" borderId="19" xfId="0" applyNumberFormat="1" applyFont="1" applyFill="1" applyBorder="1" applyAlignment="1">
      <alignment horizontal="center" vertical="center" textRotation="90" wrapText="1"/>
    </xf>
    <xf numFmtId="165" fontId="5" fillId="7" borderId="10" xfId="0" applyNumberFormat="1" applyFont="1" applyFill="1" applyBorder="1" applyAlignment="1">
      <alignment horizontal="center" vertical="center" textRotation="90" wrapText="1"/>
    </xf>
    <xf numFmtId="49" fontId="2" fillId="0" borderId="10" xfId="0" applyNumberFormat="1" applyFont="1" applyBorder="1" applyAlignment="1">
      <alignment horizontal="center" vertical="top"/>
    </xf>
    <xf numFmtId="49" fontId="2" fillId="7" borderId="19" xfId="0" applyNumberFormat="1" applyFont="1" applyFill="1" applyBorder="1" applyAlignment="1">
      <alignment horizontal="center" vertical="top" textRotation="90"/>
    </xf>
    <xf numFmtId="49" fontId="2" fillId="7" borderId="27" xfId="0" applyNumberFormat="1" applyFont="1" applyFill="1" applyBorder="1" applyAlignment="1">
      <alignment horizontal="center" vertical="top" textRotation="90"/>
    </xf>
    <xf numFmtId="49" fontId="2" fillId="7" borderId="45" xfId="0" applyNumberFormat="1" applyFont="1" applyFill="1" applyBorder="1" applyAlignment="1">
      <alignment horizontal="center" vertical="top"/>
    </xf>
    <xf numFmtId="49" fontId="2" fillId="7" borderId="34" xfId="0" applyNumberFormat="1" applyFont="1" applyFill="1" applyBorder="1" applyAlignment="1">
      <alignment horizontal="center" vertical="top"/>
    </xf>
    <xf numFmtId="165" fontId="6" fillId="7" borderId="26" xfId="0" applyNumberFormat="1" applyFont="1" applyFill="1" applyBorder="1" applyAlignment="1">
      <alignment vertical="top" wrapText="1"/>
    </xf>
    <xf numFmtId="0" fontId="0" fillId="0" borderId="10" xfId="0" applyBorder="1" applyAlignment="1">
      <alignment horizontal="center" wrapText="1"/>
    </xf>
    <xf numFmtId="0" fontId="0" fillId="0" borderId="78" xfId="0" applyBorder="1" applyAlignment="1">
      <alignment horizontal="center" vertical="top" wrapText="1"/>
    </xf>
    <xf numFmtId="165" fontId="13" fillId="7" borderId="26" xfId="0" applyNumberFormat="1" applyFont="1" applyFill="1" applyBorder="1" applyAlignment="1">
      <alignment horizontal="center" vertical="top" wrapText="1"/>
    </xf>
    <xf numFmtId="165" fontId="1" fillId="12" borderId="19" xfId="0" applyNumberFormat="1" applyFont="1" applyFill="1" applyBorder="1" applyAlignment="1">
      <alignment horizontal="center" vertical="center" textRotation="90" wrapText="1"/>
    </xf>
    <xf numFmtId="165" fontId="1" fillId="12" borderId="10" xfId="0" applyNumberFormat="1" applyFont="1" applyFill="1" applyBorder="1" applyAlignment="1">
      <alignment horizontal="center" vertical="center" textRotation="90" wrapText="1"/>
    </xf>
    <xf numFmtId="165" fontId="30" fillId="7" borderId="19" xfId="0" applyNumberFormat="1" applyFont="1" applyFill="1" applyBorder="1" applyAlignment="1">
      <alignment horizontal="center" vertical="center" textRotation="90" wrapText="1"/>
    </xf>
    <xf numFmtId="0" fontId="32" fillId="0" borderId="10" xfId="0" applyFont="1" applyBorder="1" applyAlignment="1">
      <alignment horizontal="center" vertical="center" wrapText="1"/>
    </xf>
    <xf numFmtId="0" fontId="32" fillId="0" borderId="27" xfId="0" applyFont="1" applyBorder="1" applyAlignment="1">
      <alignment horizontal="center" vertical="center" wrapText="1"/>
    </xf>
    <xf numFmtId="0" fontId="31" fillId="7" borderId="10" xfId="0" applyFont="1" applyFill="1" applyBorder="1" applyAlignment="1">
      <alignment vertical="top" wrapText="1"/>
    </xf>
    <xf numFmtId="0" fontId="31" fillId="7" borderId="27" xfId="0" applyFont="1" applyFill="1" applyBorder="1" applyAlignment="1">
      <alignment vertical="top" wrapText="1"/>
    </xf>
    <xf numFmtId="0" fontId="6" fillId="0" borderId="77" xfId="0" applyFont="1" applyBorder="1" applyAlignment="1">
      <alignment vertical="top" wrapText="1"/>
    </xf>
    <xf numFmtId="0" fontId="1" fillId="0" borderId="0" xfId="0" applyFont="1" applyAlignment="1">
      <alignment horizontal="right" wrapText="1"/>
    </xf>
    <xf numFmtId="0" fontId="6" fillId="0" borderId="0" xfId="0" applyFont="1" applyAlignment="1">
      <alignment horizontal="right"/>
    </xf>
    <xf numFmtId="49" fontId="2" fillId="0" borderId="24" xfId="0" applyNumberFormat="1" applyFont="1" applyBorder="1" applyAlignment="1">
      <alignment horizontal="center" vertical="top" textRotation="90" shrinkToFit="1"/>
    </xf>
    <xf numFmtId="49" fontId="2" fillId="0" borderId="10" xfId="0" applyNumberFormat="1" applyFont="1" applyBorder="1" applyAlignment="1">
      <alignment horizontal="center" vertical="top" textRotation="90" shrinkToFit="1"/>
    </xf>
    <xf numFmtId="49" fontId="2" fillId="0" borderId="29" xfId="0" applyNumberFormat="1" applyFont="1" applyBorder="1" applyAlignment="1">
      <alignment horizontal="center" vertical="top" textRotation="90" shrinkToFit="1"/>
    </xf>
    <xf numFmtId="3" fontId="1" fillId="0" borderId="25" xfId="0" applyNumberFormat="1" applyFont="1" applyFill="1" applyBorder="1" applyAlignment="1">
      <alignment horizontal="center" vertical="center" textRotation="90" wrapText="1" shrinkToFit="1"/>
    </xf>
    <xf numFmtId="3" fontId="1" fillId="0" borderId="17" xfId="0" applyNumberFormat="1" applyFont="1" applyFill="1" applyBorder="1" applyAlignment="1">
      <alignment horizontal="center" vertical="center" textRotation="90" wrapText="1" shrinkToFit="1"/>
    </xf>
    <xf numFmtId="3" fontId="1" fillId="0" borderId="30" xfId="0" applyNumberFormat="1" applyFont="1" applyFill="1" applyBorder="1" applyAlignment="1">
      <alignment horizontal="center" vertical="center" textRotation="90" wrapText="1" shrinkToFit="1"/>
    </xf>
    <xf numFmtId="49" fontId="1" fillId="8" borderId="19" xfId="0" applyNumberFormat="1" applyFont="1" applyFill="1" applyBorder="1" applyAlignment="1">
      <alignment horizontal="center" vertical="center" textRotation="90" wrapText="1"/>
    </xf>
    <xf numFmtId="0" fontId="6" fillId="8" borderId="10" xfId="0" applyFont="1" applyFill="1" applyBorder="1" applyAlignment="1">
      <alignment horizontal="center" vertical="center" textRotation="90" wrapText="1"/>
    </xf>
    <xf numFmtId="0" fontId="6" fillId="8" borderId="27" xfId="0" applyFont="1" applyFill="1" applyBorder="1" applyAlignment="1">
      <alignment horizontal="center" vertical="center" textRotation="90" wrapText="1"/>
    </xf>
    <xf numFmtId="165" fontId="1" fillId="0" borderId="44" xfId="0" applyNumberFormat="1" applyFont="1" applyFill="1" applyBorder="1" applyAlignment="1">
      <alignment horizontal="left" vertical="top" wrapText="1"/>
    </xf>
    <xf numFmtId="165" fontId="1" fillId="0" borderId="18" xfId="0" applyNumberFormat="1" applyFont="1" applyFill="1" applyBorder="1" applyAlignment="1">
      <alignment horizontal="left" vertical="top" wrapText="1"/>
    </xf>
    <xf numFmtId="0" fontId="6" fillId="0" borderId="33" xfId="0" applyFont="1" applyBorder="1" applyAlignment="1">
      <alignment horizontal="left" vertical="top" wrapText="1"/>
    </xf>
    <xf numFmtId="0" fontId="6" fillId="0" borderId="61" xfId="0" applyFont="1" applyBorder="1" applyAlignment="1">
      <alignment horizontal="left" vertical="top" wrapText="1"/>
    </xf>
    <xf numFmtId="3" fontId="1" fillId="0" borderId="19" xfId="0" applyNumberFormat="1" applyFont="1" applyFill="1" applyBorder="1" applyAlignment="1">
      <alignment horizontal="center" vertical="top"/>
    </xf>
    <xf numFmtId="3" fontId="1" fillId="0" borderId="27" xfId="0" applyNumberFormat="1" applyFont="1" applyFill="1" applyBorder="1" applyAlignment="1">
      <alignment horizontal="center" vertical="top"/>
    </xf>
    <xf numFmtId="1" fontId="1" fillId="7" borderId="47" xfId="0" applyNumberFormat="1" applyFont="1" applyFill="1" applyBorder="1" applyAlignment="1">
      <alignment horizontal="center" vertical="top" wrapText="1"/>
    </xf>
    <xf numFmtId="1" fontId="6" fillId="0" borderId="47" xfId="0" applyNumberFormat="1" applyFont="1" applyBorder="1" applyAlignment="1">
      <alignment horizontal="center" vertical="top" wrapText="1"/>
    </xf>
    <xf numFmtId="1" fontId="6" fillId="0" borderId="34" xfId="0" applyNumberFormat="1" applyFont="1" applyBorder="1" applyAlignment="1">
      <alignment horizontal="center" vertical="top" wrapText="1"/>
    </xf>
    <xf numFmtId="165" fontId="6" fillId="7" borderId="28" xfId="0" applyNumberFormat="1" applyFont="1" applyFill="1" applyBorder="1" applyAlignment="1">
      <alignment vertical="top" wrapText="1"/>
    </xf>
    <xf numFmtId="165" fontId="1" fillId="7" borderId="48" xfId="0" applyNumberFormat="1" applyFont="1" applyFill="1" applyBorder="1" applyAlignment="1">
      <alignment vertical="top" wrapText="1"/>
    </xf>
    <xf numFmtId="0" fontId="1" fillId="7" borderId="96" xfId="0" applyFont="1" applyFill="1" applyBorder="1" applyAlignment="1">
      <alignment horizontal="left" vertical="top" wrapText="1"/>
    </xf>
    <xf numFmtId="165" fontId="2" fillId="12" borderId="27" xfId="0" applyNumberFormat="1" applyFont="1" applyFill="1" applyBorder="1" applyAlignment="1">
      <alignment horizontal="center" vertical="top" wrapText="1"/>
    </xf>
    <xf numFmtId="3" fontId="1" fillId="7" borderId="20" xfId="0" applyNumberFormat="1" applyFont="1" applyFill="1" applyBorder="1" applyAlignment="1">
      <alignment horizontal="center" vertical="top"/>
    </xf>
    <xf numFmtId="3" fontId="1" fillId="7" borderId="17" xfId="0" applyNumberFormat="1" applyFont="1" applyFill="1" applyBorder="1" applyAlignment="1">
      <alignment horizontal="center" vertical="top"/>
    </xf>
    <xf numFmtId="0" fontId="0" fillId="0" borderId="10" xfId="0" applyBorder="1" applyAlignment="1">
      <alignment vertical="top" wrapText="1"/>
    </xf>
    <xf numFmtId="0" fontId="0" fillId="0" borderId="27" xfId="0" applyBorder="1" applyAlignment="1">
      <alignment vertical="top" wrapText="1"/>
    </xf>
    <xf numFmtId="3" fontId="1" fillId="7" borderId="45" xfId="0" applyNumberFormat="1" applyFont="1" applyFill="1" applyBorder="1" applyAlignment="1">
      <alignment horizontal="center" vertical="top"/>
    </xf>
    <xf numFmtId="3" fontId="1" fillId="7" borderId="47" xfId="0" applyNumberFormat="1" applyFont="1" applyFill="1" applyBorder="1" applyAlignment="1">
      <alignment horizontal="center" vertical="top"/>
    </xf>
    <xf numFmtId="0" fontId="0" fillId="7" borderId="10" xfId="0" applyFill="1" applyBorder="1" applyAlignment="1">
      <alignment horizontal="center" vertical="center" textRotation="90" wrapText="1"/>
    </xf>
    <xf numFmtId="0" fontId="13" fillId="7" borderId="39" xfId="0" applyFont="1" applyFill="1" applyBorder="1" applyAlignment="1">
      <alignment vertical="top" wrapText="1"/>
    </xf>
    <xf numFmtId="0" fontId="13" fillId="7" borderId="46" xfId="0" applyFont="1" applyFill="1" applyBorder="1" applyAlignment="1">
      <alignment vertical="top" wrapText="1"/>
    </xf>
    <xf numFmtId="0" fontId="31" fillId="7" borderId="46" xfId="0" applyFont="1" applyFill="1" applyBorder="1" applyAlignment="1">
      <alignment vertical="top" wrapText="1"/>
    </xf>
    <xf numFmtId="3" fontId="13" fillId="7" borderId="4" xfId="0" applyNumberFormat="1" applyFont="1" applyFill="1" applyBorder="1" applyAlignment="1">
      <alignment horizontal="left" vertical="top" wrapText="1"/>
    </xf>
    <xf numFmtId="3" fontId="13" fillId="7" borderId="6" xfId="0" applyNumberFormat="1" applyFont="1" applyFill="1" applyBorder="1" applyAlignment="1">
      <alignment horizontal="left" vertical="top" wrapText="1"/>
    </xf>
    <xf numFmtId="0" fontId="6" fillId="7" borderId="6" xfId="0" applyFont="1" applyFill="1" applyBorder="1" applyAlignment="1">
      <alignment vertical="top" wrapText="1"/>
    </xf>
    <xf numFmtId="3" fontId="1" fillId="7" borderId="19" xfId="0" applyNumberFormat="1" applyFont="1" applyFill="1" applyBorder="1" applyAlignment="1">
      <alignment horizontal="center" vertical="top"/>
    </xf>
    <xf numFmtId="3" fontId="1" fillId="7" borderId="10" xfId="0" applyNumberFormat="1" applyFont="1" applyFill="1" applyBorder="1" applyAlignment="1">
      <alignment horizontal="center" vertical="top"/>
    </xf>
    <xf numFmtId="165" fontId="13" fillId="7" borderId="17" xfId="0" applyNumberFormat="1" applyFont="1" applyFill="1" applyBorder="1" applyAlignment="1">
      <alignment horizontal="center" vertical="center" wrapText="1"/>
    </xf>
    <xf numFmtId="0" fontId="0" fillId="0" borderId="6" xfId="0" applyBorder="1" applyAlignment="1">
      <alignment vertical="top" wrapText="1"/>
    </xf>
  </cellXfs>
  <cellStyles count="4">
    <cellStyle name="Excel Built-in Normal" xfId="3"/>
    <cellStyle name="Įprastas" xfId="0" builtinId="0"/>
    <cellStyle name="Įprastas 2" xfId="2"/>
    <cellStyle name="Kablelis" xfId="1" builtinId="3"/>
  </cellStyles>
  <dxfs count="0"/>
  <tableStyles count="0" defaultTableStyle="TableStyleMedium2" defaultPivotStyle="PivotStyleLight16"/>
  <colors>
    <mruColors>
      <color rgb="FFFFFFCC"/>
      <color rgb="FFCCFFCC"/>
      <color rgb="FF99FF99"/>
      <color rgb="FFE9C9C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56"/>
  <sheetViews>
    <sheetView tabSelected="1" zoomScaleNormal="100" zoomScaleSheetLayoutView="100" workbookViewId="0">
      <selection activeCell="V11" sqref="V11"/>
    </sheetView>
  </sheetViews>
  <sheetFormatPr defaultRowHeight="12.75" x14ac:dyDescent="0.2"/>
  <cols>
    <col min="1" max="3" width="2.7109375" style="2" customWidth="1"/>
    <col min="4" max="4" width="39.5703125" style="2" customWidth="1"/>
    <col min="5" max="5" width="4.42578125" style="960" customWidth="1"/>
    <col min="6" max="6" width="8.85546875" style="3" customWidth="1"/>
    <col min="7" max="9" width="9" style="2" customWidth="1"/>
    <col min="10" max="10" width="39.85546875" style="2" customWidth="1"/>
    <col min="11" max="12" width="4.7109375" style="2" customWidth="1"/>
    <col min="13" max="13" width="5.28515625" style="2" customWidth="1"/>
    <col min="14" max="14" width="6.28515625" style="1" customWidth="1"/>
    <col min="15" max="15" width="11.140625" style="1" customWidth="1"/>
    <col min="16" max="19" width="9.140625" style="1"/>
    <col min="20" max="20" width="8.7109375" style="1" customWidth="1"/>
    <col min="21" max="16384" width="9.140625" style="1"/>
  </cols>
  <sheetData>
    <row r="1" spans="1:34" s="95" customFormat="1" ht="34.5" customHeight="1" x14ac:dyDescent="0.25">
      <c r="B1" s="248"/>
      <c r="C1" s="248"/>
      <c r="D1" s="248"/>
      <c r="E1" s="248"/>
      <c r="J1" s="1515" t="s">
        <v>221</v>
      </c>
      <c r="K1" s="1515"/>
      <c r="L1" s="1515"/>
      <c r="M1" s="1515"/>
      <c r="N1" s="248"/>
      <c r="O1" s="248"/>
      <c r="P1" s="248"/>
      <c r="Q1" s="248"/>
      <c r="R1" s="248"/>
      <c r="S1" s="248"/>
      <c r="T1" s="248"/>
      <c r="U1" s="248"/>
      <c r="V1" s="248"/>
      <c r="W1" s="248"/>
      <c r="X1" s="248"/>
      <c r="Y1" s="248"/>
      <c r="Z1" s="248"/>
      <c r="AA1" s="248"/>
      <c r="AB1" s="248"/>
      <c r="AC1" s="248"/>
      <c r="AD1" s="248"/>
      <c r="AE1" s="248"/>
      <c r="AF1" s="248"/>
      <c r="AG1" s="248"/>
      <c r="AH1" s="248"/>
    </row>
    <row r="2" spans="1:34" s="95" customFormat="1" ht="15.75" customHeight="1" x14ac:dyDescent="0.25">
      <c r="B2" s="248"/>
      <c r="C2" s="248"/>
      <c r="D2" s="248"/>
      <c r="E2" s="248"/>
      <c r="J2" s="969" t="s">
        <v>212</v>
      </c>
      <c r="K2" s="969"/>
      <c r="L2" s="969"/>
      <c r="M2" s="969"/>
      <c r="N2" s="248"/>
      <c r="O2" s="248"/>
      <c r="P2" s="248"/>
      <c r="Q2" s="248"/>
      <c r="R2" s="248"/>
      <c r="S2" s="248"/>
      <c r="T2" s="248"/>
      <c r="U2" s="248"/>
      <c r="V2" s="248"/>
      <c r="W2" s="248"/>
      <c r="X2" s="248"/>
      <c r="Y2" s="248"/>
      <c r="Z2" s="248"/>
      <c r="AA2" s="248"/>
      <c r="AB2" s="248"/>
      <c r="AC2" s="248"/>
      <c r="AD2" s="248"/>
      <c r="AE2" s="248"/>
      <c r="AF2" s="248"/>
      <c r="AG2" s="248"/>
      <c r="AH2" s="248"/>
    </row>
    <row r="3" spans="1:34" s="95" customFormat="1" ht="12.75" customHeight="1" x14ac:dyDescent="0.25">
      <c r="B3" s="248"/>
      <c r="C3" s="248"/>
      <c r="D3" s="248"/>
      <c r="E3" s="248"/>
      <c r="J3" s="383"/>
      <c r="K3" s="383"/>
      <c r="L3" s="383"/>
      <c r="M3" s="383"/>
      <c r="N3" s="248"/>
      <c r="O3" s="248"/>
      <c r="P3" s="248"/>
      <c r="Q3" s="248"/>
      <c r="R3" s="248"/>
      <c r="S3" s="248"/>
      <c r="T3" s="248"/>
      <c r="U3" s="248"/>
      <c r="V3" s="248"/>
      <c r="W3" s="248"/>
      <c r="X3" s="248"/>
      <c r="Y3" s="248"/>
      <c r="Z3" s="248"/>
      <c r="AA3" s="248"/>
      <c r="AB3" s="248"/>
      <c r="AC3" s="248"/>
      <c r="AD3" s="248"/>
      <c r="AE3" s="248"/>
      <c r="AF3" s="248"/>
      <c r="AG3" s="248"/>
      <c r="AH3" s="248"/>
    </row>
    <row r="4" spans="1:34" s="95" customFormat="1" ht="13.5" customHeight="1" x14ac:dyDescent="0.25">
      <c r="B4" s="248"/>
      <c r="C4" s="248"/>
      <c r="D4" s="248"/>
      <c r="E4" s="248"/>
      <c r="J4" s="383"/>
      <c r="K4" s="383"/>
      <c r="L4" s="383"/>
      <c r="M4" s="383"/>
      <c r="N4" s="248"/>
      <c r="O4" s="248"/>
      <c r="P4" s="248"/>
      <c r="Q4" s="248"/>
      <c r="R4" s="248"/>
      <c r="S4" s="248"/>
      <c r="T4" s="248"/>
      <c r="U4" s="248"/>
      <c r="V4" s="248"/>
      <c r="W4" s="248"/>
      <c r="X4" s="248"/>
      <c r="Y4" s="248"/>
      <c r="Z4" s="248"/>
      <c r="AA4" s="248"/>
      <c r="AB4" s="248"/>
      <c r="AC4" s="248"/>
      <c r="AD4" s="248"/>
      <c r="AE4" s="248"/>
      <c r="AF4" s="248"/>
      <c r="AG4" s="248"/>
      <c r="AH4" s="248"/>
    </row>
    <row r="5" spans="1:34" s="24" customFormat="1" ht="15" x14ac:dyDescent="0.2">
      <c r="A5" s="1305" t="s">
        <v>342</v>
      </c>
      <c r="B5" s="1305"/>
      <c r="C5" s="1305"/>
      <c r="D5" s="1305"/>
      <c r="E5" s="1305"/>
      <c r="F5" s="1305"/>
      <c r="G5" s="1305"/>
      <c r="H5" s="1305"/>
      <c r="I5" s="1305"/>
      <c r="J5" s="1305"/>
      <c r="K5" s="1305"/>
      <c r="L5" s="1305"/>
      <c r="M5" s="1305"/>
    </row>
    <row r="6" spans="1:34" ht="15.75" customHeight="1" x14ac:dyDescent="0.2">
      <c r="A6" s="1306" t="s">
        <v>27</v>
      </c>
      <c r="B6" s="1306"/>
      <c r="C6" s="1306"/>
      <c r="D6" s="1306"/>
      <c r="E6" s="1306"/>
      <c r="F6" s="1306"/>
      <c r="G6" s="1306"/>
      <c r="H6" s="1306"/>
      <c r="I6" s="1306"/>
      <c r="J6" s="1306"/>
      <c r="K6" s="1306"/>
      <c r="L6" s="1306"/>
      <c r="M6" s="1306"/>
    </row>
    <row r="7" spans="1:34" ht="15" customHeight="1" x14ac:dyDescent="0.2">
      <c r="A7" s="1307" t="s">
        <v>16</v>
      </c>
      <c r="B7" s="1307"/>
      <c r="C7" s="1307"/>
      <c r="D7" s="1307"/>
      <c r="E7" s="1307"/>
      <c r="F7" s="1307"/>
      <c r="G7" s="1307"/>
      <c r="H7" s="1307"/>
      <c r="I7" s="1307"/>
      <c r="J7" s="1307"/>
      <c r="K7" s="1307"/>
      <c r="L7" s="1307"/>
      <c r="M7" s="1307"/>
    </row>
    <row r="8" spans="1:34" ht="15" customHeight="1" thickBot="1" x14ac:dyDescent="0.25">
      <c r="A8" s="11"/>
      <c r="B8" s="11"/>
      <c r="C8" s="11"/>
      <c r="D8" s="11"/>
      <c r="E8" s="771"/>
      <c r="F8" s="137"/>
      <c r="G8" s="11"/>
      <c r="H8" s="11"/>
      <c r="I8" s="11"/>
      <c r="J8" s="1308" t="s">
        <v>86</v>
      </c>
      <c r="K8" s="1308"/>
      <c r="L8" s="1308"/>
      <c r="M8" s="1309"/>
    </row>
    <row r="9" spans="1:34" s="24" customFormat="1" ht="30" customHeight="1" x14ac:dyDescent="0.2">
      <c r="A9" s="1310" t="s">
        <v>17</v>
      </c>
      <c r="B9" s="1313" t="s">
        <v>0</v>
      </c>
      <c r="C9" s="1313" t="s">
        <v>1</v>
      </c>
      <c r="D9" s="1316" t="s">
        <v>11</v>
      </c>
      <c r="E9" s="1349" t="s">
        <v>2</v>
      </c>
      <c r="F9" s="1352" t="s">
        <v>3</v>
      </c>
      <c r="G9" s="1333" t="s">
        <v>243</v>
      </c>
      <c r="H9" s="1333" t="s">
        <v>168</v>
      </c>
      <c r="I9" s="1333" t="s">
        <v>244</v>
      </c>
      <c r="J9" s="1336" t="s">
        <v>10</v>
      </c>
      <c r="K9" s="1337"/>
      <c r="L9" s="1337"/>
      <c r="M9" s="1338"/>
    </row>
    <row r="10" spans="1:34" s="24" customFormat="1" ht="18.75" customHeight="1" x14ac:dyDescent="0.2">
      <c r="A10" s="1311"/>
      <c r="B10" s="1314"/>
      <c r="C10" s="1314"/>
      <c r="D10" s="1317"/>
      <c r="E10" s="1350"/>
      <c r="F10" s="1353"/>
      <c r="G10" s="1334"/>
      <c r="H10" s="1334"/>
      <c r="I10" s="1334"/>
      <c r="J10" s="1339" t="s">
        <v>11</v>
      </c>
      <c r="K10" s="1341" t="s">
        <v>75</v>
      </c>
      <c r="L10" s="1341"/>
      <c r="M10" s="1342"/>
    </row>
    <row r="11" spans="1:34" s="24" customFormat="1" ht="66.75" customHeight="1" thickBot="1" x14ac:dyDescent="0.25">
      <c r="A11" s="1312"/>
      <c r="B11" s="1315"/>
      <c r="C11" s="1315"/>
      <c r="D11" s="1318"/>
      <c r="E11" s="1351"/>
      <c r="F11" s="1354"/>
      <c r="G11" s="1335"/>
      <c r="H11" s="1335"/>
      <c r="I11" s="1335"/>
      <c r="J11" s="1340"/>
      <c r="K11" s="96" t="s">
        <v>125</v>
      </c>
      <c r="L11" s="96" t="s">
        <v>169</v>
      </c>
      <c r="M11" s="97" t="s">
        <v>242</v>
      </c>
    </row>
    <row r="12" spans="1:34" s="7" customFormat="1" ht="14.25" customHeight="1" x14ac:dyDescent="0.2">
      <c r="A12" s="1343" t="s">
        <v>55</v>
      </c>
      <c r="B12" s="1344"/>
      <c r="C12" s="1344"/>
      <c r="D12" s="1344"/>
      <c r="E12" s="1344"/>
      <c r="F12" s="1344"/>
      <c r="G12" s="1344"/>
      <c r="H12" s="1344"/>
      <c r="I12" s="1344"/>
      <c r="J12" s="1344"/>
      <c r="K12" s="1344"/>
      <c r="L12" s="1344"/>
      <c r="M12" s="1345"/>
    </row>
    <row r="13" spans="1:34" s="7" customFormat="1" ht="14.25" customHeight="1" x14ac:dyDescent="0.2">
      <c r="A13" s="1346" t="s">
        <v>24</v>
      </c>
      <c r="B13" s="1347"/>
      <c r="C13" s="1347"/>
      <c r="D13" s="1347"/>
      <c r="E13" s="1347"/>
      <c r="F13" s="1347"/>
      <c r="G13" s="1347"/>
      <c r="H13" s="1347"/>
      <c r="I13" s="1347"/>
      <c r="J13" s="1347"/>
      <c r="K13" s="1347"/>
      <c r="L13" s="1347"/>
      <c r="M13" s="1348"/>
    </row>
    <row r="14" spans="1:34" ht="16.5" customHeight="1" x14ac:dyDescent="0.2">
      <c r="A14" s="13" t="s">
        <v>4</v>
      </c>
      <c r="B14" s="1319" t="s">
        <v>28</v>
      </c>
      <c r="C14" s="1320"/>
      <c r="D14" s="1320"/>
      <c r="E14" s="1320"/>
      <c r="F14" s="1320"/>
      <c r="G14" s="1320"/>
      <c r="H14" s="1320"/>
      <c r="I14" s="1320"/>
      <c r="J14" s="1320"/>
      <c r="K14" s="1320"/>
      <c r="L14" s="1320"/>
      <c r="M14" s="1321"/>
    </row>
    <row r="15" spans="1:34" ht="15" customHeight="1" x14ac:dyDescent="0.2">
      <c r="A15" s="136" t="s">
        <v>4</v>
      </c>
      <c r="B15" s="9" t="s">
        <v>4</v>
      </c>
      <c r="C15" s="1322" t="s">
        <v>322</v>
      </c>
      <c r="D15" s="1323"/>
      <c r="E15" s="1323"/>
      <c r="F15" s="1323"/>
      <c r="G15" s="1323"/>
      <c r="H15" s="1323"/>
      <c r="I15" s="1323"/>
      <c r="J15" s="1323"/>
      <c r="K15" s="1323"/>
      <c r="L15" s="1323"/>
      <c r="M15" s="1324"/>
    </row>
    <row r="16" spans="1:34" ht="13.5" customHeight="1" x14ac:dyDescent="0.2">
      <c r="A16" s="1078" t="s">
        <v>4</v>
      </c>
      <c r="B16" s="1080" t="s">
        <v>4</v>
      </c>
      <c r="C16" s="1075" t="s">
        <v>4</v>
      </c>
      <c r="D16" s="1325" t="s">
        <v>266</v>
      </c>
      <c r="E16" s="982" t="s">
        <v>44</v>
      </c>
      <c r="F16" s="379" t="s">
        <v>23</v>
      </c>
      <c r="G16" s="399">
        <f>3411.5+88.8</f>
        <v>3500.3</v>
      </c>
      <c r="H16" s="238">
        <v>9281.9</v>
      </c>
      <c r="I16" s="238">
        <v>4329.7</v>
      </c>
      <c r="J16" s="178"/>
      <c r="K16" s="454"/>
      <c r="L16" s="455"/>
      <c r="M16" s="618"/>
    </row>
    <row r="17" spans="1:13" ht="13.5" customHeight="1" x14ac:dyDescent="0.2">
      <c r="A17" s="1078"/>
      <c r="B17" s="1107"/>
      <c r="C17" s="1075"/>
      <c r="D17" s="1326"/>
      <c r="E17" s="982" t="s">
        <v>291</v>
      </c>
      <c r="F17" s="622" t="s">
        <v>54</v>
      </c>
      <c r="G17" s="416">
        <f>1657.5+165</f>
        <v>1822.5</v>
      </c>
      <c r="H17" s="39">
        <v>0</v>
      </c>
      <c r="I17" s="39">
        <v>0</v>
      </c>
      <c r="J17" s="178"/>
      <c r="K17" s="179"/>
      <c r="L17" s="180"/>
      <c r="M17" s="181"/>
    </row>
    <row r="18" spans="1:13" ht="13.5" customHeight="1" x14ac:dyDescent="0.2">
      <c r="A18" s="1078"/>
      <c r="B18" s="1107"/>
      <c r="C18" s="1075"/>
      <c r="D18" s="1326"/>
      <c r="E18" s="979"/>
      <c r="F18" s="987" t="s">
        <v>78</v>
      </c>
      <c r="G18" s="40">
        <v>744.1</v>
      </c>
      <c r="H18" s="41">
        <v>0</v>
      </c>
      <c r="I18" s="41">
        <v>0</v>
      </c>
      <c r="J18" s="178"/>
      <c r="K18" s="179"/>
      <c r="L18" s="180"/>
      <c r="M18" s="181"/>
    </row>
    <row r="19" spans="1:13" ht="13.5" customHeight="1" x14ac:dyDescent="0.2">
      <c r="A19" s="1078"/>
      <c r="B19" s="1107"/>
      <c r="C19" s="1075"/>
      <c r="D19" s="1326"/>
      <c r="E19" s="979"/>
      <c r="F19" s="622" t="s">
        <v>79</v>
      </c>
      <c r="G19" s="416">
        <v>5116.5</v>
      </c>
      <c r="H19" s="39">
        <v>5083.3</v>
      </c>
      <c r="I19" s="39">
        <f>5467.9+100</f>
        <v>5567.9</v>
      </c>
      <c r="J19" s="178"/>
      <c r="K19" s="179"/>
      <c r="L19" s="180"/>
      <c r="M19" s="181"/>
    </row>
    <row r="20" spans="1:13" ht="13.5" customHeight="1" x14ac:dyDescent="0.2">
      <c r="A20" s="1078"/>
      <c r="B20" s="1107"/>
      <c r="C20" s="1075"/>
      <c r="D20" s="616"/>
      <c r="E20" s="979"/>
      <c r="F20" s="39" t="s">
        <v>62</v>
      </c>
      <c r="G20" s="416">
        <v>0</v>
      </c>
      <c r="H20" s="39">
        <v>0</v>
      </c>
      <c r="I20" s="39">
        <v>0</v>
      </c>
      <c r="J20" s="178"/>
      <c r="K20" s="179"/>
      <c r="L20" s="180"/>
      <c r="M20" s="181"/>
    </row>
    <row r="21" spans="1:13" ht="13.5" customHeight="1" x14ac:dyDescent="0.2">
      <c r="A21" s="1078"/>
      <c r="B21" s="1107"/>
      <c r="C21" s="1075"/>
      <c r="D21" s="616"/>
      <c r="E21" s="979"/>
      <c r="F21" s="41" t="s">
        <v>65</v>
      </c>
      <c r="G21" s="414">
        <v>84.3</v>
      </c>
      <c r="H21" s="43">
        <v>0</v>
      </c>
      <c r="I21" s="43">
        <v>0</v>
      </c>
      <c r="J21" s="178"/>
      <c r="K21" s="179"/>
      <c r="L21" s="180"/>
      <c r="M21" s="181"/>
    </row>
    <row r="22" spans="1:13" ht="13.5" customHeight="1" x14ac:dyDescent="0.2">
      <c r="A22" s="1078"/>
      <c r="B22" s="1107"/>
      <c r="C22" s="1075"/>
      <c r="D22" s="616"/>
      <c r="E22" s="979"/>
      <c r="F22" s="622" t="s">
        <v>167</v>
      </c>
      <c r="G22" s="416">
        <v>1003.7</v>
      </c>
      <c r="H22" s="39">
        <v>430.2</v>
      </c>
      <c r="I22" s="39">
        <v>0</v>
      </c>
      <c r="J22" s="178"/>
      <c r="K22" s="179"/>
      <c r="L22" s="180"/>
      <c r="M22" s="181"/>
    </row>
    <row r="23" spans="1:13" ht="13.5" customHeight="1" x14ac:dyDescent="0.2">
      <c r="A23" s="1180"/>
      <c r="B23" s="1182"/>
      <c r="C23" s="1179"/>
      <c r="D23" s="616"/>
      <c r="E23" s="979"/>
      <c r="F23" s="622" t="s">
        <v>367</v>
      </c>
      <c r="G23" s="414">
        <v>5000</v>
      </c>
      <c r="H23" s="43">
        <v>5000</v>
      </c>
      <c r="I23" s="43"/>
      <c r="J23" s="178"/>
      <c r="K23" s="179"/>
      <c r="L23" s="180"/>
      <c r="M23" s="181"/>
    </row>
    <row r="24" spans="1:13" ht="13.5" customHeight="1" x14ac:dyDescent="0.2">
      <c r="A24" s="1078"/>
      <c r="B24" s="1107"/>
      <c r="C24" s="1075"/>
      <c r="D24" s="616"/>
      <c r="E24" s="979"/>
      <c r="F24" s="622" t="s">
        <v>41</v>
      </c>
      <c r="G24" s="414">
        <v>291.60000000000002</v>
      </c>
      <c r="H24" s="43">
        <v>2207.3000000000002</v>
      </c>
      <c r="I24" s="43">
        <v>1339.6</v>
      </c>
      <c r="J24" s="178"/>
      <c r="K24" s="179"/>
      <c r="L24" s="180"/>
      <c r="M24" s="181"/>
    </row>
    <row r="25" spans="1:13" ht="13.5" customHeight="1" x14ac:dyDescent="0.2">
      <c r="A25" s="1078"/>
      <c r="B25" s="1107"/>
      <c r="C25" s="1075"/>
      <c r="D25" s="616"/>
      <c r="E25" s="979"/>
      <c r="F25" s="622" t="s">
        <v>45</v>
      </c>
      <c r="G25" s="416">
        <v>1542</v>
      </c>
      <c r="H25" s="39">
        <v>0</v>
      </c>
      <c r="I25" s="39">
        <v>0</v>
      </c>
      <c r="J25" s="178"/>
      <c r="K25" s="179"/>
      <c r="L25" s="180"/>
      <c r="M25" s="181"/>
    </row>
    <row r="26" spans="1:13" ht="13.5" customHeight="1" x14ac:dyDescent="0.2">
      <c r="A26" s="1078"/>
      <c r="B26" s="1107"/>
      <c r="C26" s="1075"/>
      <c r="D26" s="616"/>
      <c r="E26" s="979"/>
      <c r="F26" s="987" t="s">
        <v>178</v>
      </c>
      <c r="G26" s="40">
        <f>1000</f>
        <v>1000</v>
      </c>
      <c r="H26" s="41">
        <f>6350</f>
        <v>6350</v>
      </c>
      <c r="I26" s="41">
        <v>13015.1</v>
      </c>
      <c r="J26" s="178"/>
      <c r="K26" s="179"/>
      <c r="L26" s="180"/>
      <c r="M26" s="181"/>
    </row>
    <row r="27" spans="1:13" ht="13.5" customHeight="1" x14ac:dyDescent="0.2">
      <c r="A27" s="1078"/>
      <c r="B27" s="1107"/>
      <c r="C27" s="1075"/>
      <c r="D27" s="616"/>
      <c r="E27" s="979"/>
      <c r="F27" s="622" t="s">
        <v>42</v>
      </c>
      <c r="G27" s="416">
        <f>100.2+4.9</f>
        <v>105.1</v>
      </c>
      <c r="H27" s="325">
        <v>114.2</v>
      </c>
      <c r="I27" s="325">
        <v>60</v>
      </c>
      <c r="J27" s="661"/>
      <c r="K27" s="663"/>
      <c r="L27" s="663"/>
      <c r="M27" s="181"/>
    </row>
    <row r="28" spans="1:13" ht="13.5" customHeight="1" x14ac:dyDescent="0.2">
      <c r="A28" s="1059"/>
      <c r="B28" s="1106"/>
      <c r="C28" s="1061"/>
      <c r="D28" s="1327" t="s">
        <v>101</v>
      </c>
      <c r="E28" s="1329" t="s">
        <v>292</v>
      </c>
      <c r="F28" s="375"/>
      <c r="G28" s="73"/>
      <c r="H28" s="41"/>
      <c r="I28" s="41"/>
      <c r="J28" s="442" t="s">
        <v>43</v>
      </c>
      <c r="K28" s="1118">
        <v>1</v>
      </c>
      <c r="L28" s="1089"/>
      <c r="M28" s="1114"/>
    </row>
    <row r="29" spans="1:13" ht="13.5" customHeight="1" x14ac:dyDescent="0.2">
      <c r="A29" s="1059"/>
      <c r="B29" s="1106"/>
      <c r="C29" s="1061"/>
      <c r="D29" s="1328"/>
      <c r="E29" s="1330"/>
      <c r="F29" s="42"/>
      <c r="G29" s="61"/>
      <c r="H29" s="41"/>
      <c r="I29" s="41"/>
      <c r="J29" s="1331" t="s">
        <v>174</v>
      </c>
      <c r="K29" s="246">
        <v>15</v>
      </c>
      <c r="L29" s="246">
        <v>45</v>
      </c>
      <c r="M29" s="120">
        <v>85</v>
      </c>
    </row>
    <row r="30" spans="1:13" ht="13.5" customHeight="1" x14ac:dyDescent="0.2">
      <c r="A30" s="1059"/>
      <c r="B30" s="1106"/>
      <c r="C30" s="1061"/>
      <c r="D30" s="1328"/>
      <c r="E30" s="1330"/>
      <c r="F30" s="41"/>
      <c r="G30" s="40"/>
      <c r="H30" s="41"/>
      <c r="I30" s="41"/>
      <c r="J30" s="1332"/>
      <c r="K30" s="301"/>
      <c r="L30" s="191"/>
      <c r="M30" s="309"/>
    </row>
    <row r="31" spans="1:13" ht="27" customHeight="1" x14ac:dyDescent="0.2">
      <c r="A31" s="1059"/>
      <c r="B31" s="1106"/>
      <c r="C31" s="1061"/>
      <c r="D31" s="1094" t="s">
        <v>345</v>
      </c>
      <c r="E31" s="1002"/>
      <c r="F31" s="46"/>
      <c r="G31" s="360"/>
      <c r="H31" s="46"/>
      <c r="I31" s="46"/>
      <c r="J31" s="991" t="s">
        <v>280</v>
      </c>
      <c r="K31" s="17">
        <v>50</v>
      </c>
      <c r="L31" s="100">
        <v>100</v>
      </c>
      <c r="M31" s="18"/>
    </row>
    <row r="32" spans="1:13" ht="27" customHeight="1" x14ac:dyDescent="0.2">
      <c r="A32" s="1059"/>
      <c r="B32" s="1106"/>
      <c r="C32" s="1061"/>
      <c r="D32" s="1095"/>
      <c r="E32" s="1003"/>
      <c r="F32" s="43"/>
      <c r="G32" s="74"/>
      <c r="H32" s="43"/>
      <c r="I32" s="43"/>
      <c r="J32" s="389" t="s">
        <v>281</v>
      </c>
      <c r="K32" s="301">
        <v>100</v>
      </c>
      <c r="L32" s="191"/>
      <c r="M32" s="309"/>
    </row>
    <row r="33" spans="1:13" ht="15" customHeight="1" x14ac:dyDescent="0.2">
      <c r="A33" s="1355"/>
      <c r="B33" s="1356"/>
      <c r="C33" s="1357"/>
      <c r="D33" s="1384" t="s">
        <v>196</v>
      </c>
      <c r="E33" s="982" t="s">
        <v>291</v>
      </c>
      <c r="F33" s="1112"/>
      <c r="G33" s="73"/>
      <c r="H33" s="766"/>
      <c r="I33" s="1112"/>
      <c r="J33" s="1372"/>
      <c r="K33" s="1117"/>
      <c r="L33" s="1116"/>
      <c r="M33" s="1114"/>
    </row>
    <row r="34" spans="1:13" ht="15" customHeight="1" x14ac:dyDescent="0.2">
      <c r="A34" s="1355"/>
      <c r="B34" s="1356"/>
      <c r="C34" s="1357"/>
      <c r="D34" s="1392"/>
      <c r="E34" s="1122"/>
      <c r="F34" s="41"/>
      <c r="G34" s="184"/>
      <c r="H34" s="443"/>
      <c r="I34" s="42"/>
      <c r="J34" s="1373"/>
      <c r="K34" s="1089"/>
      <c r="L34" s="1089"/>
      <c r="M34" s="1115"/>
    </row>
    <row r="35" spans="1:13" ht="11.25" customHeight="1" x14ac:dyDescent="0.2">
      <c r="A35" s="1355"/>
      <c r="B35" s="1356"/>
      <c r="C35" s="1357"/>
      <c r="D35" s="1445"/>
      <c r="E35" s="1122"/>
      <c r="F35" s="41"/>
      <c r="G35" s="61"/>
      <c r="H35" s="41"/>
      <c r="I35" s="41"/>
      <c r="J35" s="1070"/>
      <c r="K35" s="1089"/>
      <c r="L35" s="1089"/>
      <c r="M35" s="1115"/>
    </row>
    <row r="36" spans="1:13" ht="25.5" customHeight="1" x14ac:dyDescent="0.2">
      <c r="A36" s="1355"/>
      <c r="B36" s="1356"/>
      <c r="C36" s="1357"/>
      <c r="D36" s="233" t="s">
        <v>115</v>
      </c>
      <c r="E36" s="988"/>
      <c r="F36" s="39"/>
      <c r="G36" s="114"/>
      <c r="H36" s="39"/>
      <c r="I36" s="39"/>
      <c r="J36" s="52" t="s">
        <v>138</v>
      </c>
      <c r="K36" s="100">
        <v>100</v>
      </c>
      <c r="L36" s="100"/>
      <c r="M36" s="18"/>
    </row>
    <row r="37" spans="1:13" ht="27" customHeight="1" x14ac:dyDescent="0.2">
      <c r="A37" s="1355"/>
      <c r="B37" s="1356"/>
      <c r="C37" s="1357"/>
      <c r="D37" s="1103" t="s">
        <v>97</v>
      </c>
      <c r="E37" s="1120"/>
      <c r="F37" s="1113"/>
      <c r="G37" s="93"/>
      <c r="H37" s="1113"/>
      <c r="I37" s="1113"/>
      <c r="J37" s="1121" t="s">
        <v>139</v>
      </c>
      <c r="K37" s="32">
        <v>50</v>
      </c>
      <c r="L37" s="32">
        <v>100</v>
      </c>
      <c r="M37" s="16"/>
    </row>
    <row r="38" spans="1:13" ht="18" customHeight="1" x14ac:dyDescent="0.2">
      <c r="A38" s="1059"/>
      <c r="B38" s="1106"/>
      <c r="C38" s="1061"/>
      <c r="D38" s="1327" t="s">
        <v>156</v>
      </c>
      <c r="E38" s="980"/>
      <c r="F38" s="41"/>
      <c r="G38" s="61"/>
      <c r="H38" s="41"/>
      <c r="I38" s="41"/>
      <c r="J38" s="1375" t="s">
        <v>160</v>
      </c>
      <c r="K38" s="310">
        <v>85</v>
      </c>
      <c r="L38" s="485">
        <v>100</v>
      </c>
      <c r="M38" s="317"/>
    </row>
    <row r="39" spans="1:13" ht="15" customHeight="1" x14ac:dyDescent="0.2">
      <c r="A39" s="1059"/>
      <c r="B39" s="1106"/>
      <c r="C39" s="1061"/>
      <c r="D39" s="1374"/>
      <c r="E39" s="981"/>
      <c r="F39" s="1113"/>
      <c r="G39" s="93"/>
      <c r="H39" s="1113"/>
      <c r="I39" s="1113"/>
      <c r="J39" s="1376"/>
      <c r="K39" s="286"/>
      <c r="L39" s="99"/>
      <c r="M39" s="20"/>
    </row>
    <row r="40" spans="1:13" ht="15.75" customHeight="1" x14ac:dyDescent="0.2">
      <c r="A40" s="1355"/>
      <c r="B40" s="1378"/>
      <c r="C40" s="1357"/>
      <c r="D40" s="1384" t="s">
        <v>153</v>
      </c>
      <c r="E40" s="982" t="s">
        <v>291</v>
      </c>
      <c r="F40" s="1112"/>
      <c r="G40" s="73"/>
      <c r="H40" s="1112"/>
      <c r="I40" s="1112"/>
      <c r="J40" s="1072" t="s">
        <v>126</v>
      </c>
      <c r="K40" s="292">
        <v>100</v>
      </c>
      <c r="L40" s="292"/>
      <c r="M40" s="232"/>
    </row>
    <row r="41" spans="1:13" ht="15" customHeight="1" x14ac:dyDescent="0.2">
      <c r="A41" s="1355"/>
      <c r="B41" s="1378"/>
      <c r="C41" s="1357"/>
      <c r="D41" s="1385"/>
      <c r="E41" s="989"/>
      <c r="F41" s="376"/>
      <c r="G41" s="93"/>
      <c r="H41" s="1113"/>
      <c r="I41" s="1113"/>
      <c r="J41" s="220"/>
      <c r="K41" s="293"/>
      <c r="L41" s="293"/>
      <c r="M41" s="162"/>
    </row>
    <row r="42" spans="1:13" ht="41.25" customHeight="1" x14ac:dyDescent="0.2">
      <c r="A42" s="1078"/>
      <c r="B42" s="1080"/>
      <c r="C42" s="1362" t="s">
        <v>241</v>
      </c>
      <c r="D42" s="1365" t="s">
        <v>164</v>
      </c>
      <c r="E42" s="990" t="s">
        <v>291</v>
      </c>
      <c r="F42" s="1112"/>
      <c r="G42" s="73"/>
      <c r="H42" s="1112"/>
      <c r="I42" s="1112"/>
      <c r="J42" s="1096" t="s">
        <v>285</v>
      </c>
      <c r="K42" s="465" t="s">
        <v>49</v>
      </c>
      <c r="L42" s="1124"/>
      <c r="M42" s="225"/>
    </row>
    <row r="43" spans="1:13" ht="26.25" customHeight="1" x14ac:dyDescent="0.2">
      <c r="A43" s="1078"/>
      <c r="B43" s="1080"/>
      <c r="C43" s="1363"/>
      <c r="D43" s="1366"/>
      <c r="E43" s="1368" t="s">
        <v>344</v>
      </c>
      <c r="F43" s="41"/>
      <c r="G43" s="61"/>
      <c r="H43" s="41"/>
      <c r="I43" s="41"/>
      <c r="J43" s="991" t="s">
        <v>286</v>
      </c>
      <c r="K43" s="420" t="s">
        <v>49</v>
      </c>
      <c r="L43" s="613"/>
      <c r="M43" s="402"/>
    </row>
    <row r="44" spans="1:13" ht="28.5" customHeight="1" x14ac:dyDescent="0.2">
      <c r="A44" s="1078"/>
      <c r="B44" s="1107"/>
      <c r="C44" s="1363"/>
      <c r="D44" s="1367"/>
      <c r="E44" s="1369"/>
      <c r="F44" s="1113"/>
      <c r="G44" s="93"/>
      <c r="H44" s="1113"/>
      <c r="I44" s="1113"/>
      <c r="J44" s="123" t="s">
        <v>176</v>
      </c>
      <c r="K44" s="242" t="s">
        <v>40</v>
      </c>
      <c r="L44" s="1125" t="s">
        <v>234</v>
      </c>
      <c r="M44" s="228" t="s">
        <v>235</v>
      </c>
    </row>
    <row r="45" spans="1:13" ht="13.5" customHeight="1" x14ac:dyDescent="0.2">
      <c r="A45" s="1059"/>
      <c r="B45" s="1106"/>
      <c r="C45" s="1363"/>
      <c r="D45" s="1366" t="s">
        <v>240</v>
      </c>
      <c r="E45" s="1370" t="s">
        <v>291</v>
      </c>
      <c r="F45" s="41"/>
      <c r="G45" s="70"/>
      <c r="H45" s="41"/>
      <c r="I45" s="41"/>
      <c r="J45" s="438" t="s">
        <v>111</v>
      </c>
      <c r="K45" s="774"/>
      <c r="L45" s="775" t="s">
        <v>234</v>
      </c>
      <c r="M45" s="765" t="s">
        <v>235</v>
      </c>
    </row>
    <row r="46" spans="1:13" ht="14.25" customHeight="1" x14ac:dyDescent="0.2">
      <c r="A46" s="1059"/>
      <c r="B46" s="1106"/>
      <c r="C46" s="1364"/>
      <c r="D46" s="1366"/>
      <c r="E46" s="1371"/>
      <c r="F46" s="1113"/>
      <c r="G46" s="71"/>
      <c r="H46" s="1113"/>
      <c r="I46" s="1113"/>
      <c r="J46" s="441"/>
      <c r="K46" s="436"/>
      <c r="L46" s="437"/>
      <c r="M46" s="490"/>
    </row>
    <row r="47" spans="1:13" ht="13.5" customHeight="1" x14ac:dyDescent="0.2">
      <c r="A47" s="1377"/>
      <c r="B47" s="1378"/>
      <c r="C47" s="1379" t="s">
        <v>306</v>
      </c>
      <c r="D47" s="1327" t="s">
        <v>52</v>
      </c>
      <c r="E47" s="982" t="s">
        <v>291</v>
      </c>
      <c r="F47" s="1112"/>
      <c r="G47" s="73"/>
      <c r="H47" s="1112"/>
      <c r="I47" s="1112"/>
      <c r="J47" s="1372" t="s">
        <v>112</v>
      </c>
      <c r="K47" s="285">
        <v>35</v>
      </c>
      <c r="L47" s="396">
        <v>90</v>
      </c>
      <c r="M47" s="393">
        <v>100</v>
      </c>
    </row>
    <row r="48" spans="1:13" ht="17.25" customHeight="1" x14ac:dyDescent="0.2">
      <c r="A48" s="1377"/>
      <c r="B48" s="1378"/>
      <c r="C48" s="1380"/>
      <c r="D48" s="1328"/>
      <c r="E48" s="966"/>
      <c r="F48" s="1113"/>
      <c r="G48" s="106"/>
      <c r="H48" s="1113"/>
      <c r="I48" s="1113"/>
      <c r="J48" s="1402"/>
      <c r="K48" s="286"/>
      <c r="L48" s="99"/>
      <c r="M48" s="20"/>
    </row>
    <row r="49" spans="1:13" ht="16.5" customHeight="1" x14ac:dyDescent="0.2">
      <c r="A49" s="1377"/>
      <c r="B49" s="1378"/>
      <c r="C49" s="1380"/>
      <c r="D49" s="1365" t="s">
        <v>152</v>
      </c>
      <c r="E49" s="992" t="s">
        <v>291</v>
      </c>
      <c r="F49" s="1112"/>
      <c r="G49" s="73"/>
      <c r="H49" s="1112"/>
      <c r="I49" s="1112"/>
      <c r="J49" s="1358" t="s">
        <v>136</v>
      </c>
      <c r="K49" s="285">
        <v>40</v>
      </c>
      <c r="L49" s="396">
        <v>100</v>
      </c>
      <c r="M49" s="393"/>
    </row>
    <row r="50" spans="1:13" ht="12.75" customHeight="1" x14ac:dyDescent="0.2">
      <c r="A50" s="1377"/>
      <c r="B50" s="1378"/>
      <c r="C50" s="1380"/>
      <c r="D50" s="1366"/>
      <c r="E50" s="1360"/>
      <c r="F50" s="41"/>
      <c r="G50" s="61"/>
      <c r="H50" s="41"/>
      <c r="I50" s="41"/>
      <c r="J50" s="1359"/>
      <c r="K50" s="284"/>
      <c r="L50" s="397"/>
      <c r="M50" s="332"/>
    </row>
    <row r="51" spans="1:13" ht="54.75" customHeight="1" x14ac:dyDescent="0.2">
      <c r="A51" s="1377"/>
      <c r="B51" s="1378"/>
      <c r="C51" s="1381"/>
      <c r="D51" s="1367"/>
      <c r="E51" s="1361"/>
      <c r="F51" s="380"/>
      <c r="G51" s="93"/>
      <c r="H51" s="1113"/>
      <c r="I51" s="1113"/>
      <c r="J51" s="447" t="s">
        <v>137</v>
      </c>
      <c r="K51" s="448"/>
      <c r="L51" s="448"/>
      <c r="M51" s="449" t="s">
        <v>175</v>
      </c>
    </row>
    <row r="52" spans="1:13" ht="15" customHeight="1" x14ac:dyDescent="0.2">
      <c r="A52" s="1059"/>
      <c r="B52" s="1106"/>
      <c r="C52" s="966"/>
      <c r="D52" s="1392" t="s">
        <v>279</v>
      </c>
      <c r="E52" s="979" t="s">
        <v>291</v>
      </c>
      <c r="F52" s="41"/>
      <c r="G52" s="61"/>
      <c r="H52" s="41"/>
      <c r="I52" s="41"/>
      <c r="J52" s="1375" t="s">
        <v>111</v>
      </c>
      <c r="K52" s="1088">
        <v>75</v>
      </c>
      <c r="L52" s="1089">
        <v>100</v>
      </c>
      <c r="M52" s="1115"/>
    </row>
    <row r="53" spans="1:13" ht="17.25" customHeight="1" x14ac:dyDescent="0.2">
      <c r="A53" s="1059"/>
      <c r="B53" s="1106"/>
      <c r="C53" s="966"/>
      <c r="D53" s="1392"/>
      <c r="E53" s="1122"/>
      <c r="F53" s="41"/>
      <c r="G53" s="61"/>
      <c r="H53" s="41"/>
      <c r="I53" s="41"/>
      <c r="J53" s="1375"/>
      <c r="K53" s="1088"/>
      <c r="L53" s="1089"/>
      <c r="M53" s="1115"/>
    </row>
    <row r="54" spans="1:13" ht="21" customHeight="1" x14ac:dyDescent="0.2">
      <c r="A54" s="1059"/>
      <c r="B54" s="1106"/>
      <c r="C54" s="1061"/>
      <c r="D54" s="1393"/>
      <c r="E54" s="1120"/>
      <c r="F54" s="376"/>
      <c r="G54" s="93"/>
      <c r="H54" s="1113"/>
      <c r="I54" s="1113"/>
      <c r="J54" s="1091"/>
      <c r="K54" s="164"/>
      <c r="L54" s="32"/>
      <c r="M54" s="16"/>
    </row>
    <row r="55" spans="1:13" ht="13.5" customHeight="1" x14ac:dyDescent="0.2">
      <c r="A55" s="1059"/>
      <c r="B55" s="1060"/>
      <c r="C55" s="60"/>
      <c r="D55" s="1328" t="s">
        <v>278</v>
      </c>
      <c r="E55" s="1389"/>
      <c r="F55" s="41"/>
      <c r="G55" s="61"/>
      <c r="H55" s="41"/>
      <c r="I55" s="41"/>
      <c r="J55" s="1375" t="s">
        <v>386</v>
      </c>
      <c r="K55" s="260"/>
      <c r="L55" s="428">
        <v>1</v>
      </c>
      <c r="M55" s="177"/>
    </row>
    <row r="56" spans="1:13" ht="12.75" customHeight="1" x14ac:dyDescent="0.2">
      <c r="A56" s="1059"/>
      <c r="B56" s="1060"/>
      <c r="C56" s="60"/>
      <c r="D56" s="1328"/>
      <c r="E56" s="1390"/>
      <c r="F56" s="41"/>
      <c r="G56" s="61"/>
      <c r="H56" s="41"/>
      <c r="I56" s="41"/>
      <c r="J56" s="1391"/>
      <c r="K56" s="260"/>
      <c r="L56" s="260"/>
      <c r="M56" s="177"/>
    </row>
    <row r="57" spans="1:13" ht="7.5" customHeight="1" x14ac:dyDescent="0.2">
      <c r="A57" s="1059"/>
      <c r="B57" s="1106"/>
      <c r="C57" s="1061"/>
      <c r="D57" s="1103"/>
      <c r="E57" s="1120"/>
      <c r="F57" s="444"/>
      <c r="G57" s="61"/>
      <c r="H57" s="41"/>
      <c r="I57" s="41"/>
      <c r="J57" s="1091"/>
      <c r="K57" s="164"/>
      <c r="L57" s="32"/>
      <c r="M57" s="16"/>
    </row>
    <row r="58" spans="1:13" ht="14.25" customHeight="1" x14ac:dyDescent="0.2">
      <c r="A58" s="1059"/>
      <c r="B58" s="1106"/>
      <c r="C58" s="1061"/>
      <c r="D58" s="1392" t="s">
        <v>237</v>
      </c>
      <c r="E58" s="979" t="s">
        <v>291</v>
      </c>
      <c r="F58" s="1112"/>
      <c r="G58" s="986"/>
      <c r="H58" s="1112"/>
      <c r="I58" s="1112"/>
      <c r="J58" s="963" t="s">
        <v>74</v>
      </c>
      <c r="K58" s="446">
        <v>1</v>
      </c>
      <c r="L58" s="1089"/>
      <c r="M58" s="1115"/>
    </row>
    <row r="59" spans="1:13" ht="14.25" customHeight="1" x14ac:dyDescent="0.2">
      <c r="A59" s="1059"/>
      <c r="B59" s="1106"/>
      <c r="C59" s="1061"/>
      <c r="D59" s="1392"/>
      <c r="E59" s="1122"/>
      <c r="F59" s="42"/>
      <c r="G59" s="70"/>
      <c r="H59" s="41"/>
      <c r="I59" s="41"/>
      <c r="J59" s="1072" t="s">
        <v>288</v>
      </c>
      <c r="K59" s="1088">
        <v>30</v>
      </c>
      <c r="L59" s="1089">
        <v>60</v>
      </c>
      <c r="M59" s="1115">
        <v>100</v>
      </c>
    </row>
    <row r="60" spans="1:13" ht="6" customHeight="1" x14ac:dyDescent="0.2">
      <c r="A60" s="1059"/>
      <c r="B60" s="1106"/>
      <c r="C60" s="1061"/>
      <c r="D60" s="1392"/>
      <c r="E60" s="1122"/>
      <c r="F60" s="376"/>
      <c r="G60" s="93"/>
      <c r="H60" s="1113"/>
      <c r="I60" s="1113"/>
      <c r="J60" s="14"/>
      <c r="K60" s="164"/>
      <c r="L60" s="32"/>
      <c r="M60" s="16"/>
    </row>
    <row r="61" spans="1:13" ht="28.5" customHeight="1" x14ac:dyDescent="0.2">
      <c r="A61" s="1105"/>
      <c r="B61" s="1060"/>
      <c r="C61" s="128"/>
      <c r="D61" s="1382" t="s">
        <v>387</v>
      </c>
      <c r="E61" s="982"/>
      <c r="F61" s="1112"/>
      <c r="G61" s="118"/>
      <c r="H61" s="1112"/>
      <c r="I61" s="1112"/>
      <c r="J61" s="135" t="s">
        <v>290</v>
      </c>
      <c r="K61" s="170">
        <v>70</v>
      </c>
      <c r="L61" s="295">
        <v>100</v>
      </c>
      <c r="M61" s="171"/>
    </row>
    <row r="62" spans="1:13" ht="26.25" customHeight="1" x14ac:dyDescent="0.2">
      <c r="A62" s="1105"/>
      <c r="B62" s="1060"/>
      <c r="C62" s="128"/>
      <c r="D62" s="1383"/>
      <c r="E62" s="985"/>
      <c r="F62" s="41"/>
      <c r="G62" s="40"/>
      <c r="H62" s="241"/>
      <c r="I62" s="241"/>
      <c r="J62" s="1119" t="s">
        <v>289</v>
      </c>
      <c r="K62" s="168">
        <v>70</v>
      </c>
      <c r="L62" s="100">
        <v>100</v>
      </c>
      <c r="M62" s="18"/>
    </row>
    <row r="63" spans="1:13" ht="15.75" customHeight="1" x14ac:dyDescent="0.2">
      <c r="A63" s="1105"/>
      <c r="B63" s="1060"/>
      <c r="C63" s="128"/>
      <c r="D63" s="1067"/>
      <c r="E63" s="985"/>
      <c r="F63" s="41"/>
      <c r="G63" s="40"/>
      <c r="H63" s="241"/>
      <c r="I63" s="41"/>
      <c r="J63" s="1375" t="s">
        <v>336</v>
      </c>
      <c r="K63" s="372"/>
      <c r="L63" s="246"/>
      <c r="M63" s="120">
        <v>50</v>
      </c>
    </row>
    <row r="64" spans="1:13" ht="12" customHeight="1" x14ac:dyDescent="0.2">
      <c r="A64" s="1105"/>
      <c r="B64" s="1060"/>
      <c r="C64" s="128"/>
      <c r="D64" s="1126"/>
      <c r="E64" s="996"/>
      <c r="F64" s="1113"/>
      <c r="G64" s="106"/>
      <c r="H64" s="1113"/>
      <c r="I64" s="1113"/>
      <c r="J64" s="1386"/>
      <c r="K64" s="164"/>
      <c r="L64" s="32"/>
      <c r="M64" s="16"/>
    </row>
    <row r="65" spans="1:15" ht="14.25" customHeight="1" x14ac:dyDescent="0.2">
      <c r="A65" s="1059"/>
      <c r="B65" s="1106"/>
      <c r="C65" s="1061"/>
      <c r="D65" s="1295" t="s">
        <v>166</v>
      </c>
      <c r="E65" s="983"/>
      <c r="F65" s="41"/>
      <c r="G65" s="61"/>
      <c r="H65" s="41"/>
      <c r="I65" s="41"/>
      <c r="J65" s="442" t="s">
        <v>43</v>
      </c>
      <c r="K65" s="1257">
        <v>1</v>
      </c>
      <c r="L65" s="207"/>
      <c r="M65" s="177"/>
    </row>
    <row r="66" spans="1:15" ht="27.75" customHeight="1" x14ac:dyDescent="0.2">
      <c r="A66" s="1059"/>
      <c r="B66" s="1106"/>
      <c r="C66" s="1061"/>
      <c r="D66" s="1300"/>
      <c r="E66" s="984"/>
      <c r="F66" s="1113"/>
      <c r="G66" s="919"/>
      <c r="H66" s="319"/>
      <c r="I66" s="1113"/>
      <c r="J66" s="447" t="s">
        <v>411</v>
      </c>
      <c r="K66" s="1264"/>
      <c r="L66" s="1263"/>
      <c r="M66" s="1265">
        <v>10</v>
      </c>
    </row>
    <row r="67" spans="1:15" ht="15" customHeight="1" x14ac:dyDescent="0.2">
      <c r="A67" s="1059"/>
      <c r="B67" s="1106"/>
      <c r="C67" s="1061"/>
      <c r="D67" s="1384" t="s">
        <v>388</v>
      </c>
      <c r="E67" s="1329"/>
      <c r="F67" s="1112"/>
      <c r="G67" s="986"/>
      <c r="H67" s="1112"/>
      <c r="I67" s="409"/>
      <c r="J67" s="429" t="s">
        <v>74</v>
      </c>
      <c r="K67" s="446">
        <v>1</v>
      </c>
      <c r="L67" s="1089"/>
      <c r="M67" s="899"/>
    </row>
    <row r="68" spans="1:15" ht="17.25" customHeight="1" x14ac:dyDescent="0.2">
      <c r="A68" s="1059"/>
      <c r="B68" s="1106"/>
      <c r="C68" s="1061"/>
      <c r="D68" s="1385"/>
      <c r="E68" s="1387"/>
      <c r="F68" s="376"/>
      <c r="G68" s="71"/>
      <c r="H68" s="1113"/>
      <c r="I68" s="1113"/>
      <c r="J68" s="1091" t="s">
        <v>323</v>
      </c>
      <c r="K68" s="164"/>
      <c r="L68" s="32">
        <v>100</v>
      </c>
      <c r="M68" s="16"/>
    </row>
    <row r="69" spans="1:15" ht="15.75" customHeight="1" x14ac:dyDescent="0.2">
      <c r="A69" s="1355"/>
      <c r="B69" s="1378"/>
      <c r="C69" s="978"/>
      <c r="D69" s="1400" t="s">
        <v>325</v>
      </c>
      <c r="E69" s="1329" t="s">
        <v>343</v>
      </c>
      <c r="F69" s="379"/>
      <c r="G69" s="73"/>
      <c r="H69" s="1112"/>
      <c r="I69" s="1112"/>
      <c r="J69" s="1358" t="s">
        <v>171</v>
      </c>
      <c r="K69" s="1124" t="s">
        <v>49</v>
      </c>
      <c r="L69" s="1124"/>
      <c r="M69" s="225"/>
    </row>
    <row r="70" spans="1:15" ht="15.75" customHeight="1" x14ac:dyDescent="0.2">
      <c r="A70" s="1355"/>
      <c r="B70" s="1378"/>
      <c r="C70" s="978"/>
      <c r="D70" s="1401"/>
      <c r="E70" s="1387"/>
      <c r="F70" s="380"/>
      <c r="G70" s="93"/>
      <c r="H70" s="1113"/>
      <c r="I70" s="1113"/>
      <c r="J70" s="1388"/>
      <c r="K70" s="1125"/>
      <c r="L70" s="1125"/>
      <c r="M70" s="228"/>
    </row>
    <row r="71" spans="1:15" ht="17.25" customHeight="1" x14ac:dyDescent="0.2">
      <c r="A71" s="1059"/>
      <c r="B71" s="1106"/>
      <c r="C71" s="966"/>
      <c r="D71" s="1328" t="s">
        <v>194</v>
      </c>
      <c r="E71" s="1411" t="s">
        <v>173</v>
      </c>
      <c r="F71" s="42"/>
      <c r="G71" s="61"/>
      <c r="H71" s="143"/>
      <c r="I71" s="143"/>
      <c r="J71" s="1412" t="s">
        <v>43</v>
      </c>
      <c r="K71" s="1088">
        <v>1</v>
      </c>
      <c r="L71" s="1089"/>
      <c r="M71" s="1115"/>
      <c r="N71" s="1394"/>
      <c r="O71" s="34"/>
    </row>
    <row r="72" spans="1:15" ht="17.25" customHeight="1" x14ac:dyDescent="0.2">
      <c r="A72" s="1059"/>
      <c r="B72" s="1106"/>
      <c r="C72" s="966"/>
      <c r="D72" s="1396"/>
      <c r="E72" s="1387"/>
      <c r="F72" s="376"/>
      <c r="G72" s="93"/>
      <c r="H72" s="432"/>
      <c r="I72" s="432"/>
      <c r="J72" s="1408"/>
      <c r="K72" s="660"/>
      <c r="L72" s="32"/>
      <c r="M72" s="16"/>
      <c r="N72" s="1395"/>
    </row>
    <row r="73" spans="1:15" ht="40.5" customHeight="1" x14ac:dyDescent="0.2">
      <c r="A73" s="1355"/>
      <c r="B73" s="1356"/>
      <c r="C73" s="1357"/>
      <c r="D73" s="1327" t="s">
        <v>177</v>
      </c>
      <c r="E73" s="1397"/>
      <c r="F73" s="379"/>
      <c r="G73" s="73"/>
      <c r="H73" s="1112"/>
      <c r="I73" s="1112"/>
      <c r="J73" s="1062" t="s">
        <v>283</v>
      </c>
      <c r="K73" s="664">
        <v>1</v>
      </c>
      <c r="L73" s="1116"/>
      <c r="M73" s="1114"/>
    </row>
    <row r="74" spans="1:15" ht="15.75" customHeight="1" x14ac:dyDescent="0.2">
      <c r="A74" s="1355"/>
      <c r="B74" s="1356"/>
      <c r="C74" s="1357"/>
      <c r="D74" s="1328"/>
      <c r="E74" s="1398"/>
      <c r="F74" s="444"/>
      <c r="G74" s="61"/>
      <c r="H74" s="41"/>
      <c r="I74" s="41"/>
      <c r="J74" s="828" t="s">
        <v>43</v>
      </c>
      <c r="K74" s="168"/>
      <c r="L74" s="100">
        <v>1</v>
      </c>
      <c r="M74" s="18"/>
    </row>
    <row r="75" spans="1:15" ht="21" customHeight="1" x14ac:dyDescent="0.2">
      <c r="A75" s="1355"/>
      <c r="B75" s="1356"/>
      <c r="C75" s="1357"/>
      <c r="D75" s="1328"/>
      <c r="E75" s="1398"/>
      <c r="F75" s="41"/>
      <c r="G75" s="61"/>
      <c r="H75" s="41"/>
      <c r="I75" s="41"/>
      <c r="J75" s="1407" t="s">
        <v>108</v>
      </c>
      <c r="K75" s="1088"/>
      <c r="L75" s="1089"/>
      <c r="M75" s="1115">
        <v>50</v>
      </c>
    </row>
    <row r="76" spans="1:15" ht="18.75" customHeight="1" x14ac:dyDescent="0.2">
      <c r="A76" s="1355"/>
      <c r="B76" s="1356"/>
      <c r="C76" s="1357"/>
      <c r="D76" s="1396"/>
      <c r="E76" s="1399"/>
      <c r="F76" s="376"/>
      <c r="G76" s="93"/>
      <c r="H76" s="1113"/>
      <c r="I76" s="1113"/>
      <c r="J76" s="1408"/>
      <c r="K76" s="164"/>
      <c r="L76" s="32"/>
      <c r="M76" s="16"/>
    </row>
    <row r="77" spans="1:15" ht="23.25" customHeight="1" x14ac:dyDescent="0.2">
      <c r="A77" s="1105"/>
      <c r="B77" s="1080"/>
      <c r="C77" s="128"/>
      <c r="D77" s="1384" t="s">
        <v>105</v>
      </c>
      <c r="E77" s="1409"/>
      <c r="F77" s="41"/>
      <c r="G77" s="40"/>
      <c r="H77" s="41"/>
      <c r="I77" s="41"/>
      <c r="J77" s="1069" t="s">
        <v>349</v>
      </c>
      <c r="K77" s="1116">
        <v>1</v>
      </c>
      <c r="L77" s="1117"/>
      <c r="M77" s="957"/>
      <c r="N77" s="877"/>
    </row>
    <row r="78" spans="1:15" ht="12" customHeight="1" x14ac:dyDescent="0.2">
      <c r="A78" s="1105"/>
      <c r="B78" s="1060"/>
      <c r="C78" s="128"/>
      <c r="D78" s="1385"/>
      <c r="E78" s="1410"/>
      <c r="F78" s="1113"/>
      <c r="G78" s="106"/>
      <c r="H78" s="1113"/>
      <c r="I78" s="1113"/>
      <c r="J78" s="1091"/>
      <c r="K78" s="164"/>
      <c r="L78" s="1058"/>
      <c r="M78" s="958"/>
    </row>
    <row r="79" spans="1:15" ht="23.25" customHeight="1" x14ac:dyDescent="0.2">
      <c r="A79" s="1105"/>
      <c r="B79" s="1080"/>
      <c r="C79" s="128"/>
      <c r="D79" s="1384" t="s">
        <v>158</v>
      </c>
      <c r="E79" s="1409" t="s">
        <v>173</v>
      </c>
      <c r="F79" s="41"/>
      <c r="G79" s="40"/>
      <c r="H79" s="41"/>
      <c r="I79" s="41"/>
      <c r="J79" s="1072" t="s">
        <v>43</v>
      </c>
      <c r="K79" s="1089">
        <v>1</v>
      </c>
      <c r="L79" s="1117"/>
      <c r="M79" s="957"/>
      <c r="N79" s="877"/>
    </row>
    <row r="80" spans="1:15" ht="12" customHeight="1" x14ac:dyDescent="0.2">
      <c r="A80" s="1105"/>
      <c r="B80" s="1060"/>
      <c r="C80" s="128"/>
      <c r="D80" s="1385"/>
      <c r="E80" s="1410"/>
      <c r="F80" s="1113"/>
      <c r="G80" s="106"/>
      <c r="H80" s="1113"/>
      <c r="I80" s="1113"/>
      <c r="J80" s="1091"/>
      <c r="K80" s="164"/>
      <c r="L80" s="1058"/>
      <c r="M80" s="958"/>
    </row>
    <row r="81" spans="1:15" ht="23.25" customHeight="1" x14ac:dyDescent="0.2">
      <c r="A81" s="1105"/>
      <c r="B81" s="1080"/>
      <c r="C81" s="128"/>
      <c r="D81" s="1384" t="s">
        <v>352</v>
      </c>
      <c r="E81" s="1414"/>
      <c r="F81" s="41"/>
      <c r="G81" s="40"/>
      <c r="H81" s="41"/>
      <c r="I81" s="41"/>
      <c r="J81" s="1372" t="s">
        <v>389</v>
      </c>
      <c r="K81" s="1116"/>
      <c r="L81" s="1178">
        <v>100</v>
      </c>
      <c r="M81" s="957"/>
      <c r="N81" s="877"/>
    </row>
    <row r="82" spans="1:15" ht="30" customHeight="1" x14ac:dyDescent="0.2">
      <c r="A82" s="1105"/>
      <c r="B82" s="1060"/>
      <c r="C82" s="128"/>
      <c r="D82" s="1385"/>
      <c r="E82" s="1415"/>
      <c r="F82" s="1113"/>
      <c r="G82" s="106"/>
      <c r="H82" s="1113"/>
      <c r="I82" s="1113"/>
      <c r="J82" s="1402"/>
      <c r="K82" s="164"/>
      <c r="L82" s="1058"/>
      <c r="M82" s="958"/>
    </row>
    <row r="83" spans="1:15" ht="13.5" customHeight="1" x14ac:dyDescent="0.2">
      <c r="A83" s="1059"/>
      <c r="B83" s="1106"/>
      <c r="C83" s="60"/>
      <c r="D83" s="1366" t="s">
        <v>232</v>
      </c>
      <c r="E83" s="996"/>
      <c r="F83" s="41"/>
      <c r="G83" s="61"/>
      <c r="H83" s="41"/>
      <c r="I83" s="41"/>
      <c r="J83" s="1372" t="s">
        <v>106</v>
      </c>
      <c r="K83" s="394">
        <v>100</v>
      </c>
      <c r="L83" s="1116">
        <v>100</v>
      </c>
      <c r="M83" s="1114">
        <v>100</v>
      </c>
    </row>
    <row r="84" spans="1:15" ht="16.5" customHeight="1" x14ac:dyDescent="0.2">
      <c r="A84" s="1059"/>
      <c r="B84" s="1106"/>
      <c r="C84" s="60"/>
      <c r="D84" s="1383"/>
      <c r="E84" s="996"/>
      <c r="F84" s="41"/>
      <c r="G84" s="61"/>
      <c r="H84" s="41"/>
      <c r="I84" s="41"/>
      <c r="J84" s="1375"/>
      <c r="K84" s="1088"/>
      <c r="L84" s="1089"/>
      <c r="M84" s="1115"/>
    </row>
    <row r="85" spans="1:15" s="6" customFormat="1" ht="27" customHeight="1" x14ac:dyDescent="0.2">
      <c r="A85" s="1059"/>
      <c r="B85" s="1106"/>
      <c r="C85" s="1061"/>
      <c r="D85" s="1406"/>
      <c r="E85" s="997"/>
      <c r="F85" s="993"/>
      <c r="G85" s="185"/>
      <c r="H85" s="186"/>
      <c r="I85" s="186"/>
      <c r="J85" s="1413"/>
      <c r="K85" s="451"/>
      <c r="L85" s="685"/>
      <c r="M85" s="452"/>
    </row>
    <row r="86" spans="1:15" ht="15.75" customHeight="1" x14ac:dyDescent="0.2">
      <c r="A86" s="1059"/>
      <c r="B86" s="1060"/>
      <c r="C86" s="998"/>
      <c r="D86" s="1064" t="s">
        <v>337</v>
      </c>
      <c r="E86" s="1092"/>
      <c r="F86" s="41"/>
      <c r="G86" s="41"/>
      <c r="H86" s="41"/>
      <c r="I86" s="41"/>
      <c r="J86" s="1072"/>
      <c r="K86" s="61"/>
      <c r="L86" s="132"/>
      <c r="M86" s="26"/>
    </row>
    <row r="87" spans="1:15" ht="27" customHeight="1" x14ac:dyDescent="0.2">
      <c r="A87" s="1059"/>
      <c r="B87" s="1060"/>
      <c r="C87" s="1403" t="s">
        <v>346</v>
      </c>
      <c r="D87" s="390" t="s">
        <v>390</v>
      </c>
      <c r="E87" s="391"/>
      <c r="F87" s="46"/>
      <c r="G87" s="46"/>
      <c r="H87" s="46"/>
      <c r="I87" s="46"/>
      <c r="J87" s="1090" t="s">
        <v>256</v>
      </c>
      <c r="K87" s="364">
        <v>1</v>
      </c>
      <c r="L87" s="335"/>
      <c r="M87" s="1005"/>
      <c r="N87" s="871"/>
      <c r="O87" s="869"/>
    </row>
    <row r="88" spans="1:15" ht="26.25" customHeight="1" x14ac:dyDescent="0.2">
      <c r="A88" s="1059"/>
      <c r="B88" s="1060"/>
      <c r="C88" s="1403"/>
      <c r="D88" s="390" t="s">
        <v>214</v>
      </c>
      <c r="E88" s="1092"/>
      <c r="F88" s="41"/>
      <c r="G88" s="41"/>
      <c r="H88" s="41"/>
      <c r="I88" s="41"/>
      <c r="J88" s="1072" t="s">
        <v>60</v>
      </c>
      <c r="K88" s="61">
        <v>3.6</v>
      </c>
      <c r="L88" s="132"/>
      <c r="M88" s="26"/>
      <c r="N88" s="1127"/>
      <c r="O88" s="869"/>
    </row>
    <row r="89" spans="1:15" ht="27.75" customHeight="1" x14ac:dyDescent="0.2">
      <c r="A89" s="1059"/>
      <c r="B89" s="1060"/>
      <c r="C89" s="1403"/>
      <c r="D89" s="134" t="s">
        <v>215</v>
      </c>
      <c r="E89" s="1092"/>
      <c r="F89" s="41"/>
      <c r="G89" s="41"/>
      <c r="H89" s="41"/>
      <c r="I89" s="41"/>
      <c r="J89" s="1072"/>
      <c r="K89" s="61"/>
      <c r="L89" s="132"/>
      <c r="M89" s="26"/>
      <c r="N89" s="896"/>
      <c r="O89" s="896"/>
    </row>
    <row r="90" spans="1:15" ht="15" customHeight="1" x14ac:dyDescent="0.2">
      <c r="A90" s="1059"/>
      <c r="B90" s="1060"/>
      <c r="C90" s="1403"/>
      <c r="D90" s="134" t="s">
        <v>255</v>
      </c>
      <c r="E90" s="1092"/>
      <c r="F90" s="41"/>
      <c r="G90" s="41"/>
      <c r="H90" s="41"/>
      <c r="I90" s="41"/>
      <c r="J90" s="1072"/>
      <c r="K90" s="61"/>
      <c r="L90" s="132"/>
      <c r="M90" s="26"/>
      <c r="N90" s="896"/>
      <c r="O90" s="896"/>
    </row>
    <row r="91" spans="1:15" ht="15" customHeight="1" x14ac:dyDescent="0.2">
      <c r="A91" s="1059"/>
      <c r="B91" s="1060"/>
      <c r="C91" s="1403"/>
      <c r="D91" s="134" t="s">
        <v>391</v>
      </c>
      <c r="E91" s="1092"/>
      <c r="F91" s="41"/>
      <c r="G91" s="41"/>
      <c r="H91" s="41"/>
      <c r="I91" s="41"/>
      <c r="J91" s="1072"/>
      <c r="K91" s="61"/>
      <c r="L91" s="132"/>
      <c r="M91" s="26"/>
      <c r="N91" s="896"/>
      <c r="O91" s="896"/>
    </row>
    <row r="92" spans="1:15" ht="26.25" customHeight="1" x14ac:dyDescent="0.2">
      <c r="A92" s="1059"/>
      <c r="B92" s="1060"/>
      <c r="C92" s="1403"/>
      <c r="D92" s="179" t="s">
        <v>392</v>
      </c>
      <c r="E92" s="1092"/>
      <c r="F92" s="41"/>
      <c r="G92" s="41"/>
      <c r="H92" s="41"/>
      <c r="I92" s="41"/>
      <c r="J92" s="1072"/>
      <c r="K92" s="61"/>
      <c r="L92" s="132"/>
      <c r="M92" s="26"/>
    </row>
    <row r="93" spans="1:15" ht="27.75" customHeight="1" x14ac:dyDescent="0.2">
      <c r="A93" s="1059"/>
      <c r="B93" s="1060"/>
      <c r="C93" s="1403"/>
      <c r="D93" s="390" t="s">
        <v>295</v>
      </c>
      <c r="E93" s="1092"/>
      <c r="F93" s="41"/>
      <c r="G93" s="41"/>
      <c r="H93" s="41"/>
      <c r="I93" s="41"/>
      <c r="J93" s="1072"/>
      <c r="K93" s="61"/>
      <c r="L93" s="132"/>
      <c r="M93" s="26"/>
    </row>
    <row r="94" spans="1:15" ht="14.25" customHeight="1" x14ac:dyDescent="0.2">
      <c r="A94" s="1059"/>
      <c r="B94" s="1060"/>
      <c r="C94" s="1404"/>
      <c r="D94" s="1203" t="s">
        <v>132</v>
      </c>
      <c r="E94" s="1092"/>
      <c r="F94" s="1204"/>
      <c r="G94" s="1204"/>
      <c r="H94" s="1204"/>
      <c r="I94" s="1204"/>
      <c r="J94" s="1205"/>
      <c r="K94" s="1206"/>
      <c r="L94" s="1207"/>
      <c r="M94" s="1208"/>
    </row>
    <row r="95" spans="1:15" ht="29.25" customHeight="1" x14ac:dyDescent="0.2">
      <c r="A95" s="1059"/>
      <c r="B95" s="1060"/>
      <c r="C95" s="1403" t="s">
        <v>188</v>
      </c>
      <c r="D95" s="363" t="s">
        <v>258</v>
      </c>
      <c r="E95" s="1092"/>
      <c r="F95" s="41"/>
      <c r="G95" s="41"/>
      <c r="H95" s="41"/>
      <c r="I95" s="41"/>
      <c r="J95" s="1072" t="s">
        <v>350</v>
      </c>
      <c r="K95" s="70"/>
      <c r="L95" s="25">
        <v>3.4</v>
      </c>
      <c r="M95" s="26">
        <v>3.4</v>
      </c>
    </row>
    <row r="96" spans="1:15" ht="18.75" customHeight="1" x14ac:dyDescent="0.2">
      <c r="A96" s="1059"/>
      <c r="B96" s="1060"/>
      <c r="C96" s="1403"/>
      <c r="D96" s="134" t="s">
        <v>398</v>
      </c>
      <c r="E96" s="1092"/>
      <c r="F96" s="41"/>
      <c r="G96" s="41"/>
      <c r="H96" s="41"/>
      <c r="I96" s="41"/>
      <c r="J96" s="1072"/>
      <c r="K96" s="61"/>
      <c r="L96" s="25"/>
      <c r="M96" s="26"/>
    </row>
    <row r="97" spans="1:15" ht="18.75" customHeight="1" x14ac:dyDescent="0.2">
      <c r="A97" s="1059"/>
      <c r="B97" s="1060"/>
      <c r="C97" s="1405"/>
      <c r="D97" s="495" t="s">
        <v>397</v>
      </c>
      <c r="E97" s="1092"/>
      <c r="F97" s="1113"/>
      <c r="G97" s="1113"/>
      <c r="H97" s="1113"/>
      <c r="I97" s="1113"/>
      <c r="J97" s="1091"/>
      <c r="K97" s="93"/>
      <c r="L97" s="27"/>
      <c r="M97" s="29"/>
    </row>
    <row r="98" spans="1:15" ht="26.25" customHeight="1" x14ac:dyDescent="0.2">
      <c r="A98" s="1059"/>
      <c r="B98" s="1060"/>
      <c r="C98" s="128"/>
      <c r="D98" s="1327" t="s">
        <v>81</v>
      </c>
      <c r="E98" s="1076"/>
      <c r="F98" s="1112"/>
      <c r="G98" s="1112"/>
      <c r="H98" s="1112"/>
      <c r="I98" s="1112"/>
      <c r="J98" s="1069" t="s">
        <v>202</v>
      </c>
      <c r="K98" s="339" t="s">
        <v>201</v>
      </c>
      <c r="L98" s="1124" t="s">
        <v>201</v>
      </c>
      <c r="M98" s="1109" t="s">
        <v>201</v>
      </c>
      <c r="N98" s="871"/>
      <c r="O98" s="871"/>
    </row>
    <row r="99" spans="1:15" ht="26.25" customHeight="1" x14ac:dyDescent="0.2">
      <c r="A99" s="1059"/>
      <c r="B99" s="1060"/>
      <c r="C99" s="128"/>
      <c r="D99" s="1328"/>
      <c r="E99" s="1092"/>
      <c r="F99" s="41"/>
      <c r="G99" s="41"/>
      <c r="H99" s="41"/>
      <c r="I99" s="41"/>
      <c r="J99" s="52" t="s">
        <v>37</v>
      </c>
      <c r="K99" s="116" t="s">
        <v>203</v>
      </c>
      <c r="L99" s="613" t="s">
        <v>203</v>
      </c>
      <c r="M99" s="327" t="s">
        <v>203</v>
      </c>
      <c r="N99" s="896"/>
      <c r="O99" s="896"/>
    </row>
    <row r="100" spans="1:15" ht="15.75" customHeight="1" x14ac:dyDescent="0.2">
      <c r="A100" s="1059"/>
      <c r="B100" s="1060"/>
      <c r="C100" s="128"/>
      <c r="D100" s="1328"/>
      <c r="E100" s="1092"/>
      <c r="F100" s="41"/>
      <c r="G100" s="41"/>
      <c r="H100" s="41"/>
      <c r="I100" s="41"/>
      <c r="J100" s="52" t="s">
        <v>59</v>
      </c>
      <c r="K100" s="116" t="s">
        <v>197</v>
      </c>
      <c r="L100" s="613" t="s">
        <v>197</v>
      </c>
      <c r="M100" s="327" t="s">
        <v>197</v>
      </c>
    </row>
    <row r="101" spans="1:15" ht="29.25" customHeight="1" x14ac:dyDescent="0.2">
      <c r="A101" s="1059"/>
      <c r="B101" s="1060"/>
      <c r="C101" s="128"/>
      <c r="D101" s="1396"/>
      <c r="E101" s="1102"/>
      <c r="F101" s="45"/>
      <c r="G101" s="1113"/>
      <c r="H101" s="1113"/>
      <c r="I101" s="1113"/>
      <c r="J101" s="1091" t="s">
        <v>227</v>
      </c>
      <c r="K101" s="242" t="s">
        <v>228</v>
      </c>
      <c r="L101" s="543"/>
      <c r="M101" s="1110"/>
    </row>
    <row r="102" spans="1:15" ht="15" customHeight="1" x14ac:dyDescent="0.2">
      <c r="A102" s="1355"/>
      <c r="B102" s="1378"/>
      <c r="C102" s="1357"/>
      <c r="D102" s="1384" t="s">
        <v>47</v>
      </c>
      <c r="E102" s="1092"/>
      <c r="F102" s="41"/>
      <c r="G102" s="41"/>
      <c r="H102" s="41"/>
      <c r="I102" s="41"/>
      <c r="J102" s="1372" t="s">
        <v>199</v>
      </c>
      <c r="K102" s="339" t="s">
        <v>198</v>
      </c>
      <c r="L102" s="1124" t="s">
        <v>198</v>
      </c>
      <c r="M102" s="225" t="s">
        <v>198</v>
      </c>
    </row>
    <row r="103" spans="1:15" ht="14.25" customHeight="1" x14ac:dyDescent="0.2">
      <c r="A103" s="1355"/>
      <c r="B103" s="1378"/>
      <c r="C103" s="1357"/>
      <c r="D103" s="1385"/>
      <c r="E103" s="1102"/>
      <c r="F103" s="328"/>
      <c r="G103" s="328"/>
      <c r="H103" s="1113"/>
      <c r="I103" s="1113"/>
      <c r="J103" s="1402"/>
      <c r="K103" s="93"/>
      <c r="L103" s="27"/>
      <c r="M103" s="29"/>
    </row>
    <row r="104" spans="1:15" ht="15.75" customHeight="1" x14ac:dyDescent="0.2">
      <c r="A104" s="1355"/>
      <c r="B104" s="1378"/>
      <c r="C104" s="1357"/>
      <c r="D104" s="1417" t="s">
        <v>191</v>
      </c>
      <c r="E104" s="1420"/>
      <c r="F104" s="1112"/>
      <c r="G104" s="1112"/>
      <c r="H104" s="1112"/>
      <c r="I104" s="1112"/>
      <c r="J104" s="403" t="s">
        <v>204</v>
      </c>
      <c r="K104" s="291" t="s">
        <v>261</v>
      </c>
      <c r="L104" s="291" t="s">
        <v>261</v>
      </c>
      <c r="M104" s="249" t="s">
        <v>261</v>
      </c>
      <c r="N104" s="871"/>
      <c r="O104" s="872"/>
    </row>
    <row r="105" spans="1:15" ht="15.75" customHeight="1" x14ac:dyDescent="0.2">
      <c r="A105" s="1355"/>
      <c r="B105" s="1378"/>
      <c r="C105" s="1357"/>
      <c r="D105" s="1418"/>
      <c r="E105" s="1421"/>
      <c r="F105" s="41"/>
      <c r="G105" s="41"/>
      <c r="H105" s="41"/>
      <c r="I105" s="41"/>
      <c r="J105" s="1072" t="s">
        <v>200</v>
      </c>
      <c r="K105" s="698" t="s">
        <v>311</v>
      </c>
      <c r="L105" s="119" t="s">
        <v>261</v>
      </c>
      <c r="M105" s="187" t="s">
        <v>261</v>
      </c>
      <c r="N105" s="871"/>
      <c r="O105" s="871"/>
    </row>
    <row r="106" spans="1:15" ht="5.25" customHeight="1" x14ac:dyDescent="0.2">
      <c r="A106" s="1355"/>
      <c r="B106" s="1378"/>
      <c r="C106" s="1357"/>
      <c r="D106" s="1419"/>
      <c r="E106" s="1422"/>
      <c r="F106" s="41"/>
      <c r="G106" s="41"/>
      <c r="H106" s="41"/>
      <c r="I106" s="41"/>
      <c r="J106" s="1072"/>
      <c r="K106" s="698"/>
      <c r="L106" s="119"/>
      <c r="M106" s="187"/>
      <c r="N106" s="871"/>
      <c r="O106" s="872"/>
    </row>
    <row r="107" spans="1:15" ht="18" customHeight="1" x14ac:dyDescent="0.2">
      <c r="A107" s="1059"/>
      <c r="B107" s="1060"/>
      <c r="C107" s="1061"/>
      <c r="D107" s="1416" t="s">
        <v>80</v>
      </c>
      <c r="E107" s="1092"/>
      <c r="F107" s="1112"/>
      <c r="G107" s="1112"/>
      <c r="H107" s="1112"/>
      <c r="I107" s="1112"/>
      <c r="J107" s="1372" t="s">
        <v>113</v>
      </c>
      <c r="K107" s="394">
        <v>5</v>
      </c>
      <c r="L107" s="961">
        <v>8</v>
      </c>
      <c r="M107" s="962">
        <v>8</v>
      </c>
      <c r="N107" s="435"/>
      <c r="O107" s="435"/>
    </row>
    <row r="108" spans="1:15" ht="16.5" customHeight="1" x14ac:dyDescent="0.2">
      <c r="A108" s="1059"/>
      <c r="B108" s="1060"/>
      <c r="C108" s="1061"/>
      <c r="D108" s="1416"/>
      <c r="E108" s="1092"/>
      <c r="F108" s="1113"/>
      <c r="G108" s="1113"/>
      <c r="H108" s="1113"/>
      <c r="I108" s="1113"/>
      <c r="J108" s="1402"/>
      <c r="K108" s="164"/>
      <c r="L108" s="32"/>
      <c r="M108" s="16"/>
      <c r="N108" s="435"/>
      <c r="O108" s="435"/>
    </row>
    <row r="109" spans="1:15" ht="12" customHeight="1" x14ac:dyDescent="0.2">
      <c r="A109" s="1105"/>
      <c r="B109" s="1060"/>
      <c r="C109" s="966"/>
      <c r="D109" s="1384" t="s">
        <v>36</v>
      </c>
      <c r="E109" s="1083"/>
      <c r="F109" s="38"/>
      <c r="G109" s="41"/>
      <c r="H109" s="41"/>
      <c r="I109" s="41"/>
      <c r="J109" s="1069" t="s">
        <v>190</v>
      </c>
      <c r="K109" s="1088">
        <v>15</v>
      </c>
      <c r="L109" s="1089">
        <v>15</v>
      </c>
      <c r="M109" s="1115">
        <v>15</v>
      </c>
    </row>
    <row r="110" spans="1:15" ht="12.75" customHeight="1" x14ac:dyDescent="0.2">
      <c r="A110" s="1105"/>
      <c r="B110" s="1060"/>
      <c r="C110" s="966"/>
      <c r="D110" s="1385"/>
      <c r="E110" s="1102"/>
      <c r="F110" s="1113"/>
      <c r="G110" s="1113"/>
      <c r="H110" s="53"/>
      <c r="I110" s="53"/>
      <c r="J110" s="1072"/>
      <c r="K110" s="164"/>
      <c r="L110" s="32"/>
      <c r="M110" s="16"/>
    </row>
    <row r="111" spans="1:15" ht="17.25" customHeight="1" x14ac:dyDescent="0.2">
      <c r="A111" s="1105"/>
      <c r="B111" s="1060"/>
      <c r="C111" s="966"/>
      <c r="D111" s="1384" t="s">
        <v>400</v>
      </c>
      <c r="E111" s="366"/>
      <c r="F111" s="375"/>
      <c r="G111" s="1112"/>
      <c r="H111" s="1112"/>
      <c r="I111" s="1112"/>
      <c r="J111" s="484" t="s">
        <v>74</v>
      </c>
      <c r="K111" s="1088">
        <v>1</v>
      </c>
      <c r="L111" s="1089"/>
      <c r="M111" s="1115"/>
    </row>
    <row r="112" spans="1:15" ht="26.25" customHeight="1" x14ac:dyDescent="0.2">
      <c r="A112" s="1105"/>
      <c r="B112" s="1060"/>
      <c r="C112" s="966"/>
      <c r="D112" s="1385"/>
      <c r="E112" s="1102"/>
      <c r="F112" s="376"/>
      <c r="G112" s="1113"/>
      <c r="H112" s="1113"/>
      <c r="I112" s="1113"/>
      <c r="J112" s="14" t="s">
        <v>182</v>
      </c>
      <c r="K112" s="367">
        <v>100</v>
      </c>
      <c r="L112" s="401"/>
      <c r="M112" s="350"/>
    </row>
    <row r="113" spans="1:15" ht="13.5" customHeight="1" x14ac:dyDescent="0.2">
      <c r="A113" s="1105"/>
      <c r="B113" s="1106"/>
      <c r="C113" s="128"/>
      <c r="D113" s="1384" t="s">
        <v>401</v>
      </c>
      <c r="E113" s="366"/>
      <c r="F113" s="379"/>
      <c r="G113" s="1112"/>
      <c r="H113" s="1112"/>
      <c r="I113" s="1112"/>
      <c r="J113" s="546" t="s">
        <v>259</v>
      </c>
      <c r="K113" s="346">
        <v>1</v>
      </c>
      <c r="L113" s="295"/>
      <c r="M113" s="347"/>
      <c r="N113" s="302"/>
    </row>
    <row r="114" spans="1:15" ht="25.5" customHeight="1" x14ac:dyDescent="0.2">
      <c r="A114" s="1105"/>
      <c r="B114" s="1106"/>
      <c r="C114" s="128"/>
      <c r="D114" s="1385"/>
      <c r="E114" s="243"/>
      <c r="F114" s="380"/>
      <c r="G114" s="1113"/>
      <c r="H114" s="1113"/>
      <c r="I114" s="1113"/>
      <c r="J114" s="14" t="s">
        <v>260</v>
      </c>
      <c r="K114" s="367"/>
      <c r="L114" s="32">
        <v>100</v>
      </c>
      <c r="M114" s="16"/>
      <c r="N114" s="496"/>
    </row>
    <row r="115" spans="1:15" ht="17.25" customHeight="1" x14ac:dyDescent="0.2">
      <c r="A115" s="1105"/>
      <c r="B115" s="1060"/>
      <c r="C115" s="1061"/>
      <c r="D115" s="1064" t="s">
        <v>217</v>
      </c>
      <c r="E115" s="366"/>
      <c r="F115" s="359"/>
      <c r="G115" s="360"/>
      <c r="H115" s="1112"/>
      <c r="I115" s="1112"/>
      <c r="J115" s="1098" t="s">
        <v>43</v>
      </c>
      <c r="K115" s="245">
        <v>3</v>
      </c>
      <c r="L115" s="246"/>
      <c r="M115" s="120"/>
      <c r="N115" s="435"/>
      <c r="O115" s="34"/>
    </row>
    <row r="116" spans="1:15" ht="24.75" customHeight="1" x14ac:dyDescent="0.2">
      <c r="A116" s="1078"/>
      <c r="B116" s="1080"/>
      <c r="C116" s="1075"/>
      <c r="D116" s="361" t="s">
        <v>403</v>
      </c>
      <c r="E116" s="1437"/>
      <c r="F116" s="356"/>
      <c r="G116" s="61"/>
      <c r="H116" s="41"/>
      <c r="I116" s="41"/>
      <c r="J116" s="1332" t="s">
        <v>296</v>
      </c>
      <c r="K116" s="433"/>
      <c r="L116" s="427">
        <v>100</v>
      </c>
      <c r="M116" s="369"/>
      <c r="O116" s="34"/>
    </row>
    <row r="117" spans="1:15" ht="15" customHeight="1" x14ac:dyDescent="0.2">
      <c r="A117" s="1078"/>
      <c r="B117" s="1080"/>
      <c r="C117" s="1075"/>
      <c r="D117" s="361" t="s">
        <v>218</v>
      </c>
      <c r="E117" s="1437"/>
      <c r="F117" s="356"/>
      <c r="G117" s="55"/>
      <c r="H117" s="1006"/>
      <c r="I117" s="1006"/>
      <c r="J117" s="1439"/>
      <c r="K117" s="283"/>
      <c r="L117" s="397"/>
      <c r="M117" s="332"/>
    </row>
    <row r="118" spans="1:15" ht="27" customHeight="1" x14ac:dyDescent="0.2">
      <c r="A118" s="1078"/>
      <c r="B118" s="1080"/>
      <c r="C118" s="1075"/>
      <c r="D118" s="1073" t="s">
        <v>219</v>
      </c>
      <c r="E118" s="1438"/>
      <c r="F118" s="357"/>
      <c r="G118" s="93"/>
      <c r="H118" s="319"/>
      <c r="I118" s="41"/>
      <c r="J118" s="14" t="s">
        <v>297</v>
      </c>
      <c r="K118" s="207"/>
      <c r="L118" s="207"/>
      <c r="M118" s="177">
        <v>100</v>
      </c>
    </row>
    <row r="119" spans="1:15" ht="17.25" customHeight="1" x14ac:dyDescent="0.2">
      <c r="A119" s="1105"/>
      <c r="B119" s="1106"/>
      <c r="C119" s="60"/>
      <c r="D119" s="1384" t="s">
        <v>262</v>
      </c>
      <c r="E119" s="366"/>
      <c r="F119" s="379"/>
      <c r="G119" s="1112"/>
      <c r="H119" s="1112"/>
      <c r="I119" s="1112"/>
      <c r="J119" s="484" t="s">
        <v>74</v>
      </c>
      <c r="K119" s="346">
        <v>1</v>
      </c>
      <c r="L119" s="295"/>
      <c r="M119" s="171"/>
      <c r="N119" s="435"/>
    </row>
    <row r="120" spans="1:15" ht="28.5" customHeight="1" x14ac:dyDescent="0.2">
      <c r="A120" s="1105"/>
      <c r="B120" s="1106"/>
      <c r="C120" s="60"/>
      <c r="D120" s="1385"/>
      <c r="E120" s="243"/>
      <c r="F120" s="380"/>
      <c r="G120" s="1113"/>
      <c r="H120" s="1113"/>
      <c r="I120" s="1113"/>
      <c r="J120" s="14" t="s">
        <v>263</v>
      </c>
      <c r="K120" s="367"/>
      <c r="L120" s="32">
        <v>50</v>
      </c>
      <c r="M120" s="16">
        <v>100</v>
      </c>
      <c r="O120" s="34"/>
    </row>
    <row r="121" spans="1:15" ht="16.5" customHeight="1" x14ac:dyDescent="0.2">
      <c r="A121" s="1105"/>
      <c r="B121" s="1106"/>
      <c r="C121" s="60"/>
      <c r="D121" s="1384" t="s">
        <v>264</v>
      </c>
      <c r="E121" s="366"/>
      <c r="F121" s="379"/>
      <c r="G121" s="1112"/>
      <c r="H121" s="54"/>
      <c r="I121" s="1112"/>
      <c r="J121" s="429" t="s">
        <v>265</v>
      </c>
      <c r="K121" s="552">
        <v>10</v>
      </c>
      <c r="L121" s="553">
        <v>10</v>
      </c>
      <c r="M121" s="554">
        <v>10</v>
      </c>
      <c r="O121" s="34"/>
    </row>
    <row r="122" spans="1:15" ht="12.75" customHeight="1" x14ac:dyDescent="0.2">
      <c r="A122" s="1105"/>
      <c r="B122" s="1106"/>
      <c r="C122" s="60"/>
      <c r="D122" s="1385"/>
      <c r="E122" s="243"/>
      <c r="F122" s="30"/>
      <c r="G122" s="1113"/>
      <c r="H122" s="93"/>
      <c r="I122" s="1113"/>
      <c r="J122" s="430"/>
      <c r="K122" s="15"/>
      <c r="L122" s="489"/>
      <c r="M122" s="349"/>
      <c r="O122" s="34"/>
    </row>
    <row r="123" spans="1:15" ht="14.25" customHeight="1" thickBot="1" x14ac:dyDescent="0.25">
      <c r="A123" s="1000"/>
      <c r="B123" s="1001"/>
      <c r="C123" s="999"/>
      <c r="D123" s="601"/>
      <c r="E123" s="602"/>
      <c r="F123" s="108" t="s">
        <v>5</v>
      </c>
      <c r="G123" s="56">
        <f>SUM(G16:G122)</f>
        <v>20210.099999999999</v>
      </c>
      <c r="H123" s="150">
        <f>SUM(H16:H122)</f>
        <v>28466.9</v>
      </c>
      <c r="I123" s="56">
        <f>SUM(I16:I122)</f>
        <v>24312.3</v>
      </c>
      <c r="J123" s="606"/>
      <c r="K123" s="289"/>
      <c r="L123" s="112"/>
      <c r="M123" s="250"/>
    </row>
    <row r="124" spans="1:15" ht="14.25" customHeight="1" thickBot="1" x14ac:dyDescent="0.25">
      <c r="A124" s="47" t="s">
        <v>4</v>
      </c>
      <c r="B124" s="149" t="s">
        <v>4</v>
      </c>
      <c r="C124" s="1430" t="s">
        <v>7</v>
      </c>
      <c r="D124" s="1431"/>
      <c r="E124" s="1431"/>
      <c r="F124" s="1431"/>
      <c r="G124" s="85">
        <f t="shared" ref="G124:I124" si="0">G123</f>
        <v>20210.099999999999</v>
      </c>
      <c r="H124" s="1004">
        <f t="shared" si="0"/>
        <v>28466.9</v>
      </c>
      <c r="I124" s="85">
        <f t="shared" si="0"/>
        <v>24312.3</v>
      </c>
      <c r="J124" s="1086"/>
      <c r="K124" s="965"/>
      <c r="L124" s="1086"/>
      <c r="M124" s="1087"/>
    </row>
    <row r="125" spans="1:15" ht="14.25" customHeight="1" thickBot="1" x14ac:dyDescent="0.25">
      <c r="A125" s="47" t="s">
        <v>4</v>
      </c>
      <c r="B125" s="149" t="s">
        <v>6</v>
      </c>
      <c r="C125" s="1432" t="s">
        <v>29</v>
      </c>
      <c r="D125" s="1432"/>
      <c r="E125" s="1432"/>
      <c r="F125" s="1432"/>
      <c r="G125" s="1433"/>
      <c r="H125" s="1433"/>
      <c r="I125" s="1433"/>
      <c r="J125" s="1432"/>
      <c r="K125" s="1434"/>
      <c r="L125" s="1434"/>
      <c r="M125" s="1435"/>
    </row>
    <row r="126" spans="1:15" ht="12.75" customHeight="1" x14ac:dyDescent="0.2">
      <c r="A126" s="1082" t="s">
        <v>4</v>
      </c>
      <c r="B126" s="148" t="s">
        <v>6</v>
      </c>
      <c r="C126" s="395" t="s">
        <v>4</v>
      </c>
      <c r="D126" s="1440" t="s">
        <v>50</v>
      </c>
      <c r="E126" s="1443" t="s">
        <v>343</v>
      </c>
      <c r="F126" s="111" t="s">
        <v>23</v>
      </c>
      <c r="G126" s="127">
        <v>3489.3</v>
      </c>
      <c r="H126" s="126">
        <v>5773.2</v>
      </c>
      <c r="I126" s="111">
        <v>5913.2</v>
      </c>
      <c r="J126" s="1272"/>
      <c r="K126" s="386"/>
      <c r="L126" s="1007"/>
      <c r="M126" s="387"/>
    </row>
    <row r="127" spans="1:15" ht="12.75" customHeight="1" x14ac:dyDescent="0.2">
      <c r="A127" s="1059"/>
      <c r="B127" s="1106"/>
      <c r="C127" s="1061"/>
      <c r="D127" s="1441"/>
      <c r="E127" s="1368"/>
      <c r="F127" s="41" t="s">
        <v>54</v>
      </c>
      <c r="G127" s="61">
        <v>2001.8</v>
      </c>
      <c r="H127" s="50">
        <v>0</v>
      </c>
      <c r="I127" s="41">
        <v>0</v>
      </c>
      <c r="J127" s="105"/>
      <c r="K127" s="104"/>
      <c r="L127" s="240"/>
      <c r="M127" s="252"/>
    </row>
    <row r="128" spans="1:15" ht="12" customHeight="1" x14ac:dyDescent="0.2">
      <c r="A128" s="1059"/>
      <c r="B128" s="1106"/>
      <c r="C128" s="1061"/>
      <c r="D128" s="1441"/>
      <c r="E128" s="1368"/>
      <c r="F128" s="41" t="s">
        <v>62</v>
      </c>
      <c r="G128" s="61">
        <v>635.70000000000005</v>
      </c>
      <c r="H128" s="50">
        <v>350</v>
      </c>
      <c r="I128" s="41">
        <v>600</v>
      </c>
      <c r="J128" s="105"/>
      <c r="K128" s="104"/>
      <c r="L128" s="240"/>
      <c r="M128" s="252"/>
    </row>
    <row r="129" spans="1:15" ht="9.75" customHeight="1" x14ac:dyDescent="0.2">
      <c r="A129" s="1059"/>
      <c r="B129" s="1106"/>
      <c r="C129" s="1061"/>
      <c r="D129" s="1442"/>
      <c r="E129" s="1209"/>
      <c r="F129" s="41"/>
      <c r="G129" s="61"/>
      <c r="H129" s="50"/>
      <c r="I129" s="41"/>
      <c r="J129" s="105"/>
      <c r="K129" s="104"/>
      <c r="L129" s="240"/>
      <c r="M129" s="252"/>
    </row>
    <row r="130" spans="1:15" ht="14.25" customHeight="1" x14ac:dyDescent="0.2">
      <c r="A130" s="1059"/>
      <c r="B130" s="1106"/>
      <c r="C130" s="1061"/>
      <c r="D130" s="1101" t="s">
        <v>46</v>
      </c>
      <c r="E130" s="1122"/>
      <c r="F130" s="238"/>
      <c r="G130" s="392"/>
      <c r="H130" s="172"/>
      <c r="I130" s="238"/>
      <c r="J130" s="1273"/>
      <c r="K130" s="480"/>
      <c r="L130" s="487"/>
      <c r="M130" s="482"/>
    </row>
    <row r="131" spans="1:15" ht="12.75" customHeight="1" x14ac:dyDescent="0.2">
      <c r="A131" s="1059"/>
      <c r="B131" s="1106"/>
      <c r="C131" s="1061"/>
      <c r="D131" s="1436" t="s">
        <v>67</v>
      </c>
      <c r="E131" s="1008" t="s">
        <v>291</v>
      </c>
      <c r="F131" s="41"/>
      <c r="G131" s="70"/>
      <c r="H131" s="41"/>
      <c r="I131" s="41"/>
      <c r="J131" s="1014" t="s">
        <v>38</v>
      </c>
      <c r="K131" s="132">
        <v>6</v>
      </c>
      <c r="L131" s="132">
        <v>6</v>
      </c>
      <c r="M131" s="26">
        <v>6</v>
      </c>
      <c r="N131" s="435"/>
    </row>
    <row r="132" spans="1:15" ht="14.25" customHeight="1" x14ac:dyDescent="0.2">
      <c r="A132" s="1059"/>
      <c r="B132" s="1106"/>
      <c r="C132" s="1061"/>
      <c r="D132" s="1436"/>
      <c r="E132" s="1068"/>
      <c r="F132" s="43"/>
      <c r="G132" s="415"/>
      <c r="H132" s="81"/>
      <c r="I132" s="43"/>
      <c r="J132" s="1254"/>
      <c r="K132" s="169"/>
      <c r="L132" s="191"/>
      <c r="M132" s="476"/>
    </row>
    <row r="133" spans="1:15" ht="14.25" customHeight="1" x14ac:dyDescent="0.2">
      <c r="A133" s="1059"/>
      <c r="B133" s="1106"/>
      <c r="C133" s="1061"/>
      <c r="D133" s="1444" t="s">
        <v>68</v>
      </c>
      <c r="E133" s="1068"/>
      <c r="F133" s="41"/>
      <c r="G133" s="70"/>
      <c r="H133" s="77"/>
      <c r="I133" s="41"/>
      <c r="J133" s="1253" t="s">
        <v>109</v>
      </c>
      <c r="K133" s="25">
        <v>3.2</v>
      </c>
      <c r="L133" s="25">
        <v>3.2</v>
      </c>
      <c r="M133" s="23">
        <v>3.2</v>
      </c>
    </row>
    <row r="134" spans="1:15" ht="27.75" customHeight="1" x14ac:dyDescent="0.2">
      <c r="A134" s="1059"/>
      <c r="B134" s="1106"/>
      <c r="C134" s="1061"/>
      <c r="D134" s="1445"/>
      <c r="E134" s="1068"/>
      <c r="F134" s="41"/>
      <c r="G134" s="70"/>
      <c r="H134" s="77"/>
      <c r="I134" s="41"/>
      <c r="J134" s="453" t="s">
        <v>225</v>
      </c>
      <c r="K134" s="413">
        <v>2</v>
      </c>
      <c r="L134" s="413">
        <v>2</v>
      </c>
      <c r="M134" s="498">
        <v>2</v>
      </c>
    </row>
    <row r="135" spans="1:15" ht="26.25" customHeight="1" x14ac:dyDescent="0.2">
      <c r="A135" s="1059"/>
      <c r="B135" s="1106"/>
      <c r="C135" s="1061"/>
      <c r="D135" s="156" t="s">
        <v>69</v>
      </c>
      <c r="E135" s="1129"/>
      <c r="F135" s="39"/>
      <c r="G135" s="417"/>
      <c r="H135" s="79"/>
      <c r="I135" s="39"/>
      <c r="J135" s="403" t="s">
        <v>110</v>
      </c>
      <c r="K135" s="74">
        <v>20.5</v>
      </c>
      <c r="L135" s="499">
        <v>20.5</v>
      </c>
      <c r="M135" s="1012">
        <v>20.5</v>
      </c>
    </row>
    <row r="136" spans="1:15" ht="26.25" customHeight="1" x14ac:dyDescent="0.2">
      <c r="A136" s="1247"/>
      <c r="B136" s="1256"/>
      <c r="C136" s="1248"/>
      <c r="D136" s="1255" t="s">
        <v>353</v>
      </c>
      <c r="E136" s="1249"/>
      <c r="F136" s="39"/>
      <c r="G136" s="417"/>
      <c r="H136" s="79"/>
      <c r="I136" s="39"/>
      <c r="J136" s="52" t="s">
        <v>354</v>
      </c>
      <c r="K136" s="341" t="s">
        <v>49</v>
      </c>
      <c r="L136" s="1280" t="s">
        <v>49</v>
      </c>
      <c r="M136" s="1274" t="s">
        <v>49</v>
      </c>
    </row>
    <row r="137" spans="1:15" ht="15.75" customHeight="1" x14ac:dyDescent="0.2">
      <c r="A137" s="1059"/>
      <c r="B137" s="1106"/>
      <c r="C137" s="1061"/>
      <c r="D137" s="1423" t="s">
        <v>102</v>
      </c>
      <c r="E137" s="1129"/>
      <c r="F137" s="41"/>
      <c r="G137" s="70"/>
      <c r="H137" s="77"/>
      <c r="I137" s="41"/>
      <c r="J137" s="1424" t="s">
        <v>211</v>
      </c>
      <c r="K137" s="246">
        <v>6</v>
      </c>
      <c r="L137" s="246">
        <v>6</v>
      </c>
      <c r="M137" s="120">
        <v>6</v>
      </c>
    </row>
    <row r="138" spans="1:15" ht="14.25" customHeight="1" x14ac:dyDescent="0.2">
      <c r="A138" s="1059"/>
      <c r="B138" s="1106"/>
      <c r="C138" s="1061"/>
      <c r="D138" s="1383"/>
      <c r="E138" s="1129"/>
      <c r="F138" s="41"/>
      <c r="G138" s="61"/>
      <c r="H138" s="50"/>
      <c r="I138" s="41"/>
      <c r="J138" s="1425"/>
      <c r="K138" s="1252"/>
      <c r="L138" s="1252"/>
      <c r="M138" s="1259"/>
    </row>
    <row r="139" spans="1:15" ht="9" customHeight="1" x14ac:dyDescent="0.2">
      <c r="A139" s="1059"/>
      <c r="B139" s="1106"/>
      <c r="C139" s="1061"/>
      <c r="D139" s="1406"/>
      <c r="E139" s="1130"/>
      <c r="F139" s="41"/>
      <c r="G139" s="61"/>
      <c r="H139" s="50"/>
      <c r="I139" s="41"/>
      <c r="J139" s="1426"/>
      <c r="K139" s="32"/>
      <c r="L139" s="32"/>
      <c r="M139" s="16"/>
    </row>
    <row r="140" spans="1:15" ht="14.25" customHeight="1" x14ac:dyDescent="0.2">
      <c r="A140" s="1059"/>
      <c r="B140" s="1106"/>
      <c r="C140" s="1061"/>
      <c r="D140" s="689" t="s">
        <v>122</v>
      </c>
      <c r="E140" s="1122"/>
      <c r="F140" s="1112"/>
      <c r="G140" s="217"/>
      <c r="H140" s="88"/>
      <c r="I140" s="385"/>
      <c r="J140" s="1063"/>
      <c r="K140" s="102"/>
      <c r="L140" s="102"/>
      <c r="M140" s="165"/>
      <c r="O140" s="34"/>
    </row>
    <row r="141" spans="1:15" ht="42.75" customHeight="1" x14ac:dyDescent="0.2">
      <c r="A141" s="1059"/>
      <c r="B141" s="1106"/>
      <c r="C141" s="1061"/>
      <c r="D141" s="154" t="s">
        <v>302</v>
      </c>
      <c r="E141" s="1122"/>
      <c r="F141" s="43"/>
      <c r="G141" s="415"/>
      <c r="H141" s="81"/>
      <c r="I141" s="43"/>
      <c r="J141" s="829" t="s">
        <v>119</v>
      </c>
      <c r="K141" s="191">
        <v>21</v>
      </c>
      <c r="L141" s="191">
        <v>21</v>
      </c>
      <c r="M141" s="309">
        <v>21</v>
      </c>
    </row>
    <row r="142" spans="1:15" ht="22.5" customHeight="1" x14ac:dyDescent="0.2">
      <c r="A142" s="1059"/>
      <c r="B142" s="1106"/>
      <c r="C142" s="1061"/>
      <c r="D142" s="1427" t="s">
        <v>123</v>
      </c>
      <c r="E142" s="1122"/>
      <c r="F142" s="41"/>
      <c r="G142" s="70"/>
      <c r="H142" s="77"/>
      <c r="I142" s="41"/>
      <c r="J142" s="1429" t="s">
        <v>161</v>
      </c>
      <c r="K142" s="166">
        <v>18</v>
      </c>
      <c r="L142" s="166">
        <v>18</v>
      </c>
      <c r="M142" s="511">
        <v>18</v>
      </c>
    </row>
    <row r="143" spans="1:15" ht="21" customHeight="1" x14ac:dyDescent="0.2">
      <c r="A143" s="1059"/>
      <c r="B143" s="1106"/>
      <c r="C143" s="1061"/>
      <c r="D143" s="1428"/>
      <c r="E143" s="1122"/>
      <c r="F143" s="1113"/>
      <c r="G143" s="71"/>
      <c r="H143" s="78"/>
      <c r="I143" s="1113"/>
      <c r="J143" s="1408"/>
      <c r="K143" s="32"/>
      <c r="L143" s="32"/>
      <c r="M143" s="16"/>
    </row>
    <row r="144" spans="1:15" ht="18" customHeight="1" x14ac:dyDescent="0.2">
      <c r="A144" s="1355"/>
      <c r="B144" s="1378"/>
      <c r="C144" s="1357"/>
      <c r="D144" s="1365" t="s">
        <v>39</v>
      </c>
      <c r="E144" s="1452"/>
      <c r="F144" s="41"/>
      <c r="G144" s="70"/>
      <c r="H144" s="77"/>
      <c r="I144" s="41"/>
      <c r="J144" s="1446" t="s">
        <v>48</v>
      </c>
      <c r="K144" s="1448">
        <v>7</v>
      </c>
      <c r="L144" s="1448" t="s">
        <v>247</v>
      </c>
      <c r="M144" s="1450" t="s">
        <v>248</v>
      </c>
    </row>
    <row r="145" spans="1:15" ht="13.5" customHeight="1" x14ac:dyDescent="0.2">
      <c r="A145" s="1355"/>
      <c r="B145" s="1378"/>
      <c r="C145" s="1357"/>
      <c r="D145" s="1367"/>
      <c r="E145" s="1453"/>
      <c r="F145" s="1113"/>
      <c r="G145" s="71"/>
      <c r="H145" s="78"/>
      <c r="I145" s="1113"/>
      <c r="J145" s="1447"/>
      <c r="K145" s="1449"/>
      <c r="L145" s="1449"/>
      <c r="M145" s="1451"/>
    </row>
    <row r="146" spans="1:15" ht="18" customHeight="1" x14ac:dyDescent="0.2">
      <c r="A146" s="1355"/>
      <c r="B146" s="1356"/>
      <c r="C146" s="1357"/>
      <c r="D146" s="1455" t="s">
        <v>206</v>
      </c>
      <c r="E146" s="1452"/>
      <c r="F146" s="1112"/>
      <c r="G146" s="72"/>
      <c r="H146" s="1112"/>
      <c r="I146" s="1112"/>
      <c r="J146" s="830" t="s">
        <v>134</v>
      </c>
      <c r="K146" s="295"/>
      <c r="L146" s="295"/>
      <c r="M146" s="171"/>
    </row>
    <row r="147" spans="1:15" ht="15.75" customHeight="1" x14ac:dyDescent="0.2">
      <c r="A147" s="1355"/>
      <c r="B147" s="1356"/>
      <c r="C147" s="1357"/>
      <c r="D147" s="1416"/>
      <c r="E147" s="1453"/>
      <c r="F147" s="41"/>
      <c r="G147" s="70"/>
      <c r="H147" s="41"/>
      <c r="I147" s="41"/>
      <c r="J147" s="828" t="s">
        <v>159</v>
      </c>
      <c r="K147" s="100">
        <v>1</v>
      </c>
      <c r="L147" s="100">
        <v>1</v>
      </c>
      <c r="M147" s="21">
        <v>1</v>
      </c>
    </row>
    <row r="148" spans="1:15" ht="25.5" customHeight="1" x14ac:dyDescent="0.2">
      <c r="A148" s="1355"/>
      <c r="B148" s="1356"/>
      <c r="C148" s="1357"/>
      <c r="D148" s="1416"/>
      <c r="E148" s="1453"/>
      <c r="F148" s="41"/>
      <c r="G148" s="61"/>
      <c r="H148" s="41"/>
      <c r="I148" s="41"/>
      <c r="J148" s="831" t="s">
        <v>118</v>
      </c>
      <c r="K148" s="246">
        <v>1</v>
      </c>
      <c r="L148" s="246">
        <v>1</v>
      </c>
      <c r="M148" s="382">
        <v>1</v>
      </c>
    </row>
    <row r="149" spans="1:15" ht="15" customHeight="1" x14ac:dyDescent="0.2">
      <c r="A149" s="1059"/>
      <c r="B149" s="1106"/>
      <c r="C149" s="1061"/>
      <c r="D149" s="1101"/>
      <c r="E149" s="1068"/>
      <c r="F149" s="41"/>
      <c r="G149" s="61"/>
      <c r="H149" s="41"/>
      <c r="I149" s="41"/>
      <c r="J149" s="828" t="s">
        <v>184</v>
      </c>
      <c r="K149" s="100">
        <v>1</v>
      </c>
      <c r="L149" s="100">
        <v>1</v>
      </c>
      <c r="M149" s="21">
        <v>1</v>
      </c>
    </row>
    <row r="150" spans="1:15" ht="15" customHeight="1" x14ac:dyDescent="0.2">
      <c r="A150" s="1059"/>
      <c r="B150" s="1106"/>
      <c r="C150" s="1061"/>
      <c r="D150" s="1101"/>
      <c r="E150" s="1013"/>
      <c r="F150" s="43"/>
      <c r="G150" s="74"/>
      <c r="H150" s="43"/>
      <c r="I150" s="41"/>
      <c r="J150" s="831" t="s">
        <v>183</v>
      </c>
      <c r="K150" s="246">
        <v>1</v>
      </c>
      <c r="L150" s="246">
        <v>1</v>
      </c>
      <c r="M150" s="120">
        <v>1</v>
      </c>
    </row>
    <row r="151" spans="1:15" ht="27" customHeight="1" x14ac:dyDescent="0.2">
      <c r="A151" s="1059"/>
      <c r="B151" s="1106"/>
      <c r="C151" s="1061"/>
      <c r="D151" s="1065"/>
      <c r="E151" s="1081" t="s">
        <v>291</v>
      </c>
      <c r="F151" s="41"/>
      <c r="G151" s="74"/>
      <c r="H151" s="43"/>
      <c r="I151" s="325"/>
      <c r="J151" s="1009" t="s">
        <v>294</v>
      </c>
      <c r="K151" s="367">
        <v>2</v>
      </c>
      <c r="L151" s="367">
        <v>2</v>
      </c>
      <c r="M151" s="350">
        <v>2</v>
      </c>
      <c r="N151" s="874"/>
      <c r="O151" s="977"/>
    </row>
    <row r="152" spans="1:15" ht="19.5" customHeight="1" x14ac:dyDescent="0.2">
      <c r="A152" s="1355"/>
      <c r="B152" s="1356"/>
      <c r="C152" s="1357"/>
      <c r="D152" s="1365" t="s">
        <v>100</v>
      </c>
      <c r="E152" s="1452" t="s">
        <v>210</v>
      </c>
      <c r="F152" s="1112"/>
      <c r="G152" s="73"/>
      <c r="H152" s="1112"/>
      <c r="I152" s="41"/>
      <c r="J152" s="1446" t="s">
        <v>185</v>
      </c>
      <c r="K152" s="515">
        <v>100</v>
      </c>
      <c r="L152" s="296"/>
      <c r="M152" s="264"/>
      <c r="O152" s="34"/>
    </row>
    <row r="153" spans="1:15" ht="20.25" customHeight="1" x14ac:dyDescent="0.2">
      <c r="A153" s="1355"/>
      <c r="B153" s="1356"/>
      <c r="C153" s="1357"/>
      <c r="D153" s="1367"/>
      <c r="E153" s="1454"/>
      <c r="F153" s="1113"/>
      <c r="G153" s="93"/>
      <c r="H153" s="1113"/>
      <c r="I153" s="1113"/>
      <c r="J153" s="1460"/>
      <c r="K153" s="384"/>
      <c r="L153" s="297"/>
      <c r="M153" s="265"/>
    </row>
    <row r="154" spans="1:15" ht="11.25" customHeight="1" x14ac:dyDescent="0.2">
      <c r="A154" s="1105"/>
      <c r="B154" s="1106"/>
      <c r="C154" s="128"/>
      <c r="D154" s="1365" t="s">
        <v>404</v>
      </c>
      <c r="E154" s="1084"/>
      <c r="F154" s="41"/>
      <c r="G154" s="61"/>
      <c r="H154" s="41"/>
      <c r="I154" s="1461"/>
      <c r="J154" s="1446" t="s">
        <v>249</v>
      </c>
      <c r="K154" s="394">
        <v>100</v>
      </c>
      <c r="L154" s="1117"/>
      <c r="M154" s="434"/>
    </row>
    <row r="155" spans="1:15" ht="15" customHeight="1" x14ac:dyDescent="0.2">
      <c r="A155" s="1105"/>
      <c r="B155" s="1106"/>
      <c r="C155" s="128"/>
      <c r="D155" s="1367"/>
      <c r="E155" s="1084"/>
      <c r="F155" s="1113"/>
      <c r="G155" s="71"/>
      <c r="H155" s="78"/>
      <c r="I155" s="1462"/>
      <c r="J155" s="1447"/>
      <c r="K155" s="164"/>
      <c r="L155" s="15"/>
      <c r="M155" s="16"/>
    </row>
    <row r="156" spans="1:15" ht="16.5" customHeight="1" x14ac:dyDescent="0.2">
      <c r="A156" s="1078"/>
      <c r="B156" s="1107"/>
      <c r="C156" s="1104"/>
      <c r="D156" s="1365" t="s">
        <v>94</v>
      </c>
      <c r="E156" s="1452" t="s">
        <v>172</v>
      </c>
      <c r="F156" s="46"/>
      <c r="G156" s="336"/>
      <c r="H156" s="46"/>
      <c r="I156" s="46"/>
      <c r="J156" s="1010" t="s">
        <v>186</v>
      </c>
      <c r="K156" s="170">
        <v>4</v>
      </c>
      <c r="L156" s="295">
        <v>7</v>
      </c>
      <c r="M156" s="171"/>
    </row>
    <row r="157" spans="1:15" ht="15" customHeight="1" x14ac:dyDescent="0.2">
      <c r="A157" s="1105"/>
      <c r="B157" s="1106"/>
      <c r="C157" s="128"/>
      <c r="D157" s="1366"/>
      <c r="E157" s="1453"/>
      <c r="F157" s="41"/>
      <c r="G157" s="40"/>
      <c r="H157" s="41"/>
      <c r="I157" s="41"/>
      <c r="J157" s="1063" t="s">
        <v>151</v>
      </c>
      <c r="K157" s="502">
        <v>8</v>
      </c>
      <c r="L157" s="1089">
        <v>7</v>
      </c>
      <c r="M157" s="1115"/>
    </row>
    <row r="158" spans="1:15" ht="14.25" customHeight="1" x14ac:dyDescent="0.2">
      <c r="A158" s="1105"/>
      <c r="B158" s="1106"/>
      <c r="C158" s="128"/>
      <c r="D158" s="1066"/>
      <c r="E158" s="66"/>
      <c r="F158" s="1113"/>
      <c r="G158" s="106"/>
      <c r="H158" s="1113"/>
      <c r="I158" s="1113"/>
      <c r="J158" s="1011" t="s">
        <v>95</v>
      </c>
      <c r="K158" s="597">
        <v>6</v>
      </c>
      <c r="L158" s="401"/>
      <c r="M158" s="350">
        <v>7</v>
      </c>
    </row>
    <row r="159" spans="1:15" ht="16.5" customHeight="1" x14ac:dyDescent="0.2">
      <c r="A159" s="1078"/>
      <c r="B159" s="1107"/>
      <c r="C159" s="1104"/>
      <c r="D159" s="1365" t="s">
        <v>192</v>
      </c>
      <c r="E159" s="426" t="s">
        <v>44</v>
      </c>
      <c r="F159" s="1112"/>
      <c r="G159" s="61"/>
      <c r="H159" s="41"/>
      <c r="I159" s="41"/>
      <c r="J159" s="1010" t="s">
        <v>43</v>
      </c>
      <c r="K159" s="674" t="s">
        <v>49</v>
      </c>
      <c r="L159" s="686"/>
      <c r="M159" s="687"/>
    </row>
    <row r="160" spans="1:15" ht="13.5" customHeight="1" x14ac:dyDescent="0.2">
      <c r="A160" s="176"/>
      <c r="B160" s="1107"/>
      <c r="C160" s="1104"/>
      <c r="D160" s="1326"/>
      <c r="E160" s="1068"/>
      <c r="F160" s="41"/>
      <c r="G160" s="61"/>
      <c r="H160" s="41"/>
      <c r="I160" s="41"/>
      <c r="J160" s="1456" t="s">
        <v>284</v>
      </c>
      <c r="K160" s="226" t="s">
        <v>298</v>
      </c>
      <c r="L160" s="226" t="s">
        <v>298</v>
      </c>
      <c r="M160" s="227" t="s">
        <v>40</v>
      </c>
    </row>
    <row r="161" spans="1:15" ht="12.75" customHeight="1" x14ac:dyDescent="0.2">
      <c r="A161" s="176"/>
      <c r="B161" s="1107"/>
      <c r="C161" s="1104"/>
      <c r="D161" s="1326"/>
      <c r="E161" s="1068"/>
      <c r="F161" s="41"/>
      <c r="G161" s="61"/>
      <c r="H161" s="41"/>
      <c r="I161" s="41"/>
      <c r="J161" s="1457"/>
      <c r="K161" s="291"/>
      <c r="L161" s="291"/>
      <c r="M161" s="249"/>
    </row>
    <row r="162" spans="1:15" ht="15.75" customHeight="1" x14ac:dyDescent="0.2">
      <c r="A162" s="176"/>
      <c r="B162" s="1107"/>
      <c r="C162" s="1104"/>
      <c r="D162" s="1458" t="s">
        <v>405</v>
      </c>
      <c r="E162" s="1068"/>
      <c r="F162" s="41"/>
      <c r="G162" s="61"/>
      <c r="H162" s="41"/>
      <c r="I162" s="41"/>
      <c r="J162" s="831" t="s">
        <v>193</v>
      </c>
      <c r="K162" s="226" t="s">
        <v>49</v>
      </c>
      <c r="L162" s="226"/>
      <c r="M162" s="227"/>
    </row>
    <row r="163" spans="1:15" ht="14.25" customHeight="1" x14ac:dyDescent="0.2">
      <c r="A163" s="176"/>
      <c r="B163" s="1107"/>
      <c r="C163" s="1104"/>
      <c r="D163" s="1459"/>
      <c r="E163" s="1081"/>
      <c r="F163" s="1113"/>
      <c r="G163" s="93"/>
      <c r="H163" s="1113"/>
      <c r="I163" s="1113"/>
      <c r="J163" s="294"/>
      <c r="K163" s="1125"/>
      <c r="L163" s="1125"/>
      <c r="M163" s="228"/>
      <c r="O163" s="34"/>
    </row>
    <row r="164" spans="1:15" ht="21.75" customHeight="1" x14ac:dyDescent="0.2">
      <c r="A164" s="1059"/>
      <c r="B164" s="1106"/>
      <c r="C164" s="1061"/>
      <c r="D164" s="1392" t="s">
        <v>310</v>
      </c>
      <c r="E164" s="1301" t="s">
        <v>314</v>
      </c>
      <c r="F164" s="41"/>
      <c r="G164" s="61"/>
      <c r="H164" s="41"/>
      <c r="I164" s="41"/>
      <c r="J164" s="1063" t="s">
        <v>309</v>
      </c>
      <c r="K164" s="1118">
        <v>1</v>
      </c>
      <c r="L164" s="1118"/>
      <c r="M164" s="1115"/>
      <c r="N164" s="1470"/>
      <c r="O164" s="1471"/>
    </row>
    <row r="165" spans="1:15" ht="27" customHeight="1" x14ac:dyDescent="0.2">
      <c r="A165" s="1059"/>
      <c r="B165" s="1106"/>
      <c r="C165" s="1061"/>
      <c r="D165" s="1385"/>
      <c r="E165" s="1081" t="s">
        <v>231</v>
      </c>
      <c r="F165" s="1113"/>
      <c r="G165" s="93"/>
      <c r="H165" s="1113"/>
      <c r="I165" s="1113"/>
      <c r="J165" s="1100" t="s">
        <v>313</v>
      </c>
      <c r="K165" s="15"/>
      <c r="L165" s="15">
        <v>4</v>
      </c>
      <c r="M165" s="16">
        <v>4</v>
      </c>
      <c r="N165" s="874"/>
      <c r="O165" s="977"/>
    </row>
    <row r="166" spans="1:15" ht="18" customHeight="1" thickBot="1" x14ac:dyDescent="0.25">
      <c r="A166" s="1000"/>
      <c r="B166" s="1001"/>
      <c r="C166" s="999"/>
      <c r="D166" s="601"/>
      <c r="E166" s="602"/>
      <c r="F166" s="56" t="s">
        <v>5</v>
      </c>
      <c r="G166" s="125">
        <f>SUM(G126:G165)</f>
        <v>6126.8</v>
      </c>
      <c r="H166" s="56">
        <f>SUM(H126:H165)</f>
        <v>6123.2</v>
      </c>
      <c r="I166" s="56">
        <f>SUM(I126:I165)</f>
        <v>6513.2</v>
      </c>
      <c r="J166" s="606"/>
      <c r="K166" s="289"/>
      <c r="L166" s="112"/>
      <c r="M166" s="250"/>
    </row>
    <row r="167" spans="1:15" ht="14.25" customHeight="1" thickBot="1" x14ac:dyDescent="0.25">
      <c r="A167" s="57" t="s">
        <v>4</v>
      </c>
      <c r="B167" s="149" t="s">
        <v>6</v>
      </c>
      <c r="C167" s="1430" t="s">
        <v>7</v>
      </c>
      <c r="D167" s="1431"/>
      <c r="E167" s="1431"/>
      <c r="F167" s="1431"/>
      <c r="G167" s="85">
        <f>G166</f>
        <v>6126.8</v>
      </c>
      <c r="H167" s="85">
        <f t="shared" ref="H167:I167" si="1">H166</f>
        <v>6123.2</v>
      </c>
      <c r="I167" s="85">
        <f t="shared" si="1"/>
        <v>6513.2</v>
      </c>
      <c r="J167" s="1464"/>
      <c r="K167" s="1464"/>
      <c r="L167" s="1464"/>
      <c r="M167" s="1465"/>
    </row>
    <row r="168" spans="1:15" ht="18" customHeight="1" thickBot="1" x14ac:dyDescent="0.25">
      <c r="A168" s="47" t="s">
        <v>4</v>
      </c>
      <c r="B168" s="149" t="s">
        <v>26</v>
      </c>
      <c r="C168" s="1434" t="s">
        <v>87</v>
      </c>
      <c r="D168" s="1466"/>
      <c r="E168" s="1466"/>
      <c r="F168" s="1466"/>
      <c r="G168" s="1466"/>
      <c r="H168" s="1466"/>
      <c r="I168" s="1466"/>
      <c r="J168" s="1466"/>
      <c r="K168" s="1466"/>
      <c r="L168" s="1466"/>
      <c r="M168" s="1467"/>
    </row>
    <row r="169" spans="1:15" ht="12.75" customHeight="1" x14ac:dyDescent="0.2">
      <c r="A169" s="1082" t="s">
        <v>4</v>
      </c>
      <c r="B169" s="148" t="s">
        <v>26</v>
      </c>
      <c r="C169" s="395" t="s">
        <v>4</v>
      </c>
      <c r="D169" s="1440" t="s">
        <v>84</v>
      </c>
      <c r="E169" s="1104" t="s">
        <v>173</v>
      </c>
      <c r="F169" s="111" t="s">
        <v>23</v>
      </c>
      <c r="G169" s="189">
        <v>332.3</v>
      </c>
      <c r="H169" s="189">
        <v>305.8</v>
      </c>
      <c r="I169" s="189">
        <v>305.8</v>
      </c>
      <c r="J169" s="183"/>
      <c r="K169" s="130"/>
      <c r="L169" s="130"/>
      <c r="M169" s="131"/>
    </row>
    <row r="170" spans="1:15" ht="12.75" customHeight="1" x14ac:dyDescent="0.2">
      <c r="A170" s="1059"/>
      <c r="B170" s="1106"/>
      <c r="C170" s="1061"/>
      <c r="D170" s="1441"/>
      <c r="E170" s="1104"/>
      <c r="F170" s="41" t="s">
        <v>79</v>
      </c>
      <c r="G170" s="50">
        <v>466.7</v>
      </c>
      <c r="H170" s="50">
        <v>370</v>
      </c>
      <c r="I170" s="41">
        <v>200</v>
      </c>
      <c r="J170" s="1014"/>
      <c r="K170" s="25"/>
      <c r="L170" s="25"/>
      <c r="M170" s="26"/>
    </row>
    <row r="171" spans="1:15" ht="12.75" customHeight="1" x14ac:dyDescent="0.2">
      <c r="A171" s="1059"/>
      <c r="B171" s="1106"/>
      <c r="C171" s="1061"/>
      <c r="D171" s="192"/>
      <c r="E171" s="1104"/>
      <c r="F171" s="41" t="s">
        <v>62</v>
      </c>
      <c r="G171" s="50">
        <v>817.1</v>
      </c>
      <c r="H171" s="50">
        <v>846</v>
      </c>
      <c r="I171" s="41">
        <v>861.6</v>
      </c>
      <c r="J171" s="1014"/>
      <c r="K171" s="25"/>
      <c r="L171" s="25"/>
      <c r="M171" s="26"/>
    </row>
    <row r="172" spans="1:15" ht="12.75" customHeight="1" x14ac:dyDescent="0.2">
      <c r="A172" s="1059"/>
      <c r="B172" s="1106"/>
      <c r="C172" s="1061"/>
      <c r="D172" s="192"/>
      <c r="E172" s="1104"/>
      <c r="F172" s="1113" t="s">
        <v>65</v>
      </c>
      <c r="G172" s="53">
        <v>31.3</v>
      </c>
      <c r="H172" s="53">
        <v>31.3</v>
      </c>
      <c r="I172" s="1113">
        <v>31.3</v>
      </c>
      <c r="J172" s="1108"/>
      <c r="K172" s="27"/>
      <c r="L172" s="27"/>
      <c r="M172" s="29"/>
    </row>
    <row r="173" spans="1:15" ht="15" customHeight="1" x14ac:dyDescent="0.2">
      <c r="A173" s="1059"/>
      <c r="B173" s="1106"/>
      <c r="C173" s="1061"/>
      <c r="D173" s="1384" t="s">
        <v>82</v>
      </c>
      <c r="E173" s="1379" t="s">
        <v>66</v>
      </c>
      <c r="F173" s="41"/>
      <c r="G173" s="41"/>
      <c r="H173" s="41"/>
      <c r="I173" s="41"/>
      <c r="J173" s="1111" t="s">
        <v>88</v>
      </c>
      <c r="K173" s="25">
        <v>14.5</v>
      </c>
      <c r="L173" s="25">
        <v>14.5</v>
      </c>
      <c r="M173" s="26">
        <v>14.5</v>
      </c>
    </row>
    <row r="174" spans="1:15" ht="12.75" customHeight="1" x14ac:dyDescent="0.2">
      <c r="A174" s="1059"/>
      <c r="B174" s="1106"/>
      <c r="C174" s="1061"/>
      <c r="D174" s="1392"/>
      <c r="E174" s="1380"/>
      <c r="F174" s="41"/>
      <c r="G174" s="41"/>
      <c r="H174" s="41"/>
      <c r="I174" s="41"/>
      <c r="J174" s="1111" t="s">
        <v>35</v>
      </c>
      <c r="K174" s="1089">
        <v>71</v>
      </c>
      <c r="L174" s="1089">
        <v>74</v>
      </c>
      <c r="M174" s="1115">
        <v>81</v>
      </c>
    </row>
    <row r="175" spans="1:15" ht="4.5" customHeight="1" x14ac:dyDescent="0.2">
      <c r="A175" s="1059"/>
      <c r="B175" s="1106"/>
      <c r="C175" s="1061"/>
      <c r="D175" s="1392"/>
      <c r="E175" s="1380"/>
      <c r="F175" s="41"/>
      <c r="G175" s="41"/>
      <c r="H175" s="41"/>
      <c r="I175" s="41"/>
      <c r="J175" s="1111"/>
      <c r="K175" s="25"/>
      <c r="L175" s="25"/>
      <c r="M175" s="26"/>
    </row>
    <row r="176" spans="1:15" ht="26.25" customHeight="1" x14ac:dyDescent="0.2">
      <c r="A176" s="1059"/>
      <c r="B176" s="1106"/>
      <c r="C176" s="1061"/>
      <c r="D176" s="1392"/>
      <c r="E176" s="1468"/>
      <c r="F176" s="41"/>
      <c r="G176" s="41"/>
      <c r="H176" s="41"/>
      <c r="I176" s="41"/>
      <c r="J176" s="388" t="s">
        <v>315</v>
      </c>
      <c r="K176" s="100">
        <v>7</v>
      </c>
      <c r="L176" s="100"/>
      <c r="M176" s="18"/>
    </row>
    <row r="177" spans="1:15" ht="16.5" customHeight="1" x14ac:dyDescent="0.2">
      <c r="A177" s="1059"/>
      <c r="B177" s="1106"/>
      <c r="C177" s="1061"/>
      <c r="D177" s="1392"/>
      <c r="E177" s="1469"/>
      <c r="F177" s="41"/>
      <c r="G177" s="41"/>
      <c r="H177" s="41"/>
      <c r="I177" s="41"/>
      <c r="J177" s="964" t="s">
        <v>205</v>
      </c>
      <c r="K177" s="100">
        <v>60</v>
      </c>
      <c r="L177" s="100">
        <v>60</v>
      </c>
      <c r="M177" s="18">
        <v>60</v>
      </c>
    </row>
    <row r="178" spans="1:15" ht="26.25" customHeight="1" x14ac:dyDescent="0.2">
      <c r="A178" s="1059"/>
      <c r="B178" s="1106"/>
      <c r="C178" s="1061"/>
      <c r="D178" s="1392"/>
      <c r="E178" s="1084"/>
      <c r="F178" s="41"/>
      <c r="G178" s="41"/>
      <c r="H178" s="41"/>
      <c r="I178" s="41"/>
      <c r="J178" s="388" t="s">
        <v>213</v>
      </c>
      <c r="K178" s="17">
        <v>100</v>
      </c>
      <c r="L178" s="354"/>
      <c r="M178" s="355"/>
      <c r="N178" s="435"/>
      <c r="O178" s="435"/>
    </row>
    <row r="179" spans="1:15" ht="16.5" customHeight="1" x14ac:dyDescent="0.2">
      <c r="A179" s="1059"/>
      <c r="B179" s="1106"/>
      <c r="C179" s="1061"/>
      <c r="D179" s="1392"/>
      <c r="E179" s="1084"/>
      <c r="F179" s="41"/>
      <c r="G179" s="41"/>
      <c r="H179" s="41"/>
      <c r="I179" s="41"/>
      <c r="J179" s="388" t="s">
        <v>250</v>
      </c>
      <c r="K179" s="17">
        <v>7</v>
      </c>
      <c r="L179" s="354"/>
      <c r="M179" s="355"/>
      <c r="N179" s="435"/>
      <c r="O179" s="435"/>
    </row>
    <row r="180" spans="1:15" ht="13.5" customHeight="1" x14ac:dyDescent="0.2">
      <c r="A180" s="1059"/>
      <c r="B180" s="1106"/>
      <c r="C180" s="1061"/>
      <c r="D180" s="1392"/>
      <c r="E180" s="1084"/>
      <c r="F180" s="1113"/>
      <c r="G180" s="1113"/>
      <c r="H180" s="1113"/>
      <c r="I180" s="432"/>
      <c r="J180" s="405" t="s">
        <v>251</v>
      </c>
      <c r="K180" s="1017">
        <v>3</v>
      </c>
      <c r="L180" s="1015"/>
      <c r="M180" s="1016"/>
      <c r="N180" s="435"/>
      <c r="O180" s="435"/>
    </row>
    <row r="181" spans="1:15" ht="12" customHeight="1" x14ac:dyDescent="0.2">
      <c r="A181" s="1059"/>
      <c r="B181" s="1106"/>
      <c r="C181" s="1061"/>
      <c r="D181" s="1064" t="s">
        <v>58</v>
      </c>
      <c r="E181" s="174"/>
      <c r="F181" s="41"/>
      <c r="G181" s="41"/>
      <c r="H181" s="41"/>
      <c r="I181" s="41"/>
      <c r="J181" s="1111" t="s">
        <v>70</v>
      </c>
      <c r="K181" s="1118">
        <v>1</v>
      </c>
      <c r="L181" s="1089">
        <v>1</v>
      </c>
      <c r="M181" s="1115">
        <v>1</v>
      </c>
      <c r="N181" s="435"/>
      <c r="O181" s="34"/>
    </row>
    <row r="182" spans="1:15" ht="5.25" customHeight="1" x14ac:dyDescent="0.2">
      <c r="A182" s="1059"/>
      <c r="B182" s="1106"/>
      <c r="C182" s="1061"/>
      <c r="D182" s="1065"/>
      <c r="E182" s="84"/>
      <c r="F182" s="1113"/>
      <c r="G182" s="53"/>
      <c r="H182" s="53"/>
      <c r="I182" s="53"/>
      <c r="J182" s="405"/>
      <c r="K182" s="15"/>
      <c r="L182" s="32"/>
      <c r="M182" s="16"/>
    </row>
    <row r="183" spans="1:15" ht="13.5" customHeight="1" x14ac:dyDescent="0.2">
      <c r="A183" s="1059"/>
      <c r="B183" s="1106"/>
      <c r="C183" s="1061"/>
      <c r="D183" s="1400" t="s">
        <v>90</v>
      </c>
      <c r="E183" s="324"/>
      <c r="F183" s="1112"/>
      <c r="G183" s="76"/>
      <c r="H183" s="76"/>
      <c r="I183" s="76"/>
      <c r="J183" s="1297" t="s">
        <v>165</v>
      </c>
      <c r="K183" s="1298">
        <v>14</v>
      </c>
      <c r="L183" s="1299">
        <v>14</v>
      </c>
      <c r="M183" s="1296">
        <v>14</v>
      </c>
    </row>
    <row r="184" spans="1:15" ht="12" customHeight="1" x14ac:dyDescent="0.2">
      <c r="A184" s="1059"/>
      <c r="B184" s="1106"/>
      <c r="C184" s="1061"/>
      <c r="D184" s="1401"/>
      <c r="E184" s="272"/>
      <c r="F184" s="1113"/>
      <c r="G184" s="53"/>
      <c r="H184" s="53"/>
      <c r="I184" s="53"/>
      <c r="J184" s="405"/>
      <c r="K184" s="15"/>
      <c r="L184" s="32"/>
      <c r="M184" s="16"/>
    </row>
    <row r="185" spans="1:15" ht="15" customHeight="1" x14ac:dyDescent="0.2">
      <c r="A185" s="1105"/>
      <c r="B185" s="1106"/>
      <c r="C185" s="128"/>
      <c r="D185" s="1416" t="s">
        <v>116</v>
      </c>
      <c r="E185" s="1093" t="s">
        <v>44</v>
      </c>
      <c r="F185" s="41"/>
      <c r="G185" s="50"/>
      <c r="H185" s="50"/>
      <c r="I185" s="50"/>
      <c r="J185" s="1475" t="s">
        <v>104</v>
      </c>
      <c r="K185" s="229">
        <v>15</v>
      </c>
      <c r="L185" s="117">
        <v>15</v>
      </c>
      <c r="M185" s="122">
        <v>15</v>
      </c>
      <c r="O185" s="34"/>
    </row>
    <row r="186" spans="1:15" ht="13.5" customHeight="1" x14ac:dyDescent="0.2">
      <c r="A186" s="1105"/>
      <c r="B186" s="1106"/>
      <c r="C186" s="60"/>
      <c r="D186" s="1463"/>
      <c r="E186" s="67"/>
      <c r="F186" s="1113"/>
      <c r="G186" s="78"/>
      <c r="H186" s="78"/>
      <c r="I186" s="78"/>
      <c r="J186" s="1476"/>
      <c r="K186" s="230"/>
      <c r="L186" s="488"/>
      <c r="M186" s="323"/>
    </row>
    <row r="187" spans="1:15" ht="13.5" customHeight="1" x14ac:dyDescent="0.2">
      <c r="A187" s="1059"/>
      <c r="B187" s="1106"/>
      <c r="C187" s="1061"/>
      <c r="D187" s="1365" t="s">
        <v>83</v>
      </c>
      <c r="E187" s="1214"/>
      <c r="F187" s="1218"/>
      <c r="G187" s="54"/>
      <c r="H187" s="54"/>
      <c r="I187" s="54"/>
      <c r="J187" s="1220" t="s">
        <v>107</v>
      </c>
      <c r="K187" s="1210">
        <v>172</v>
      </c>
      <c r="L187" s="396">
        <v>172</v>
      </c>
      <c r="M187" s="393">
        <v>172</v>
      </c>
    </row>
    <row r="188" spans="1:15" ht="12" customHeight="1" x14ac:dyDescent="0.2">
      <c r="A188" s="1105"/>
      <c r="B188" s="1106"/>
      <c r="C188" s="966"/>
      <c r="D188" s="1459"/>
      <c r="E188" s="1215"/>
      <c r="F188" s="1219"/>
      <c r="G188" s="53"/>
      <c r="H188" s="53"/>
      <c r="I188" s="53"/>
      <c r="J188" s="405"/>
      <c r="K188" s="1211"/>
      <c r="L188" s="99"/>
      <c r="M188" s="20"/>
    </row>
    <row r="189" spans="1:15" ht="14.25" customHeight="1" x14ac:dyDescent="0.2">
      <c r="A189" s="1217"/>
      <c r="B189" s="1216"/>
      <c r="C189" s="128"/>
      <c r="D189" s="1416" t="s">
        <v>407</v>
      </c>
      <c r="E189" s="1212"/>
      <c r="F189" s="41"/>
      <c r="G189" s="50"/>
      <c r="H189" s="50"/>
      <c r="I189" s="50"/>
      <c r="J189" s="1372" t="s">
        <v>385</v>
      </c>
      <c r="K189" s="229">
        <v>30</v>
      </c>
      <c r="L189" s="117"/>
      <c r="M189" s="122"/>
    </row>
    <row r="190" spans="1:15" ht="12.75" customHeight="1" x14ac:dyDescent="0.2">
      <c r="A190" s="1217"/>
      <c r="B190" s="1216"/>
      <c r="C190" s="60"/>
      <c r="D190" s="1463"/>
      <c r="E190" s="329"/>
      <c r="F190" s="1219"/>
      <c r="G190" s="78"/>
      <c r="H190" s="78"/>
      <c r="I190" s="78"/>
      <c r="J190" s="1402"/>
      <c r="K190" s="313"/>
      <c r="L190" s="488"/>
      <c r="M190" s="323"/>
    </row>
    <row r="191" spans="1:15" ht="26.25" customHeight="1" x14ac:dyDescent="0.2">
      <c r="A191" s="1105"/>
      <c r="B191" s="1106"/>
      <c r="C191" s="128"/>
      <c r="D191" s="1416" t="s">
        <v>338</v>
      </c>
      <c r="E191" s="1093"/>
      <c r="F191" s="41"/>
      <c r="G191" s="50"/>
      <c r="H191" s="50"/>
      <c r="I191" s="50"/>
      <c r="J191" s="1071" t="s">
        <v>252</v>
      </c>
      <c r="K191" s="229"/>
      <c r="L191" s="117">
        <v>10</v>
      </c>
      <c r="M191" s="122">
        <v>10</v>
      </c>
    </row>
    <row r="192" spans="1:15" ht="5.25" customHeight="1" x14ac:dyDescent="0.2">
      <c r="A192" s="1105"/>
      <c r="B192" s="1106"/>
      <c r="C192" s="60"/>
      <c r="D192" s="1463"/>
      <c r="E192" s="67"/>
      <c r="F192" s="1113"/>
      <c r="G192" s="78"/>
      <c r="H192" s="78"/>
      <c r="I192" s="78"/>
      <c r="J192" s="123"/>
      <c r="K192" s="313"/>
      <c r="L192" s="488"/>
      <c r="M192" s="323"/>
    </row>
    <row r="193" spans="1:13" ht="14.25" customHeight="1" x14ac:dyDescent="0.2">
      <c r="A193" s="1355"/>
      <c r="B193" s="1378"/>
      <c r="C193" s="1472"/>
      <c r="D193" s="1455" t="s">
        <v>207</v>
      </c>
      <c r="E193" s="1473" t="s">
        <v>173</v>
      </c>
      <c r="F193" s="38"/>
      <c r="G193" s="41"/>
      <c r="H193" s="50"/>
      <c r="I193" s="50"/>
      <c r="J193" s="1071" t="s">
        <v>61</v>
      </c>
      <c r="K193" s="223">
        <v>18</v>
      </c>
      <c r="L193" s="320">
        <v>18</v>
      </c>
      <c r="M193" s="434">
        <v>18</v>
      </c>
    </row>
    <row r="194" spans="1:13" ht="16.5" customHeight="1" x14ac:dyDescent="0.2">
      <c r="A194" s="1355"/>
      <c r="B194" s="1378"/>
      <c r="C194" s="1472"/>
      <c r="D194" s="1463"/>
      <c r="E194" s="1474"/>
      <c r="F194" s="45"/>
      <c r="G194" s="90"/>
      <c r="H194" s="37"/>
      <c r="I194" s="37"/>
      <c r="J194" s="123" t="s">
        <v>71</v>
      </c>
      <c r="K194" s="164">
        <v>7</v>
      </c>
      <c r="L194" s="32">
        <v>7</v>
      </c>
      <c r="M194" s="16">
        <v>7</v>
      </c>
    </row>
    <row r="195" spans="1:13" ht="18" customHeight="1" thickBot="1" x14ac:dyDescent="0.25">
      <c r="A195" s="1000"/>
      <c r="B195" s="1001"/>
      <c r="C195" s="999"/>
      <c r="D195" s="601"/>
      <c r="E195" s="602"/>
      <c r="F195" s="56" t="s">
        <v>5</v>
      </c>
      <c r="G195" s="125">
        <f>SUM(G169:G194)</f>
        <v>1647.4</v>
      </c>
      <c r="H195" s="125">
        <f>SUM(H169:H194)</f>
        <v>1553.1</v>
      </c>
      <c r="I195" s="125">
        <f>SUM(I169:I194)</f>
        <v>1398.7</v>
      </c>
      <c r="J195" s="606"/>
      <c r="K195" s="289"/>
      <c r="L195" s="112"/>
      <c r="M195" s="250"/>
    </row>
    <row r="196" spans="1:13" ht="11.25" customHeight="1" x14ac:dyDescent="0.2">
      <c r="A196" s="1077" t="s">
        <v>4</v>
      </c>
      <c r="B196" s="1079" t="s">
        <v>26</v>
      </c>
      <c r="C196" s="1074" t="s">
        <v>6</v>
      </c>
      <c r="D196" s="1483" t="s">
        <v>308</v>
      </c>
      <c r="E196" s="1485"/>
      <c r="F196" s="111" t="s">
        <v>23</v>
      </c>
      <c r="G196" s="126">
        <f>8.1-4.3</f>
        <v>3.8</v>
      </c>
      <c r="H196" s="126">
        <v>577.5</v>
      </c>
      <c r="I196" s="126">
        <v>1478.9</v>
      </c>
      <c r="J196" s="270"/>
      <c r="K196" s="127"/>
      <c r="L196" s="130"/>
      <c r="M196" s="131"/>
    </row>
    <row r="197" spans="1:13" ht="11.25" customHeight="1" x14ac:dyDescent="0.2">
      <c r="A197" s="1078"/>
      <c r="B197" s="1080"/>
      <c r="C197" s="1075"/>
      <c r="D197" s="1484"/>
      <c r="E197" s="1486"/>
      <c r="F197" s="41" t="s">
        <v>54</v>
      </c>
      <c r="G197" s="50">
        <v>233.3</v>
      </c>
      <c r="H197" s="50">
        <v>0</v>
      </c>
      <c r="I197" s="50">
        <v>0</v>
      </c>
      <c r="J197" s="1097"/>
      <c r="K197" s="61"/>
      <c r="L197" s="25"/>
      <c r="M197" s="26"/>
    </row>
    <row r="198" spans="1:13" ht="11.25" customHeight="1" x14ac:dyDescent="0.2">
      <c r="A198" s="1078"/>
      <c r="B198" s="1080"/>
      <c r="C198" s="1075"/>
      <c r="D198" s="1484"/>
      <c r="E198" s="1486"/>
      <c r="F198" s="41" t="s">
        <v>62</v>
      </c>
      <c r="G198" s="50">
        <v>447.2</v>
      </c>
      <c r="H198" s="50">
        <v>22</v>
      </c>
      <c r="I198" s="50">
        <v>22</v>
      </c>
      <c r="J198" s="1097"/>
      <c r="K198" s="61"/>
      <c r="L198" s="25"/>
      <c r="M198" s="26"/>
    </row>
    <row r="199" spans="1:13" ht="11.25" customHeight="1" x14ac:dyDescent="0.2">
      <c r="A199" s="1078"/>
      <c r="B199" s="1080"/>
      <c r="C199" s="1075"/>
      <c r="D199" s="1484"/>
      <c r="E199" s="1486"/>
      <c r="F199" s="41" t="s">
        <v>65</v>
      </c>
      <c r="G199" s="50">
        <v>155.30000000000001</v>
      </c>
      <c r="H199" s="41"/>
      <c r="I199" s="50"/>
      <c r="J199" s="1097"/>
      <c r="K199" s="61"/>
      <c r="L199" s="25"/>
      <c r="M199" s="26"/>
    </row>
    <row r="200" spans="1:13" ht="11.25" customHeight="1" x14ac:dyDescent="0.2">
      <c r="A200" s="1171"/>
      <c r="B200" s="1172"/>
      <c r="C200" s="1170"/>
      <c r="D200" s="1484"/>
      <c r="E200" s="1486"/>
      <c r="F200" s="41" t="s">
        <v>365</v>
      </c>
      <c r="G200" s="50">
        <v>4.3</v>
      </c>
      <c r="H200" s="50"/>
      <c r="I200" s="50"/>
      <c r="J200" s="1173"/>
      <c r="K200" s="61"/>
      <c r="L200" s="25"/>
      <c r="M200" s="26"/>
    </row>
    <row r="201" spans="1:13" ht="11.25" customHeight="1" x14ac:dyDescent="0.2">
      <c r="A201" s="1078"/>
      <c r="B201" s="1080"/>
      <c r="C201" s="1075"/>
      <c r="D201" s="1484"/>
      <c r="E201" s="1486"/>
      <c r="F201" s="41" t="s">
        <v>41</v>
      </c>
      <c r="G201" s="50">
        <v>997</v>
      </c>
      <c r="H201" s="50">
        <v>67.3</v>
      </c>
      <c r="I201" s="50">
        <f>I209+I213</f>
        <v>0</v>
      </c>
      <c r="J201" s="1097"/>
      <c r="K201" s="61"/>
      <c r="L201" s="25"/>
      <c r="M201" s="26"/>
    </row>
    <row r="202" spans="1:13" ht="15" customHeight="1" x14ac:dyDescent="0.2">
      <c r="A202" s="1481"/>
      <c r="B202" s="1482"/>
      <c r="C202" s="1472"/>
      <c r="D202" s="1455" t="s">
        <v>157</v>
      </c>
      <c r="E202" s="64" t="s">
        <v>331</v>
      </c>
      <c r="F202" s="1112"/>
      <c r="G202" s="54"/>
      <c r="H202" s="1112"/>
      <c r="I202" s="54"/>
      <c r="J202" s="1477" t="s">
        <v>147</v>
      </c>
      <c r="K202" s="1117">
        <v>1</v>
      </c>
      <c r="L202" s="1116"/>
      <c r="M202" s="1114"/>
    </row>
    <row r="203" spans="1:13" ht="14.25" customHeight="1" x14ac:dyDescent="0.2">
      <c r="A203" s="1481"/>
      <c r="B203" s="1482"/>
      <c r="C203" s="1472"/>
      <c r="D203" s="1416"/>
      <c r="E203" s="425" t="s">
        <v>173</v>
      </c>
      <c r="F203" s="41"/>
      <c r="G203" s="50"/>
      <c r="H203" s="41"/>
      <c r="I203" s="50"/>
      <c r="J203" s="1478"/>
      <c r="K203" s="600"/>
      <c r="L203" s="1089"/>
      <c r="M203" s="1115"/>
    </row>
    <row r="204" spans="1:13" ht="25.5" customHeight="1" x14ac:dyDescent="0.2">
      <c r="A204" s="1481"/>
      <c r="B204" s="1482"/>
      <c r="C204" s="1472"/>
      <c r="D204" s="1487"/>
      <c r="E204" s="1123" t="s">
        <v>343</v>
      </c>
      <c r="F204" s="1113"/>
      <c r="G204" s="53"/>
      <c r="H204" s="1113"/>
      <c r="I204" s="53"/>
      <c r="J204" s="14" t="s">
        <v>287</v>
      </c>
      <c r="K204" s="15">
        <v>100</v>
      </c>
      <c r="L204" s="32"/>
      <c r="M204" s="16"/>
    </row>
    <row r="205" spans="1:13" ht="24.75" customHeight="1" x14ac:dyDescent="0.2">
      <c r="A205" s="1078"/>
      <c r="B205" s="1080"/>
      <c r="C205" s="1075"/>
      <c r="D205" s="1479" t="s">
        <v>324</v>
      </c>
      <c r="E205" s="1018" t="s">
        <v>331</v>
      </c>
      <c r="F205" s="41"/>
      <c r="G205" s="50"/>
      <c r="H205" s="41"/>
      <c r="I205" s="50"/>
      <c r="J205" s="1085" t="s">
        <v>99</v>
      </c>
      <c r="K205" s="1088"/>
      <c r="L205" s="1089">
        <v>20</v>
      </c>
      <c r="M205" s="1115">
        <v>80</v>
      </c>
    </row>
    <row r="206" spans="1:13" ht="15" customHeight="1" x14ac:dyDescent="0.2">
      <c r="A206" s="1078"/>
      <c r="B206" s="1080"/>
      <c r="C206" s="1075"/>
      <c r="D206" s="1480"/>
      <c r="E206" s="1019"/>
      <c r="F206" s="1113"/>
      <c r="G206" s="53"/>
      <c r="H206" s="1113"/>
      <c r="I206" s="53"/>
      <c r="J206" s="1099"/>
      <c r="K206" s="32"/>
      <c r="L206" s="32"/>
      <c r="M206" s="16"/>
    </row>
    <row r="207" spans="1:13" ht="24.75" customHeight="1" x14ac:dyDescent="0.2">
      <c r="A207" s="1481"/>
      <c r="B207" s="1482"/>
      <c r="C207" s="1472"/>
      <c r="D207" s="1366" t="s">
        <v>144</v>
      </c>
      <c r="E207" s="64" t="s">
        <v>332</v>
      </c>
      <c r="F207" s="41"/>
      <c r="G207" s="50"/>
      <c r="H207" s="41"/>
      <c r="I207" s="50"/>
      <c r="J207" s="1477" t="s">
        <v>145</v>
      </c>
      <c r="K207" s="650"/>
      <c r="L207" s="1089">
        <v>1</v>
      </c>
      <c r="M207" s="1115"/>
    </row>
    <row r="208" spans="1:13" ht="15" customHeight="1" x14ac:dyDescent="0.2">
      <c r="A208" s="1481"/>
      <c r="B208" s="1482"/>
      <c r="C208" s="1472"/>
      <c r="D208" s="1366"/>
      <c r="E208" s="1020" t="s">
        <v>231</v>
      </c>
      <c r="F208" s="41"/>
      <c r="G208" s="50"/>
      <c r="H208" s="41"/>
      <c r="I208" s="50"/>
      <c r="J208" s="1478"/>
      <c r="K208" s="1089"/>
      <c r="L208" s="1089"/>
      <c r="M208" s="1115"/>
    </row>
    <row r="209" spans="1:13" ht="16.5" customHeight="1" x14ac:dyDescent="0.2">
      <c r="A209" s="1481"/>
      <c r="B209" s="1482"/>
      <c r="C209" s="1472"/>
      <c r="D209" s="1383"/>
      <c r="E209" s="239" t="s">
        <v>343</v>
      </c>
      <c r="F209" s="41"/>
      <c r="G209" s="50"/>
      <c r="H209" s="41"/>
      <c r="I209" s="50"/>
      <c r="J209" s="14" t="s">
        <v>124</v>
      </c>
      <c r="K209" s="15">
        <v>1</v>
      </c>
      <c r="L209" s="32"/>
      <c r="M209" s="16"/>
    </row>
    <row r="210" spans="1:13" ht="14.25" customHeight="1" x14ac:dyDescent="0.2">
      <c r="A210" s="1355"/>
      <c r="B210" s="1378"/>
      <c r="C210" s="1472"/>
      <c r="D210" s="1365" t="s">
        <v>226</v>
      </c>
      <c r="E210" s="1488" t="s">
        <v>347</v>
      </c>
      <c r="F210" s="1112"/>
      <c r="G210" s="54"/>
      <c r="H210" s="1112"/>
      <c r="I210" s="54"/>
      <c r="J210" s="1085" t="s">
        <v>236</v>
      </c>
      <c r="K210" s="119" t="s">
        <v>49</v>
      </c>
      <c r="L210" s="119"/>
      <c r="M210" s="187"/>
    </row>
    <row r="211" spans="1:13" ht="14.25" customHeight="1" x14ac:dyDescent="0.2">
      <c r="A211" s="1355"/>
      <c r="B211" s="1378"/>
      <c r="C211" s="1472"/>
      <c r="D211" s="1366"/>
      <c r="E211" s="1489"/>
      <c r="F211" s="41"/>
      <c r="G211" s="50"/>
      <c r="H211" s="41"/>
      <c r="I211" s="50"/>
      <c r="J211" s="1085"/>
      <c r="K211" s="320"/>
      <c r="L211" s="119"/>
      <c r="M211" s="187"/>
    </row>
    <row r="212" spans="1:13" ht="9.75" customHeight="1" x14ac:dyDescent="0.2">
      <c r="A212" s="1355"/>
      <c r="B212" s="1378"/>
      <c r="C212" s="1472"/>
      <c r="D212" s="1406"/>
      <c r="E212" s="1490"/>
      <c r="F212" s="1113"/>
      <c r="G212" s="53"/>
      <c r="H212" s="1113"/>
      <c r="I212" s="53"/>
      <c r="J212" s="14"/>
      <c r="K212" s="32"/>
      <c r="L212" s="32"/>
      <c r="M212" s="16"/>
    </row>
    <row r="213" spans="1:13" ht="14.25" customHeight="1" x14ac:dyDescent="0.2">
      <c r="A213" s="1355"/>
      <c r="B213" s="1378"/>
      <c r="C213" s="1472"/>
      <c r="D213" s="1365" t="s">
        <v>408</v>
      </c>
      <c r="E213" s="1488" t="s">
        <v>347</v>
      </c>
      <c r="F213" s="41"/>
      <c r="G213" s="54"/>
      <c r="H213" s="1112"/>
      <c r="I213" s="54"/>
      <c r="J213" s="1085" t="s">
        <v>229</v>
      </c>
      <c r="K213" s="320"/>
      <c r="L213" s="1124" t="s">
        <v>49</v>
      </c>
      <c r="M213" s="225"/>
    </row>
    <row r="214" spans="1:13" ht="13.5" customHeight="1" x14ac:dyDescent="0.2">
      <c r="A214" s="1355"/>
      <c r="B214" s="1378"/>
      <c r="C214" s="1472"/>
      <c r="D214" s="1366"/>
      <c r="E214" s="1489"/>
      <c r="F214" s="41"/>
      <c r="G214" s="50"/>
      <c r="H214" s="41"/>
      <c r="I214" s="50"/>
      <c r="J214" s="1085"/>
      <c r="K214" s="1089"/>
      <c r="L214" s="119"/>
      <c r="M214" s="187"/>
    </row>
    <row r="215" spans="1:13" ht="14.25" customHeight="1" x14ac:dyDescent="0.2">
      <c r="A215" s="1355"/>
      <c r="B215" s="1378"/>
      <c r="C215" s="1472"/>
      <c r="D215" s="1367"/>
      <c r="E215" s="1490"/>
      <c r="F215" s="1113"/>
      <c r="G215" s="53"/>
      <c r="H215" s="1113"/>
      <c r="I215" s="53"/>
      <c r="J215" s="14"/>
      <c r="K215" s="32"/>
      <c r="L215" s="32"/>
      <c r="M215" s="16"/>
    </row>
    <row r="216" spans="1:13" ht="29.25" customHeight="1" x14ac:dyDescent="0.2">
      <c r="A216" s="1355"/>
      <c r="B216" s="1378"/>
      <c r="C216" s="1472"/>
      <c r="D216" s="1365" t="s">
        <v>163</v>
      </c>
      <c r="E216" s="1452" t="s">
        <v>348</v>
      </c>
      <c r="F216" s="1112"/>
      <c r="G216" s="54"/>
      <c r="H216" s="1112"/>
      <c r="I216" s="54"/>
      <c r="J216" s="672" t="s">
        <v>170</v>
      </c>
      <c r="K216" s="295">
        <v>8</v>
      </c>
      <c r="L216" s="612">
        <v>8</v>
      </c>
      <c r="M216" s="171">
        <v>8</v>
      </c>
    </row>
    <row r="217" spans="1:13" ht="27.75" customHeight="1" x14ac:dyDescent="0.2">
      <c r="A217" s="1355"/>
      <c r="B217" s="1378"/>
      <c r="C217" s="1472"/>
      <c r="D217" s="1367"/>
      <c r="E217" s="1454"/>
      <c r="F217" s="1113"/>
      <c r="G217" s="53"/>
      <c r="H217" s="1113"/>
      <c r="I217" s="53"/>
      <c r="J217" s="14" t="s">
        <v>409</v>
      </c>
      <c r="K217" s="32">
        <v>6</v>
      </c>
      <c r="L217" s="15"/>
      <c r="M217" s="16"/>
    </row>
    <row r="218" spans="1:13" ht="18" customHeight="1" thickBot="1" x14ac:dyDescent="0.25">
      <c r="A218" s="1000"/>
      <c r="B218" s="1001"/>
      <c r="C218" s="999"/>
      <c r="D218" s="601"/>
      <c r="E218" s="602"/>
      <c r="F218" s="83" t="s">
        <v>5</v>
      </c>
      <c r="G218" s="125">
        <f>SUM(G196:G217)</f>
        <v>1840.9</v>
      </c>
      <c r="H218" s="125">
        <f>SUM(H196:H217)</f>
        <v>666.8</v>
      </c>
      <c r="I218" s="125">
        <f>SUM(I196:I217)</f>
        <v>1500.9</v>
      </c>
      <c r="J218" s="606"/>
      <c r="K218" s="289"/>
      <c r="L218" s="112"/>
      <c r="M218" s="250"/>
    </row>
    <row r="219" spans="1:13" ht="14.25" customHeight="1" thickBot="1" x14ac:dyDescent="0.25">
      <c r="A219" s="57" t="s">
        <v>4</v>
      </c>
      <c r="B219" s="48" t="s">
        <v>26</v>
      </c>
      <c r="C219" s="1431" t="s">
        <v>7</v>
      </c>
      <c r="D219" s="1431"/>
      <c r="E219" s="1431"/>
      <c r="F219" s="1494"/>
      <c r="G219" s="124">
        <f>G218+G195</f>
        <v>3488.3</v>
      </c>
      <c r="H219" s="124">
        <f>H218+H195</f>
        <v>2219.9</v>
      </c>
      <c r="I219" s="124">
        <f>I218+I195</f>
        <v>2899.6</v>
      </c>
      <c r="J219" s="1495"/>
      <c r="K219" s="1464"/>
      <c r="L219" s="1464"/>
      <c r="M219" s="1465"/>
    </row>
    <row r="220" spans="1:13" ht="14.25" customHeight="1" thickBot="1" x14ac:dyDescent="0.25">
      <c r="A220" s="57" t="s">
        <v>4</v>
      </c>
      <c r="B220" s="1496" t="s">
        <v>8</v>
      </c>
      <c r="C220" s="1497"/>
      <c r="D220" s="1497"/>
      <c r="E220" s="1497"/>
      <c r="F220" s="1498"/>
      <c r="G220" s="86">
        <f>G219+G167+G124</f>
        <v>29825.200000000001</v>
      </c>
      <c r="H220" s="86">
        <f>H219+H167+H124</f>
        <v>36810</v>
      </c>
      <c r="I220" s="86">
        <f>I219+I167+I124</f>
        <v>33725.1</v>
      </c>
      <c r="J220" s="1499"/>
      <c r="K220" s="1499"/>
      <c r="L220" s="1499"/>
      <c r="M220" s="1500"/>
    </row>
    <row r="221" spans="1:13" ht="14.25" customHeight="1" thickBot="1" x14ac:dyDescent="0.25">
      <c r="A221" s="62" t="s">
        <v>32</v>
      </c>
      <c r="B221" s="1501" t="s">
        <v>51</v>
      </c>
      <c r="C221" s="1502"/>
      <c r="D221" s="1502"/>
      <c r="E221" s="1502"/>
      <c r="F221" s="1503"/>
      <c r="G221" s="87">
        <f>SUM(G220)</f>
        <v>29825.200000000001</v>
      </c>
      <c r="H221" s="87">
        <f t="shared" ref="H221:I221" si="2">SUM(H220)</f>
        <v>36810</v>
      </c>
      <c r="I221" s="87">
        <f t="shared" si="2"/>
        <v>33725.1</v>
      </c>
      <c r="J221" s="1504"/>
      <c r="K221" s="1504"/>
      <c r="L221" s="1504"/>
      <c r="M221" s="1505"/>
    </row>
    <row r="222" spans="1:13" ht="14.25" customHeight="1" x14ac:dyDescent="0.2">
      <c r="A222" s="1536"/>
      <c r="B222" s="1536"/>
      <c r="C222" s="1536"/>
      <c r="D222" s="1536"/>
      <c r="E222" s="1536"/>
      <c r="F222" s="1536"/>
      <c r="G222" s="1536"/>
      <c r="H222" s="1536"/>
      <c r="I222" s="412"/>
      <c r="J222" s="63"/>
      <c r="K222" s="63"/>
      <c r="L222" s="63"/>
      <c r="M222" s="63"/>
    </row>
    <row r="223" spans="1:13" s="4" customFormat="1" ht="12" customHeight="1" x14ac:dyDescent="0.2">
      <c r="A223" s="331"/>
      <c r="B223" s="305"/>
      <c r="C223" s="305"/>
      <c r="D223" s="305"/>
      <c r="E223" s="773"/>
      <c r="F223" s="305"/>
      <c r="G223" s="305"/>
      <c r="H223" s="305"/>
      <c r="I223" s="305"/>
      <c r="J223" s="305"/>
      <c r="K223" s="331"/>
      <c r="L223" s="331"/>
      <c r="M223" s="331"/>
    </row>
    <row r="224" spans="1:13" s="5" customFormat="1" ht="15" customHeight="1" thickBot="1" x14ac:dyDescent="0.25">
      <c r="A224" s="1537" t="s">
        <v>12</v>
      </c>
      <c r="B224" s="1537"/>
      <c r="C224" s="1537"/>
      <c r="D224" s="1537"/>
      <c r="E224" s="1537"/>
      <c r="F224" s="1537"/>
      <c r="G224" s="94"/>
      <c r="H224" s="94"/>
      <c r="I224" s="94"/>
      <c r="J224" s="63"/>
      <c r="K224" s="63"/>
      <c r="L224" s="63"/>
      <c r="M224" s="63"/>
    </row>
    <row r="225" spans="1:13" ht="62.25" customHeight="1" thickBot="1" x14ac:dyDescent="0.25">
      <c r="A225" s="1538" t="s">
        <v>9</v>
      </c>
      <c r="B225" s="1539"/>
      <c r="C225" s="1539"/>
      <c r="D225" s="1539"/>
      <c r="E225" s="1539"/>
      <c r="F225" s="1540"/>
      <c r="G225" s="306" t="s">
        <v>243</v>
      </c>
      <c r="H225" s="318" t="s">
        <v>168</v>
      </c>
      <c r="I225" s="318" t="s">
        <v>244</v>
      </c>
      <c r="J225" s="10"/>
      <c r="K225" s="10"/>
      <c r="L225" s="10"/>
      <c r="M225" s="10"/>
    </row>
    <row r="226" spans="1:13" ht="14.25" customHeight="1" x14ac:dyDescent="0.2">
      <c r="A226" s="1541" t="s">
        <v>13</v>
      </c>
      <c r="B226" s="1542"/>
      <c r="C226" s="1542"/>
      <c r="D226" s="1542"/>
      <c r="E226" s="1542"/>
      <c r="F226" s="1543"/>
      <c r="G226" s="307">
        <f>G227+G235+G236+G237+G234</f>
        <v>25889.5</v>
      </c>
      <c r="H226" s="374">
        <f>H227+H235+H236+H237+H234</f>
        <v>28071.200000000001</v>
      </c>
      <c r="I226" s="374">
        <f>I227+I235+I236+I237+I234</f>
        <v>19310.400000000001</v>
      </c>
      <c r="J226" s="10"/>
      <c r="K226" s="10"/>
      <c r="L226" s="10"/>
      <c r="M226" s="10"/>
    </row>
    <row r="227" spans="1:13" ht="14.25" customHeight="1" x14ac:dyDescent="0.2">
      <c r="A227" s="1544" t="s">
        <v>73</v>
      </c>
      <c r="B227" s="1545"/>
      <c r="C227" s="1545"/>
      <c r="D227" s="1545"/>
      <c r="E227" s="1545"/>
      <c r="F227" s="1546"/>
      <c r="G227" s="308">
        <f>SUM(G228:G233)</f>
        <v>15233.7</v>
      </c>
      <c r="H227" s="308">
        <f t="shared" ref="H227:I227" si="3">SUM(H228:H233)</f>
        <v>22586.6</v>
      </c>
      <c r="I227" s="373">
        <f t="shared" si="3"/>
        <v>13511.2</v>
      </c>
      <c r="J227" s="10"/>
      <c r="K227" s="10"/>
      <c r="L227" s="10"/>
      <c r="M227" s="10"/>
    </row>
    <row r="228" spans="1:13" ht="14.25" customHeight="1" x14ac:dyDescent="0.2">
      <c r="A228" s="1491" t="s">
        <v>18</v>
      </c>
      <c r="B228" s="1492"/>
      <c r="C228" s="1492"/>
      <c r="D228" s="1492"/>
      <c r="E228" s="1492"/>
      <c r="F228" s="1493"/>
      <c r="G228" s="1174">
        <f>SUMIF(F16:F221,"SB",G16:G221)</f>
        <v>7325.7</v>
      </c>
      <c r="H228" s="1174">
        <f>SUMIF(F16:F221,"SB",H16:H221)</f>
        <v>15938.4</v>
      </c>
      <c r="I228" s="1174">
        <f>SUMIF(F16:F221,"SB",I16:I221)</f>
        <v>12027.6</v>
      </c>
      <c r="J228" s="34"/>
      <c r="K228" s="10"/>
      <c r="L228" s="10"/>
      <c r="M228" s="10"/>
    </row>
    <row r="229" spans="1:13" ht="14.25" customHeight="1" x14ac:dyDescent="0.2">
      <c r="A229" s="1506" t="s">
        <v>63</v>
      </c>
      <c r="B229" s="1507"/>
      <c r="C229" s="1507"/>
      <c r="D229" s="1507"/>
      <c r="E229" s="1507"/>
      <c r="F229" s="1508"/>
      <c r="G229" s="1174">
        <f>SUMIF(F16:F221,"SB(VR)",G16:G221)</f>
        <v>1900</v>
      </c>
      <c r="H229" s="1174">
        <f>SUMIF(F16:F221,"SB(VR)",H16:H221)</f>
        <v>1218</v>
      </c>
      <c r="I229" s="1174">
        <f>SUMIF(F16:F221,"SB(VR)",I16:I221)</f>
        <v>1483.6</v>
      </c>
      <c r="J229" s="10"/>
      <c r="K229" s="10"/>
      <c r="L229" s="10"/>
      <c r="M229" s="10"/>
    </row>
    <row r="230" spans="1:13" ht="29.25" customHeight="1" x14ac:dyDescent="0.2">
      <c r="A230" s="1525" t="s">
        <v>120</v>
      </c>
      <c r="B230" s="1526"/>
      <c r="C230" s="1526"/>
      <c r="D230" s="1526"/>
      <c r="E230" s="1526"/>
      <c r="F230" s="1527"/>
      <c r="G230" s="37">
        <f>SUMIF(F16:F219,"SB(ES)",G16:G219)</f>
        <v>1003.7</v>
      </c>
      <c r="H230" s="37">
        <f>SUMIF(F16:F219,"SB(ES)",H16:H219)</f>
        <v>430.2</v>
      </c>
      <c r="I230" s="37">
        <f>SUMIF(F16:F219,"SB(ES)",I16:I219)</f>
        <v>0</v>
      </c>
      <c r="J230" s="10"/>
      <c r="K230" s="10"/>
      <c r="L230" s="10"/>
      <c r="M230" s="10"/>
    </row>
    <row r="231" spans="1:13" ht="14.25" customHeight="1" x14ac:dyDescent="0.2">
      <c r="A231" s="1525" t="s">
        <v>181</v>
      </c>
      <c r="B231" s="1526"/>
      <c r="C231" s="1526"/>
      <c r="D231" s="1526"/>
      <c r="E231" s="1526"/>
      <c r="F231" s="1527"/>
      <c r="G231" s="37">
        <f>SUMIF(F16:F219,"SB(VB)",G16:G219)</f>
        <v>5000</v>
      </c>
      <c r="H231" s="37">
        <f>SUMIF(F16:F219,"SB(VB)",H16:H219)</f>
        <v>5000</v>
      </c>
      <c r="I231" s="37">
        <f>SUMIF(F16:F219,"SB(VB)",I16:I219)</f>
        <v>0</v>
      </c>
      <c r="J231" s="10"/>
      <c r="K231" s="10"/>
      <c r="L231" s="10"/>
      <c r="M231" s="10"/>
    </row>
    <row r="232" spans="1:13" ht="28.5" customHeight="1" x14ac:dyDescent="0.2">
      <c r="A232" s="1302" t="s">
        <v>208</v>
      </c>
      <c r="B232" s="1531"/>
      <c r="C232" s="1531"/>
      <c r="D232" s="1531"/>
      <c r="E232" s="1531"/>
      <c r="F232" s="1532"/>
      <c r="G232" s="37">
        <f>SUMIF(F16:F221,"SB(KP)",G16:G221)</f>
        <v>0</v>
      </c>
      <c r="H232" s="37">
        <f>SUMIF(F16:F221,"SB(KP)",H16:H221)</f>
        <v>0</v>
      </c>
      <c r="I232" s="37">
        <f>SUMIF(F16:F221,"SB(KP)",I16:I221)</f>
        <v>0</v>
      </c>
      <c r="J232" s="10"/>
      <c r="K232" s="10"/>
      <c r="L232" s="10"/>
      <c r="M232" s="10"/>
    </row>
    <row r="233" spans="1:13" ht="28.5" customHeight="1" x14ac:dyDescent="0.2">
      <c r="A233" s="1302" t="s">
        <v>366</v>
      </c>
      <c r="B233" s="1303"/>
      <c r="C233" s="1303"/>
      <c r="D233" s="1303"/>
      <c r="E233" s="1303"/>
      <c r="F233" s="1304"/>
      <c r="G233" s="37">
        <f>SUMIF(F17:F222,"SB(ESA)",G17:G222)</f>
        <v>4.3</v>
      </c>
      <c r="H233" s="37">
        <f>SUMIF(F17:F222,"SB(ESA)",H17:H222)</f>
        <v>0</v>
      </c>
      <c r="I233" s="37">
        <f>SUMIF(F17:F222,"SB(ESA)",I17:I222)</f>
        <v>0</v>
      </c>
      <c r="J233" s="10"/>
      <c r="K233" s="10"/>
      <c r="L233" s="10"/>
      <c r="M233" s="10"/>
    </row>
    <row r="234" spans="1:13" ht="15.75" customHeight="1" x14ac:dyDescent="0.2">
      <c r="A234" s="1516" t="s">
        <v>209</v>
      </c>
      <c r="B234" s="1533"/>
      <c r="C234" s="1533"/>
      <c r="D234" s="1533"/>
      <c r="E234" s="1533"/>
      <c r="F234" s="1534"/>
      <c r="G234" s="151">
        <f>SUMIF(F14:F221,"SB(KPP)",G14:G221)</f>
        <v>5583.2</v>
      </c>
      <c r="H234" s="151">
        <f>SUMIF(F14:F221,"SB(KPP)",H14:H221)</f>
        <v>5453.3</v>
      </c>
      <c r="I234" s="151">
        <f>SUMIF(F14:F221,"SB(KPP)",I14:I221)</f>
        <v>5767.9</v>
      </c>
      <c r="J234" s="10"/>
      <c r="K234" s="10"/>
      <c r="L234" s="10"/>
      <c r="M234" s="10"/>
    </row>
    <row r="235" spans="1:13" ht="14.25" customHeight="1" x14ac:dyDescent="0.2">
      <c r="A235" s="1535" t="s">
        <v>76</v>
      </c>
      <c r="B235" s="1517"/>
      <c r="C235" s="1517"/>
      <c r="D235" s="1517"/>
      <c r="E235" s="1517"/>
      <c r="F235" s="1518"/>
      <c r="G235" s="151">
        <f>SUMIF(F16:F220,"SB(VRL)",G16:G220)</f>
        <v>270.89999999999998</v>
      </c>
      <c r="H235" s="151">
        <f>SUMIF(F16:F220,"SB(VRL)",H16:H220)</f>
        <v>31.3</v>
      </c>
      <c r="I235" s="151">
        <f>SUMIF(F16:F220,"SB(VRL)",I16:I220)</f>
        <v>31.3</v>
      </c>
      <c r="J235" s="10"/>
      <c r="K235" s="10"/>
      <c r="L235" s="10"/>
      <c r="M235" s="10"/>
    </row>
    <row r="236" spans="1:13" ht="14.25" customHeight="1" x14ac:dyDescent="0.2">
      <c r="A236" s="1516" t="s">
        <v>77</v>
      </c>
      <c r="B236" s="1517"/>
      <c r="C236" s="1517"/>
      <c r="D236" s="1517"/>
      <c r="E236" s="1517"/>
      <c r="F236" s="1518"/>
      <c r="G236" s="151">
        <f>SUMIF(F16:F221,"SB(ŽPL)",G16:G221)</f>
        <v>744.1</v>
      </c>
      <c r="H236" s="151">
        <f>SUMIF(F16:F221,"SB(ŽPL)",H16:H221)</f>
        <v>0</v>
      </c>
      <c r="I236" s="151">
        <f>SUMIF(F16:F221,"SB(ŽPL)",I16:I221)</f>
        <v>0</v>
      </c>
      <c r="J236" s="10"/>
      <c r="K236" s="10"/>
      <c r="L236" s="10"/>
      <c r="M236" s="10"/>
    </row>
    <row r="237" spans="1:13" ht="14.25" customHeight="1" x14ac:dyDescent="0.2">
      <c r="A237" s="1519" t="s">
        <v>128</v>
      </c>
      <c r="B237" s="1520"/>
      <c r="C237" s="1520"/>
      <c r="D237" s="1520"/>
      <c r="E237" s="1520"/>
      <c r="F237" s="1521"/>
      <c r="G237" s="151">
        <f>SUMIF(F16:F221,"SB(L)",G16:G221)</f>
        <v>4057.6</v>
      </c>
      <c r="H237" s="151">
        <f>SUMIF(F16:F221,"SB(L)",H16:H221)</f>
        <v>0</v>
      </c>
      <c r="I237" s="151">
        <f>SUMIF(F16:F221,"SB(L)",I16:I221)</f>
        <v>0</v>
      </c>
      <c r="J237" s="10"/>
      <c r="K237" s="10"/>
      <c r="L237" s="10"/>
      <c r="M237" s="10"/>
    </row>
    <row r="238" spans="1:13" ht="14.25" customHeight="1" x14ac:dyDescent="0.2">
      <c r="A238" s="1522" t="s">
        <v>14</v>
      </c>
      <c r="B238" s="1523"/>
      <c r="C238" s="1523"/>
      <c r="D238" s="1523"/>
      <c r="E238" s="1523"/>
      <c r="F238" s="1524"/>
      <c r="G238" s="152">
        <f>G240+G241+G242+G239</f>
        <v>3935.7</v>
      </c>
      <c r="H238" s="152">
        <f t="shared" ref="H238:I238" si="4">H240+H241+H242+H239</f>
        <v>8738.7999999999993</v>
      </c>
      <c r="I238" s="152">
        <f t="shared" si="4"/>
        <v>14414.7</v>
      </c>
      <c r="J238" s="10"/>
      <c r="K238" s="10"/>
      <c r="L238" s="10"/>
      <c r="M238" s="10"/>
    </row>
    <row r="239" spans="1:13" ht="14.25" customHeight="1" x14ac:dyDescent="0.2">
      <c r="A239" s="1525" t="s">
        <v>19</v>
      </c>
      <c r="B239" s="1526"/>
      <c r="C239" s="1526"/>
      <c r="D239" s="1526"/>
      <c r="E239" s="1526"/>
      <c r="F239" s="1527"/>
      <c r="G239" s="37">
        <f>SUMIF(F16:F221,"ES",G16:G221)</f>
        <v>1288.5999999999999</v>
      </c>
      <c r="H239" s="37">
        <f>SUMIF(F16:F221,"ES",H16:H221)</f>
        <v>2274.6</v>
      </c>
      <c r="I239" s="37">
        <f>SUMIF(F16:F221,"ES",I16:I221)</f>
        <v>1339.6</v>
      </c>
      <c r="J239" s="10"/>
      <c r="K239" s="10"/>
      <c r="L239" s="10"/>
      <c r="M239" s="10"/>
    </row>
    <row r="240" spans="1:13" ht="14.25" customHeight="1" x14ac:dyDescent="0.2">
      <c r="A240" s="1528" t="s">
        <v>20</v>
      </c>
      <c r="B240" s="1529"/>
      <c r="C240" s="1529"/>
      <c r="D240" s="1529"/>
      <c r="E240" s="1529"/>
      <c r="F240" s="1530"/>
      <c r="G240" s="37">
        <f>SUMIF(F16:F221,"KVJUD",G16:G221)</f>
        <v>1542</v>
      </c>
      <c r="H240" s="37">
        <f>SUMIF(F16:F221,"KVJUD",H16:H221)</f>
        <v>0</v>
      </c>
      <c r="I240" s="37">
        <f>SUMIF(F16:F221,"KVJUD",I16:I221)</f>
        <v>0</v>
      </c>
      <c r="J240" s="34"/>
      <c r="K240" s="34"/>
      <c r="L240" s="34"/>
      <c r="M240" s="34"/>
    </row>
    <row r="241" spans="1:15" ht="14.25" customHeight="1" x14ac:dyDescent="0.2">
      <c r="A241" s="1506" t="s">
        <v>21</v>
      </c>
      <c r="B241" s="1507"/>
      <c r="C241" s="1507"/>
      <c r="D241" s="1507"/>
      <c r="E241" s="1507"/>
      <c r="F241" s="1508"/>
      <c r="G241" s="37">
        <f>SUMIF(F16:F221,"LRVB",G16:G221)</f>
        <v>1000</v>
      </c>
      <c r="H241" s="37">
        <f>SUMIF(F16:F221,"LRVB",H16:H221)</f>
        <v>6350</v>
      </c>
      <c r="I241" s="37">
        <f>SUMIF(F16:F221,"LRVB",I16:I221)</f>
        <v>13015.1</v>
      </c>
      <c r="J241" s="34"/>
      <c r="K241" s="34"/>
      <c r="L241" s="34"/>
      <c r="M241" s="34"/>
    </row>
    <row r="242" spans="1:15" ht="14.25" customHeight="1" x14ac:dyDescent="0.2">
      <c r="A242" s="1509" t="s">
        <v>22</v>
      </c>
      <c r="B242" s="1510"/>
      <c r="C242" s="1510"/>
      <c r="D242" s="1510"/>
      <c r="E242" s="1510"/>
      <c r="F242" s="1511"/>
      <c r="G242" s="37">
        <f>SUMIF(F16:F221,"Kt",G16:G221)</f>
        <v>105.1</v>
      </c>
      <c r="H242" s="37">
        <f>SUMIF(F16:F221,"Kt",H16:H221)</f>
        <v>114.2</v>
      </c>
      <c r="I242" s="37">
        <f>SUMIF(F16:F221,"Kt",I16:I221)</f>
        <v>60</v>
      </c>
      <c r="J242" s="34"/>
      <c r="K242" s="34"/>
      <c r="L242" s="34"/>
      <c r="M242" s="34"/>
    </row>
    <row r="243" spans="1:15" ht="14.25" customHeight="1" thickBot="1" x14ac:dyDescent="0.25">
      <c r="A243" s="1512" t="s">
        <v>15</v>
      </c>
      <c r="B243" s="1513"/>
      <c r="C243" s="1513"/>
      <c r="D243" s="1513"/>
      <c r="E243" s="1513"/>
      <c r="F243" s="1514"/>
      <c r="G243" s="153">
        <f>SUM(G226,G238)</f>
        <v>29825.200000000001</v>
      </c>
      <c r="H243" s="153">
        <f>SUM(H226,H238)</f>
        <v>36810</v>
      </c>
      <c r="I243" s="153">
        <f>SUM(I226,I238)</f>
        <v>33725.1</v>
      </c>
      <c r="J243" s="34"/>
      <c r="K243" s="34"/>
      <c r="L243" s="34"/>
      <c r="M243" s="34"/>
    </row>
    <row r="245" spans="1:15" s="2" customFormat="1" x14ac:dyDescent="0.2">
      <c r="E245" s="1244"/>
      <c r="F245" s="1245"/>
      <c r="G245" s="1246"/>
      <c r="H245" s="1246"/>
      <c r="I245" s="1246"/>
      <c r="N245" s="1"/>
      <c r="O245" s="1"/>
    </row>
    <row r="246" spans="1:15" s="2" customFormat="1" ht="9" customHeight="1" x14ac:dyDescent="0.2">
      <c r="E246" s="960"/>
      <c r="F246" s="3"/>
      <c r="G246" s="10"/>
      <c r="H246" s="10"/>
      <c r="I246" s="10"/>
      <c r="N246" s="1"/>
      <c r="O246" s="1"/>
    </row>
    <row r="247" spans="1:15" s="2" customFormat="1" hidden="1" x14ac:dyDescent="0.2">
      <c r="E247" s="960"/>
      <c r="F247" s="3"/>
      <c r="J247" s="10"/>
      <c r="N247" s="1"/>
      <c r="O247" s="1"/>
    </row>
    <row r="248" spans="1:15" s="2" customFormat="1" hidden="1" x14ac:dyDescent="0.2">
      <c r="E248" s="960"/>
      <c r="F248" s="3"/>
      <c r="I248" s="10"/>
      <c r="N248" s="1"/>
      <c r="O248" s="1"/>
    </row>
    <row r="249" spans="1:15" hidden="1" x14ac:dyDescent="0.2"/>
    <row r="250" spans="1:15" s="2" customFormat="1" hidden="1" x14ac:dyDescent="0.2">
      <c r="E250" s="960"/>
      <c r="F250" s="3"/>
      <c r="J250" s="10"/>
      <c r="N250" s="1"/>
      <c r="O250" s="1"/>
    </row>
    <row r="253" spans="1:15" s="2" customFormat="1" x14ac:dyDescent="0.2">
      <c r="E253" s="960"/>
      <c r="F253" s="3"/>
      <c r="J253" s="10"/>
      <c r="N253" s="1"/>
      <c r="O253" s="1"/>
    </row>
    <row r="256" spans="1:15" s="2" customFormat="1" x14ac:dyDescent="0.2">
      <c r="E256" s="960"/>
      <c r="F256" s="3"/>
      <c r="J256" s="10"/>
      <c r="N256" s="1"/>
      <c r="O256" s="1"/>
    </row>
  </sheetData>
  <mergeCells count="220">
    <mergeCell ref="A241:F241"/>
    <mergeCell ref="A242:F242"/>
    <mergeCell ref="A243:F243"/>
    <mergeCell ref="J1:M1"/>
    <mergeCell ref="D33:D35"/>
    <mergeCell ref="J47:J48"/>
    <mergeCell ref="J107:J108"/>
    <mergeCell ref="J52:J53"/>
    <mergeCell ref="A236:F236"/>
    <mergeCell ref="A237:F237"/>
    <mergeCell ref="A238:F238"/>
    <mergeCell ref="A239:F239"/>
    <mergeCell ref="A240:F240"/>
    <mergeCell ref="A229:F229"/>
    <mergeCell ref="A230:F230"/>
    <mergeCell ref="A231:F231"/>
    <mergeCell ref="A232:F232"/>
    <mergeCell ref="A234:F234"/>
    <mergeCell ref="A235:F235"/>
    <mergeCell ref="A222:H222"/>
    <mergeCell ref="A224:F224"/>
    <mergeCell ref="A225:F225"/>
    <mergeCell ref="A226:F226"/>
    <mergeCell ref="A227:F227"/>
    <mergeCell ref="A228:F228"/>
    <mergeCell ref="C219:F219"/>
    <mergeCell ref="J219:M219"/>
    <mergeCell ref="B220:F220"/>
    <mergeCell ref="J220:M220"/>
    <mergeCell ref="B221:F221"/>
    <mergeCell ref="J221:M221"/>
    <mergeCell ref="A216:A217"/>
    <mergeCell ref="B216:B217"/>
    <mergeCell ref="C216:C217"/>
    <mergeCell ref="D216:D217"/>
    <mergeCell ref="E216:E217"/>
    <mergeCell ref="A213:A215"/>
    <mergeCell ref="B213:B215"/>
    <mergeCell ref="C213:C215"/>
    <mergeCell ref="D213:D215"/>
    <mergeCell ref="E213:E215"/>
    <mergeCell ref="A210:A212"/>
    <mergeCell ref="B210:B212"/>
    <mergeCell ref="C210:C212"/>
    <mergeCell ref="D210:D212"/>
    <mergeCell ref="E210:E212"/>
    <mergeCell ref="J202:J203"/>
    <mergeCell ref="D205:D206"/>
    <mergeCell ref="A207:A209"/>
    <mergeCell ref="B207:B209"/>
    <mergeCell ref="C207:C209"/>
    <mergeCell ref="D207:D209"/>
    <mergeCell ref="J207:J208"/>
    <mergeCell ref="D196:D201"/>
    <mergeCell ref="E196:E201"/>
    <mergeCell ref="A202:A204"/>
    <mergeCell ref="B202:B204"/>
    <mergeCell ref="C202:C204"/>
    <mergeCell ref="D202:D204"/>
    <mergeCell ref="A193:A194"/>
    <mergeCell ref="B193:B194"/>
    <mergeCell ref="C193:C194"/>
    <mergeCell ref="D193:D194"/>
    <mergeCell ref="E193:E194"/>
    <mergeCell ref="D185:D186"/>
    <mergeCell ref="J185:J186"/>
    <mergeCell ref="D187:D188"/>
    <mergeCell ref="D191:D192"/>
    <mergeCell ref="D183:D184"/>
    <mergeCell ref="D189:D190"/>
    <mergeCell ref="J189:J190"/>
    <mergeCell ref="C167:F167"/>
    <mergeCell ref="J167:M167"/>
    <mergeCell ref="C168:M168"/>
    <mergeCell ref="D173:D180"/>
    <mergeCell ref="E173:E177"/>
    <mergeCell ref="N164:O164"/>
    <mergeCell ref="D159:D161"/>
    <mergeCell ref="J160:J161"/>
    <mergeCell ref="D162:D163"/>
    <mergeCell ref="D164:D165"/>
    <mergeCell ref="D169:D170"/>
    <mergeCell ref="J152:J153"/>
    <mergeCell ref="D154:D155"/>
    <mergeCell ref="I154:I155"/>
    <mergeCell ref="J154:J155"/>
    <mergeCell ref="D156:D157"/>
    <mergeCell ref="E156:E157"/>
    <mergeCell ref="A152:A153"/>
    <mergeCell ref="B152:B153"/>
    <mergeCell ref="C152:C153"/>
    <mergeCell ref="D152:D153"/>
    <mergeCell ref="E152:E153"/>
    <mergeCell ref="A146:A148"/>
    <mergeCell ref="B146:B148"/>
    <mergeCell ref="C146:C148"/>
    <mergeCell ref="D146:D148"/>
    <mergeCell ref="E146:E148"/>
    <mergeCell ref="J144:J145"/>
    <mergeCell ref="K144:K145"/>
    <mergeCell ref="L144:L145"/>
    <mergeCell ref="M144:M145"/>
    <mergeCell ref="A144:A145"/>
    <mergeCell ref="B144:B145"/>
    <mergeCell ref="C144:C145"/>
    <mergeCell ref="D144:D145"/>
    <mergeCell ref="E144:E145"/>
    <mergeCell ref="D137:D139"/>
    <mergeCell ref="J137:J139"/>
    <mergeCell ref="D142:D143"/>
    <mergeCell ref="J142:J143"/>
    <mergeCell ref="D121:D122"/>
    <mergeCell ref="C124:F124"/>
    <mergeCell ref="C125:M125"/>
    <mergeCell ref="D131:D132"/>
    <mergeCell ref="D113:D114"/>
    <mergeCell ref="E116:E118"/>
    <mergeCell ref="J116:J117"/>
    <mergeCell ref="D119:D120"/>
    <mergeCell ref="D126:D129"/>
    <mergeCell ref="E126:E128"/>
    <mergeCell ref="D133:D134"/>
    <mergeCell ref="D107:D108"/>
    <mergeCell ref="D109:D110"/>
    <mergeCell ref="D111:D112"/>
    <mergeCell ref="A104:A106"/>
    <mergeCell ref="B104:B106"/>
    <mergeCell ref="C104:C106"/>
    <mergeCell ref="D104:D106"/>
    <mergeCell ref="E104:E106"/>
    <mergeCell ref="D98:D101"/>
    <mergeCell ref="A102:A103"/>
    <mergeCell ref="B102:B103"/>
    <mergeCell ref="C102:C103"/>
    <mergeCell ref="D102:D103"/>
    <mergeCell ref="J102:J103"/>
    <mergeCell ref="C87:C94"/>
    <mergeCell ref="C95:C97"/>
    <mergeCell ref="D83:D85"/>
    <mergeCell ref="J75:J76"/>
    <mergeCell ref="D77:D78"/>
    <mergeCell ref="E77:E78"/>
    <mergeCell ref="D71:D72"/>
    <mergeCell ref="E71:E72"/>
    <mergeCell ref="J71:J72"/>
    <mergeCell ref="J83:J85"/>
    <mergeCell ref="D81:D82"/>
    <mergeCell ref="E81:E82"/>
    <mergeCell ref="J81:J82"/>
    <mergeCell ref="D79:D80"/>
    <mergeCell ref="E79:E80"/>
    <mergeCell ref="N71:N72"/>
    <mergeCell ref="A73:A76"/>
    <mergeCell ref="B73:B76"/>
    <mergeCell ref="C73:C76"/>
    <mergeCell ref="D73:D76"/>
    <mergeCell ref="E73:E76"/>
    <mergeCell ref="A69:A70"/>
    <mergeCell ref="B69:B70"/>
    <mergeCell ref="D69:D70"/>
    <mergeCell ref="E69:E70"/>
    <mergeCell ref="D61:D62"/>
    <mergeCell ref="A40:A41"/>
    <mergeCell ref="B40:B41"/>
    <mergeCell ref="C40:C41"/>
    <mergeCell ref="D40:D41"/>
    <mergeCell ref="J63:J64"/>
    <mergeCell ref="D67:D68"/>
    <mergeCell ref="E67:E68"/>
    <mergeCell ref="J69:J70"/>
    <mergeCell ref="D55:D56"/>
    <mergeCell ref="E55:E56"/>
    <mergeCell ref="J55:J56"/>
    <mergeCell ref="D58:D60"/>
    <mergeCell ref="D52:D54"/>
    <mergeCell ref="A33:A37"/>
    <mergeCell ref="B33:B37"/>
    <mergeCell ref="C33:C37"/>
    <mergeCell ref="J49:J50"/>
    <mergeCell ref="E50:E51"/>
    <mergeCell ref="H9:H11"/>
    <mergeCell ref="C42:C46"/>
    <mergeCell ref="D42:D44"/>
    <mergeCell ref="E43:E44"/>
    <mergeCell ref="D45:D46"/>
    <mergeCell ref="E45:E46"/>
    <mergeCell ref="J33:J34"/>
    <mergeCell ref="D38:D39"/>
    <mergeCell ref="J38:J39"/>
    <mergeCell ref="A47:A48"/>
    <mergeCell ref="B47:B48"/>
    <mergeCell ref="C47:C51"/>
    <mergeCell ref="D47:D48"/>
    <mergeCell ref="A49:A51"/>
    <mergeCell ref="B49:B51"/>
    <mergeCell ref="D49:D51"/>
    <mergeCell ref="A233:F233"/>
    <mergeCell ref="A5:M5"/>
    <mergeCell ref="A6:M6"/>
    <mergeCell ref="A7:M7"/>
    <mergeCell ref="J8:M8"/>
    <mergeCell ref="A9:A11"/>
    <mergeCell ref="B9:B11"/>
    <mergeCell ref="C9:C11"/>
    <mergeCell ref="D9:D11"/>
    <mergeCell ref="B14:M14"/>
    <mergeCell ref="C15:M15"/>
    <mergeCell ref="D16:D19"/>
    <mergeCell ref="D28:D30"/>
    <mergeCell ref="E28:E30"/>
    <mergeCell ref="J29:J30"/>
    <mergeCell ref="I9:I11"/>
    <mergeCell ref="J9:M9"/>
    <mergeCell ref="J10:J11"/>
    <mergeCell ref="K10:M10"/>
    <mergeCell ref="A12:M12"/>
    <mergeCell ref="A13:M13"/>
    <mergeCell ref="E9:E11"/>
    <mergeCell ref="F9:F11"/>
    <mergeCell ref="G9:G11"/>
  </mergeCells>
  <printOptions horizontalCentered="1"/>
  <pageMargins left="0.78740157480314965" right="0.39370078740157483" top="0.39370078740157483" bottom="0.39370078740157483" header="0" footer="0"/>
  <pageSetup paperSize="9" scale="64" orientation="portrait" r:id="rId1"/>
  <headerFooter alignWithMargins="0"/>
  <rowBreaks count="2" manualBreakCount="2">
    <brk id="68" max="12" man="1"/>
    <brk id="125"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20"/>
  <sheetViews>
    <sheetView topLeftCell="A22" zoomScaleNormal="100" zoomScaleSheetLayoutView="100" workbookViewId="0">
      <selection activeCell="Y25" sqref="Y25"/>
    </sheetView>
  </sheetViews>
  <sheetFormatPr defaultRowHeight="12.75" x14ac:dyDescent="0.2"/>
  <cols>
    <col min="1" max="3" width="2.7109375" style="2" customWidth="1"/>
    <col min="4" max="4" width="3.140625" style="780" customWidth="1"/>
    <col min="5" max="5" width="39.5703125" style="2" customWidth="1"/>
    <col min="6" max="6" width="4.42578125" style="750" customWidth="1"/>
    <col min="7" max="7" width="10.7109375" style="8" customWidth="1"/>
    <col min="8" max="8" width="8.85546875" style="3" customWidth="1"/>
    <col min="9" max="9" width="8.85546875" style="2" customWidth="1"/>
    <col min="10" max="12" width="9" style="2" customWidth="1"/>
    <col min="13" max="13" width="39.85546875" style="2" customWidth="1"/>
    <col min="14" max="14" width="5.7109375" style="2" customWidth="1"/>
    <col min="15" max="16" width="4.7109375" style="2" customWidth="1"/>
    <col min="17" max="17" width="5.28515625" style="2" customWidth="1"/>
    <col min="18" max="18" width="6.28515625" style="1" customWidth="1"/>
    <col min="19" max="16384" width="9.140625" style="1"/>
  </cols>
  <sheetData>
    <row r="1" spans="1:17" s="95" customFormat="1" ht="15.75" customHeight="1" x14ac:dyDescent="0.25">
      <c r="D1" s="776"/>
      <c r="F1" s="770"/>
      <c r="M1" s="1701" t="s">
        <v>91</v>
      </c>
      <c r="N1" s="1702"/>
      <c r="O1" s="1702"/>
      <c r="P1" s="1702"/>
      <c r="Q1" s="1702"/>
    </row>
    <row r="2" spans="1:17" s="24" customFormat="1" ht="15" x14ac:dyDescent="0.2">
      <c r="A2" s="1305" t="s">
        <v>245</v>
      </c>
      <c r="B2" s="1305"/>
      <c r="C2" s="1305"/>
      <c r="D2" s="1305"/>
      <c r="E2" s="1305"/>
      <c r="F2" s="1305"/>
      <c r="G2" s="1305"/>
      <c r="H2" s="1305"/>
      <c r="I2" s="1305"/>
      <c r="J2" s="1305"/>
      <c r="K2" s="1305"/>
      <c r="L2" s="1305"/>
      <c r="M2" s="1305"/>
      <c r="N2" s="1305"/>
      <c r="O2" s="1305"/>
      <c r="P2" s="1305"/>
      <c r="Q2" s="1305"/>
    </row>
    <row r="3" spans="1:17" ht="15.75" customHeight="1" x14ac:dyDescent="0.2">
      <c r="A3" s="1306" t="s">
        <v>27</v>
      </c>
      <c r="B3" s="1306"/>
      <c r="C3" s="1306"/>
      <c r="D3" s="1306"/>
      <c r="E3" s="1306"/>
      <c r="F3" s="1306"/>
      <c r="G3" s="1306"/>
      <c r="H3" s="1306"/>
      <c r="I3" s="1306"/>
      <c r="J3" s="1306"/>
      <c r="K3" s="1306"/>
      <c r="L3" s="1306"/>
      <c r="M3" s="1306"/>
      <c r="N3" s="1306"/>
      <c r="O3" s="1306"/>
      <c r="P3" s="1306"/>
      <c r="Q3" s="1306"/>
    </row>
    <row r="4" spans="1:17" ht="15" customHeight="1" x14ac:dyDescent="0.2">
      <c r="A4" s="1307" t="s">
        <v>16</v>
      </c>
      <c r="B4" s="1307"/>
      <c r="C4" s="1307"/>
      <c r="D4" s="1307"/>
      <c r="E4" s="1307"/>
      <c r="F4" s="1307"/>
      <c r="G4" s="1307"/>
      <c r="H4" s="1307"/>
      <c r="I4" s="1307"/>
      <c r="J4" s="1307"/>
      <c r="K4" s="1307"/>
      <c r="L4" s="1307"/>
      <c r="M4" s="1307"/>
      <c r="N4" s="1307"/>
      <c r="O4" s="1307"/>
      <c r="P4" s="1307"/>
      <c r="Q4" s="1307"/>
    </row>
    <row r="5" spans="1:17" ht="15" customHeight="1" thickBot="1" x14ac:dyDescent="0.25">
      <c r="A5" s="11"/>
      <c r="B5" s="11"/>
      <c r="C5" s="11"/>
      <c r="D5" s="777"/>
      <c r="E5" s="11"/>
      <c r="F5" s="771"/>
      <c r="G5" s="12"/>
      <c r="H5" s="137"/>
      <c r="I5" s="11"/>
      <c r="J5" s="11"/>
      <c r="K5" s="11"/>
      <c r="L5" s="11"/>
      <c r="M5" s="1308" t="s">
        <v>86</v>
      </c>
      <c r="N5" s="1308"/>
      <c r="O5" s="1308"/>
      <c r="P5" s="1308"/>
      <c r="Q5" s="1309"/>
    </row>
    <row r="6" spans="1:17" s="24" customFormat="1" ht="30" customHeight="1" x14ac:dyDescent="0.2">
      <c r="A6" s="1310" t="s">
        <v>17</v>
      </c>
      <c r="B6" s="1313" t="s">
        <v>0</v>
      </c>
      <c r="C6" s="1313" t="s">
        <v>1</v>
      </c>
      <c r="D6" s="1703" t="s">
        <v>25</v>
      </c>
      <c r="E6" s="1316" t="s">
        <v>11</v>
      </c>
      <c r="F6" s="1349" t="s">
        <v>2</v>
      </c>
      <c r="G6" s="1706" t="s">
        <v>56</v>
      </c>
      <c r="H6" s="1352" t="s">
        <v>3</v>
      </c>
      <c r="I6" s="1333" t="s">
        <v>303</v>
      </c>
      <c r="J6" s="1333" t="s">
        <v>243</v>
      </c>
      <c r="K6" s="1333" t="s">
        <v>168</v>
      </c>
      <c r="L6" s="1333" t="s">
        <v>244</v>
      </c>
      <c r="M6" s="1336" t="s">
        <v>10</v>
      </c>
      <c r="N6" s="1337"/>
      <c r="O6" s="1337"/>
      <c r="P6" s="1337"/>
      <c r="Q6" s="1338"/>
    </row>
    <row r="7" spans="1:17" s="24" customFormat="1" ht="18.75" customHeight="1" x14ac:dyDescent="0.2">
      <c r="A7" s="1311"/>
      <c r="B7" s="1314"/>
      <c r="C7" s="1314"/>
      <c r="D7" s="1704"/>
      <c r="E7" s="1317"/>
      <c r="F7" s="1350"/>
      <c r="G7" s="1707"/>
      <c r="H7" s="1353"/>
      <c r="I7" s="1334"/>
      <c r="J7" s="1334"/>
      <c r="K7" s="1334"/>
      <c r="L7" s="1334"/>
      <c r="M7" s="1339" t="s">
        <v>11</v>
      </c>
      <c r="N7" s="1341" t="s">
        <v>75</v>
      </c>
      <c r="O7" s="1341"/>
      <c r="P7" s="1341"/>
      <c r="Q7" s="1342"/>
    </row>
    <row r="8" spans="1:17" s="24" customFormat="1" ht="66" customHeight="1" thickBot="1" x14ac:dyDescent="0.25">
      <c r="A8" s="1312"/>
      <c r="B8" s="1315"/>
      <c r="C8" s="1315"/>
      <c r="D8" s="1705"/>
      <c r="E8" s="1318"/>
      <c r="F8" s="1351"/>
      <c r="G8" s="1708"/>
      <c r="H8" s="1354"/>
      <c r="I8" s="1335"/>
      <c r="J8" s="1335"/>
      <c r="K8" s="1335"/>
      <c r="L8" s="1335"/>
      <c r="M8" s="1340"/>
      <c r="N8" s="96" t="s">
        <v>92</v>
      </c>
      <c r="O8" s="96" t="s">
        <v>125</v>
      </c>
      <c r="P8" s="96" t="s">
        <v>169</v>
      </c>
      <c r="Q8" s="97" t="s">
        <v>242</v>
      </c>
    </row>
    <row r="9" spans="1:17" s="7" customFormat="1" ht="14.25" customHeight="1" x14ac:dyDescent="0.2">
      <c r="A9" s="1343" t="s">
        <v>55</v>
      </c>
      <c r="B9" s="1344"/>
      <c r="C9" s="1344"/>
      <c r="D9" s="1344"/>
      <c r="E9" s="1344"/>
      <c r="F9" s="1344"/>
      <c r="G9" s="1344"/>
      <c r="H9" s="1344"/>
      <c r="I9" s="1344"/>
      <c r="J9" s="1344"/>
      <c r="K9" s="1344"/>
      <c r="L9" s="1344"/>
      <c r="M9" s="1344"/>
      <c r="N9" s="1344"/>
      <c r="O9" s="1344"/>
      <c r="P9" s="1344"/>
      <c r="Q9" s="1345"/>
    </row>
    <row r="10" spans="1:17" s="7" customFormat="1" ht="14.25" customHeight="1" x14ac:dyDescent="0.2">
      <c r="A10" s="1346" t="s">
        <v>24</v>
      </c>
      <c r="B10" s="1347"/>
      <c r="C10" s="1347"/>
      <c r="D10" s="1347"/>
      <c r="E10" s="1347"/>
      <c r="F10" s="1347"/>
      <c r="G10" s="1347"/>
      <c r="H10" s="1347"/>
      <c r="I10" s="1347"/>
      <c r="J10" s="1347"/>
      <c r="K10" s="1347"/>
      <c r="L10" s="1347"/>
      <c r="M10" s="1347"/>
      <c r="N10" s="1347"/>
      <c r="O10" s="1347"/>
      <c r="P10" s="1347"/>
      <c r="Q10" s="1348"/>
    </row>
    <row r="11" spans="1:17" ht="16.5" customHeight="1" x14ac:dyDescent="0.2">
      <c r="A11" s="13" t="s">
        <v>4</v>
      </c>
      <c r="B11" s="1319" t="s">
        <v>28</v>
      </c>
      <c r="C11" s="1320"/>
      <c r="D11" s="1320"/>
      <c r="E11" s="1320"/>
      <c r="F11" s="1320"/>
      <c r="G11" s="1320"/>
      <c r="H11" s="1320"/>
      <c r="I11" s="1320"/>
      <c r="J11" s="1320"/>
      <c r="K11" s="1320"/>
      <c r="L11" s="1320"/>
      <c r="M11" s="1320"/>
      <c r="N11" s="1320"/>
      <c r="O11" s="1320"/>
      <c r="P11" s="1320"/>
      <c r="Q11" s="1321"/>
    </row>
    <row r="12" spans="1:17" ht="15" customHeight="1" x14ac:dyDescent="0.2">
      <c r="A12" s="136" t="s">
        <v>4</v>
      </c>
      <c r="B12" s="9" t="s">
        <v>4</v>
      </c>
      <c r="C12" s="1322" t="s">
        <v>322</v>
      </c>
      <c r="D12" s="1323"/>
      <c r="E12" s="1323"/>
      <c r="F12" s="1323"/>
      <c r="G12" s="1323"/>
      <c r="H12" s="1323"/>
      <c r="I12" s="1323"/>
      <c r="J12" s="1323"/>
      <c r="K12" s="1323"/>
      <c r="L12" s="1323"/>
      <c r="M12" s="1323"/>
      <c r="N12" s="1323"/>
      <c r="O12" s="1323"/>
      <c r="P12" s="1323"/>
      <c r="Q12" s="1324"/>
    </row>
    <row r="13" spans="1:17" ht="13.5" customHeight="1" x14ac:dyDescent="0.2">
      <c r="A13" s="563" t="s">
        <v>4</v>
      </c>
      <c r="B13" s="567" t="s">
        <v>4</v>
      </c>
      <c r="C13" s="578" t="s">
        <v>4</v>
      </c>
      <c r="D13" s="755"/>
      <c r="E13" s="1613" t="s">
        <v>266</v>
      </c>
      <c r="F13" s="714" t="s">
        <v>44</v>
      </c>
      <c r="G13" s="614"/>
      <c r="H13" s="614" t="s">
        <v>267</v>
      </c>
      <c r="I13" s="238">
        <f>SUMIF(H25:H170,"SB",I25:I170)</f>
        <v>4563.3</v>
      </c>
      <c r="J13" s="238">
        <f>SUMIF(H25:H170,"SB",J25:J170)</f>
        <v>3500.3</v>
      </c>
      <c r="K13" s="238">
        <f>SUMIF(H25:H170,"SB",K25:K170)</f>
        <v>9281.9</v>
      </c>
      <c r="L13" s="238">
        <f>SUMIF(H25:H170,"SB",L25:L170)</f>
        <v>4329.7</v>
      </c>
      <c r="M13" s="178"/>
      <c r="N13" s="180"/>
      <c r="O13" s="454"/>
      <c r="P13" s="455"/>
      <c r="Q13" s="618"/>
    </row>
    <row r="14" spans="1:17" ht="13.5" customHeight="1" x14ac:dyDescent="0.2">
      <c r="A14" s="563"/>
      <c r="B14" s="564"/>
      <c r="C14" s="578"/>
      <c r="D14" s="747"/>
      <c r="E14" s="1614"/>
      <c r="F14" s="714" t="s">
        <v>291</v>
      </c>
      <c r="G14" s="615"/>
      <c r="H14" s="622" t="s">
        <v>268</v>
      </c>
      <c r="I14" s="39">
        <f>SUMIF(H25:H161,"SB(L)",I25:I161)</f>
        <v>679.9</v>
      </c>
      <c r="J14" s="39">
        <f>SUMIF(H25:H161,"SB(L)",J25:J161)</f>
        <v>1822.5</v>
      </c>
      <c r="K14" s="39">
        <f>SUMIF(H34:H170,"SB(L)",K34:K170)</f>
        <v>0</v>
      </c>
      <c r="L14" s="39">
        <f>SUMIF(H34:H170,"SB(L)",L34:L170)</f>
        <v>0</v>
      </c>
      <c r="M14" s="178"/>
      <c r="N14" s="180"/>
      <c r="O14" s="179"/>
      <c r="P14" s="180"/>
      <c r="Q14" s="181"/>
    </row>
    <row r="15" spans="1:17" ht="13.5" customHeight="1" x14ac:dyDescent="0.2">
      <c r="A15" s="563"/>
      <c r="B15" s="564"/>
      <c r="C15" s="578"/>
      <c r="D15" s="747"/>
      <c r="E15" s="1614"/>
      <c r="F15" s="715"/>
      <c r="G15" s="615"/>
      <c r="H15" s="621" t="s">
        <v>269</v>
      </c>
      <c r="I15" s="41">
        <f>SUMIF(H34:H170,"SB(ŽPL)",I34:I170)</f>
        <v>480.6</v>
      </c>
      <c r="J15" s="41">
        <f>SUMIF(H34:H170,"SB(ŽPL)",J34:J170)</f>
        <v>744.1</v>
      </c>
      <c r="K15" s="41">
        <f>SUMIF(H34:H170,"SB(ŽPL)",K34:K170)</f>
        <v>0</v>
      </c>
      <c r="L15" s="41">
        <f>SUMIF(H34:H170,"SB(ŽPL)",L34:L170)</f>
        <v>0</v>
      </c>
      <c r="M15" s="178"/>
      <c r="N15" s="180"/>
      <c r="O15" s="179"/>
      <c r="P15" s="180"/>
      <c r="Q15" s="181"/>
    </row>
    <row r="16" spans="1:17" ht="13.5" customHeight="1" x14ac:dyDescent="0.2">
      <c r="A16" s="563"/>
      <c r="B16" s="564"/>
      <c r="C16" s="578"/>
      <c r="D16" s="747"/>
      <c r="E16" s="1614"/>
      <c r="F16" s="715"/>
      <c r="G16" s="615"/>
      <c r="H16" s="620" t="s">
        <v>270</v>
      </c>
      <c r="I16" s="39">
        <f>SUMIF(H25:H170,"SB(KPP)",I25:I170)</f>
        <v>4665.7</v>
      </c>
      <c r="J16" s="39">
        <f>SUMIF(H25:H170,"SB(KPP)",J25:J170)</f>
        <v>5116.5</v>
      </c>
      <c r="K16" s="39">
        <f>SUMIF(H25:H170,"SB(KPP)",K25:K170)</f>
        <v>5083.3</v>
      </c>
      <c r="L16" s="39">
        <f>SUMIF(H25:H170,"SB(KPP)",L25:L170)</f>
        <v>5567.9</v>
      </c>
      <c r="M16" s="178"/>
      <c r="N16" s="180"/>
      <c r="O16" s="179"/>
      <c r="P16" s="180"/>
      <c r="Q16" s="181"/>
    </row>
    <row r="17" spans="1:17" ht="13.5" customHeight="1" x14ac:dyDescent="0.2">
      <c r="A17" s="563"/>
      <c r="B17" s="564"/>
      <c r="C17" s="578"/>
      <c r="D17" s="747"/>
      <c r="E17" s="616"/>
      <c r="F17" s="619"/>
      <c r="G17" s="26"/>
      <c r="H17" s="355" t="s">
        <v>276</v>
      </c>
      <c r="I17" s="39">
        <f>SUMIF(H25:H164,"SB(VR)",I25:I164)</f>
        <v>222.6</v>
      </c>
      <c r="J17" s="39">
        <f>SUMIF(H25:H164,"SB(VR)",J25:J164)</f>
        <v>0</v>
      </c>
      <c r="K17" s="39">
        <f>SUMIF(H25:H164,"SB(VR)",K25:K164)</f>
        <v>0</v>
      </c>
      <c r="L17" s="39">
        <f>SUMIF(H25:H164,"SB(VR)",L25:L164)</f>
        <v>0</v>
      </c>
      <c r="M17" s="178"/>
      <c r="N17" s="180"/>
      <c r="O17" s="179"/>
      <c r="P17" s="180"/>
      <c r="Q17" s="181"/>
    </row>
    <row r="18" spans="1:17" ht="13.5" customHeight="1" x14ac:dyDescent="0.2">
      <c r="A18" s="563"/>
      <c r="B18" s="564"/>
      <c r="C18" s="578"/>
      <c r="D18" s="747"/>
      <c r="E18" s="616"/>
      <c r="F18" s="619"/>
      <c r="G18" s="26"/>
      <c r="H18" s="26" t="s">
        <v>277</v>
      </c>
      <c r="I18" s="43">
        <f>SUMIF(H34:H170,"SB(VRL)",I34:I170)</f>
        <v>292.60000000000002</v>
      </c>
      <c r="J18" s="43">
        <f>SUMIF(H25:H161,"SB(VRL)",J25:J161)</f>
        <v>84.3</v>
      </c>
      <c r="K18" s="43">
        <f>SUMIF(H25:H161,"SB(VRL)",K25:K161)</f>
        <v>0</v>
      </c>
      <c r="L18" s="43">
        <f>SUMIF(H25:H161,"SB(VRL)",L25:L161)</f>
        <v>0</v>
      </c>
      <c r="M18" s="178"/>
      <c r="N18" s="180"/>
      <c r="O18" s="179"/>
      <c r="P18" s="180"/>
      <c r="Q18" s="181"/>
    </row>
    <row r="19" spans="1:17" ht="13.5" customHeight="1" x14ac:dyDescent="0.2">
      <c r="A19" s="563"/>
      <c r="B19" s="564"/>
      <c r="C19" s="578"/>
      <c r="D19" s="747"/>
      <c r="E19" s="616"/>
      <c r="F19" s="619"/>
      <c r="G19" s="615"/>
      <c r="H19" s="620" t="s">
        <v>271</v>
      </c>
      <c r="I19" s="39">
        <f>SUMIF(H34:H168,"SB(ES)",I34:I168)</f>
        <v>250.2</v>
      </c>
      <c r="J19" s="39">
        <f>SUMIF(H25:H159,"SB(ES)",J25:J159)</f>
        <v>1003.7</v>
      </c>
      <c r="K19" s="39">
        <f>SUMIF(H25:H159,"SB(ES)",K25:K159)</f>
        <v>430.2</v>
      </c>
      <c r="L19" s="39">
        <f>SUMIF(H34:H168,"SB(ES)",L34:L168)</f>
        <v>0</v>
      </c>
      <c r="M19" s="178"/>
      <c r="N19" s="180"/>
      <c r="O19" s="179"/>
      <c r="P19" s="180"/>
      <c r="Q19" s="181"/>
    </row>
    <row r="20" spans="1:17" ht="13.5" customHeight="1" x14ac:dyDescent="0.2">
      <c r="A20" s="1180"/>
      <c r="B20" s="1182"/>
      <c r="C20" s="1181"/>
      <c r="D20" s="1179"/>
      <c r="E20" s="616"/>
      <c r="F20" s="619"/>
      <c r="G20" s="615"/>
      <c r="H20" s="620" t="s">
        <v>367</v>
      </c>
      <c r="I20" s="43"/>
      <c r="J20" s="39">
        <f>SUMIF(H26:H160,"SB(VB)",J26:J160)</f>
        <v>5000</v>
      </c>
      <c r="K20" s="39">
        <f>SUMIF(H26:H160,"SB(VB)",K26:K160)</f>
        <v>5000</v>
      </c>
      <c r="L20" s="39">
        <f>SUMIF(H26:H160,"SB(VB)",L26:L160)</f>
        <v>0</v>
      </c>
      <c r="M20" s="178"/>
      <c r="N20" s="180"/>
      <c r="O20" s="179"/>
      <c r="P20" s="180"/>
      <c r="Q20" s="181"/>
    </row>
    <row r="21" spans="1:17" ht="13.5" customHeight="1" x14ac:dyDescent="0.2">
      <c r="A21" s="563"/>
      <c r="B21" s="564"/>
      <c r="C21" s="578"/>
      <c r="D21" s="747"/>
      <c r="E21" s="616"/>
      <c r="F21" s="619"/>
      <c r="G21" s="615"/>
      <c r="H21" s="620" t="s">
        <v>274</v>
      </c>
      <c r="I21" s="43">
        <f>SUMIF(H34:H168,"ES",I34:I168)</f>
        <v>0</v>
      </c>
      <c r="J21" s="43">
        <f>SUMIF(H34:H168,"ES",J34:J168)</f>
        <v>291.60000000000002</v>
      </c>
      <c r="K21" s="43">
        <f>SUMIF(H34:H168,"ES",K34:K168)</f>
        <v>2207.3000000000002</v>
      </c>
      <c r="L21" s="43">
        <f>SUMIF(H34:H168,"ES",L34:L168)</f>
        <v>1339.6</v>
      </c>
      <c r="M21" s="178"/>
      <c r="N21" s="180"/>
      <c r="O21" s="179"/>
      <c r="P21" s="180"/>
      <c r="Q21" s="181"/>
    </row>
    <row r="22" spans="1:17" ht="13.5" customHeight="1" x14ac:dyDescent="0.2">
      <c r="A22" s="563"/>
      <c r="B22" s="564"/>
      <c r="C22" s="578"/>
      <c r="D22" s="747"/>
      <c r="E22" s="616"/>
      <c r="F22" s="619"/>
      <c r="G22" s="615"/>
      <c r="H22" s="622" t="s">
        <v>272</v>
      </c>
      <c r="I22" s="39">
        <f>SUMIF(H25:H170,"KVJUD",I25:I170)</f>
        <v>1662.4</v>
      </c>
      <c r="J22" s="39">
        <f>SUMIF(H25:H170,"KVJUD",J25:J170)</f>
        <v>1542</v>
      </c>
      <c r="K22" s="39">
        <f>SUMIF(H25:H170,"KVJUD",K25:K170)</f>
        <v>0</v>
      </c>
      <c r="L22" s="39">
        <f>SUMIF(H25:H170,"KVJUD",L25:L170)</f>
        <v>0</v>
      </c>
      <c r="M22" s="178"/>
      <c r="N22" s="180"/>
      <c r="O22" s="179"/>
      <c r="P22" s="180"/>
      <c r="Q22" s="181"/>
    </row>
    <row r="23" spans="1:17" ht="13.5" customHeight="1" x14ac:dyDescent="0.2">
      <c r="A23" s="588"/>
      <c r="B23" s="589"/>
      <c r="C23" s="590"/>
      <c r="D23" s="747"/>
      <c r="E23" s="616"/>
      <c r="F23" s="619"/>
      <c r="G23" s="615"/>
      <c r="H23" s="621" t="s">
        <v>273</v>
      </c>
      <c r="I23" s="41">
        <f>SUMIF(H25:H164,"LRVB",I25:I164)</f>
        <v>0</v>
      </c>
      <c r="J23" s="41">
        <f>SUMIF(H25:H164,"LRVB",J25:J164)</f>
        <v>1000</v>
      </c>
      <c r="K23" s="41">
        <f>SUMIF(H25:H164,"LRVB",K25:K164)</f>
        <v>6350</v>
      </c>
      <c r="L23" s="41">
        <f>SUMIF(H25:H164,"LRVB",L25:L164)</f>
        <v>13015.1</v>
      </c>
      <c r="M23" s="178"/>
      <c r="N23" s="180"/>
      <c r="O23" s="179"/>
      <c r="P23" s="180"/>
      <c r="Q23" s="181"/>
    </row>
    <row r="24" spans="1:17" ht="13.5" customHeight="1" x14ac:dyDescent="0.2">
      <c r="A24" s="563"/>
      <c r="B24" s="564"/>
      <c r="C24" s="578"/>
      <c r="D24" s="747"/>
      <c r="E24" s="616"/>
      <c r="F24" s="619"/>
      <c r="G24" s="623"/>
      <c r="H24" s="620" t="s">
        <v>275</v>
      </c>
      <c r="I24" s="39">
        <f>SUMIF(H34:H170,"Kt",I34:I170)</f>
        <v>126.4</v>
      </c>
      <c r="J24" s="39">
        <f>SUMIF(H34:H170,"Kt",J34:J170)</f>
        <v>105.1</v>
      </c>
      <c r="K24" s="325">
        <f>SUMIF(H34:H170,"Kt",K34:K170)</f>
        <v>114.2</v>
      </c>
      <c r="L24" s="325">
        <f>SUMIF(H34:H170,"Kt",L34:L170)</f>
        <v>60</v>
      </c>
      <c r="M24" s="661"/>
      <c r="N24" s="662"/>
      <c r="O24" s="663"/>
      <c r="P24" s="663"/>
      <c r="Q24" s="181"/>
    </row>
    <row r="25" spans="1:17" ht="13.5" customHeight="1" x14ac:dyDescent="0.2">
      <c r="A25" s="629"/>
      <c r="B25" s="630"/>
      <c r="C25" s="641"/>
      <c r="D25" s="757" t="s">
        <v>4</v>
      </c>
      <c r="E25" s="1592" t="s">
        <v>101</v>
      </c>
      <c r="F25" s="1566" t="s">
        <v>292</v>
      </c>
      <c r="G25" s="1596" t="s">
        <v>328</v>
      </c>
      <c r="H25" s="375" t="s">
        <v>23</v>
      </c>
      <c r="I25" s="954">
        <v>105</v>
      </c>
      <c r="J25" s="73">
        <v>99.7</v>
      </c>
      <c r="K25" s="41"/>
      <c r="L25" s="41"/>
      <c r="M25" s="442" t="s">
        <v>43</v>
      </c>
      <c r="N25" s="637"/>
      <c r="O25" s="645">
        <v>1</v>
      </c>
      <c r="P25" s="638"/>
      <c r="Q25" s="646"/>
    </row>
    <row r="26" spans="1:17" ht="13.5" customHeight="1" x14ac:dyDescent="0.2">
      <c r="A26" s="629"/>
      <c r="B26" s="630"/>
      <c r="C26" s="641"/>
      <c r="D26" s="758"/>
      <c r="E26" s="1593"/>
      <c r="F26" s="1567"/>
      <c r="G26" s="1584"/>
      <c r="H26" s="42" t="s">
        <v>79</v>
      </c>
      <c r="I26" s="41">
        <f>243.1-21.9</f>
        <v>221.2</v>
      </c>
      <c r="J26" s="61"/>
      <c r="K26" s="41">
        <v>1350</v>
      </c>
      <c r="L26" s="41">
        <v>2700</v>
      </c>
      <c r="M26" s="1585" t="s">
        <v>174</v>
      </c>
      <c r="N26" s="637"/>
      <c r="O26" s="638">
        <v>15</v>
      </c>
      <c r="P26" s="638">
        <v>45</v>
      </c>
      <c r="Q26" s="647">
        <v>85</v>
      </c>
    </row>
    <row r="27" spans="1:17" ht="13.5" customHeight="1" x14ac:dyDescent="0.2">
      <c r="A27" s="925"/>
      <c r="B27" s="926"/>
      <c r="C27" s="932"/>
      <c r="D27" s="758"/>
      <c r="E27" s="1593"/>
      <c r="F27" s="1567"/>
      <c r="G27" s="1584"/>
      <c r="H27" s="42" t="s">
        <v>54</v>
      </c>
      <c r="I27" s="41"/>
      <c r="J27" s="61">
        <v>450.3</v>
      </c>
      <c r="K27" s="41"/>
      <c r="L27" s="41"/>
      <c r="M27" s="1585"/>
      <c r="N27" s="928"/>
      <c r="O27" s="929"/>
      <c r="P27" s="929"/>
      <c r="Q27" s="933"/>
    </row>
    <row r="28" spans="1:17" ht="13.5" customHeight="1" x14ac:dyDescent="0.2">
      <c r="A28" s="629"/>
      <c r="B28" s="630"/>
      <c r="C28" s="641"/>
      <c r="D28" s="758"/>
      <c r="E28" s="1593"/>
      <c r="F28" s="1567"/>
      <c r="G28" s="1597"/>
      <c r="H28" s="42" t="s">
        <v>367</v>
      </c>
      <c r="I28" s="41"/>
      <c r="J28" s="61">
        <v>5000</v>
      </c>
      <c r="K28" s="41">
        <v>5000</v>
      </c>
      <c r="L28" s="41"/>
      <c r="M28" s="1585"/>
      <c r="N28" s="637"/>
      <c r="O28" s="638"/>
      <c r="P28" s="638"/>
      <c r="Q28" s="647"/>
    </row>
    <row r="29" spans="1:17" ht="13.5" customHeight="1" x14ac:dyDescent="0.2">
      <c r="A29" s="629"/>
      <c r="B29" s="630"/>
      <c r="C29" s="641"/>
      <c r="D29" s="758"/>
      <c r="E29" s="1593"/>
      <c r="F29" s="1567"/>
      <c r="G29" s="1597"/>
      <c r="H29" s="725" t="s">
        <v>45</v>
      </c>
      <c r="I29" s="41"/>
      <c r="J29" s="61">
        <f>495+47</f>
        <v>542</v>
      </c>
      <c r="K29" s="41"/>
      <c r="L29" s="41"/>
      <c r="M29" s="1585"/>
      <c r="N29" s="637"/>
      <c r="O29" s="638"/>
      <c r="P29" s="638"/>
      <c r="Q29" s="647"/>
    </row>
    <row r="30" spans="1:17" ht="13.5" customHeight="1" x14ac:dyDescent="0.2">
      <c r="A30" s="629"/>
      <c r="B30" s="630"/>
      <c r="C30" s="641"/>
      <c r="D30" s="758"/>
      <c r="E30" s="1593"/>
      <c r="F30" s="1567"/>
      <c r="G30" s="1597"/>
      <c r="H30" s="50" t="s">
        <v>178</v>
      </c>
      <c r="I30" s="41"/>
      <c r="J30" s="40"/>
      <c r="K30" s="41">
        <v>3650</v>
      </c>
      <c r="L30" s="41">
        <v>12000</v>
      </c>
      <c r="M30" s="1586"/>
      <c r="N30" s="637"/>
      <c r="O30" s="645"/>
      <c r="P30" s="638"/>
      <c r="Q30" s="647"/>
    </row>
    <row r="31" spans="1:17" ht="27" customHeight="1" x14ac:dyDescent="0.2">
      <c r="A31" s="629"/>
      <c r="B31" s="630"/>
      <c r="C31" s="641"/>
      <c r="D31" s="758"/>
      <c r="E31" s="690" t="s">
        <v>293</v>
      </c>
      <c r="F31" s="734"/>
      <c r="G31" s="1597"/>
      <c r="H31" s="334" t="s">
        <v>23</v>
      </c>
      <c r="I31" s="46"/>
      <c r="J31" s="360"/>
      <c r="K31" s="46">
        <v>1100</v>
      </c>
      <c r="L31" s="46"/>
      <c r="M31" s="635" t="s">
        <v>351</v>
      </c>
      <c r="N31" s="372"/>
      <c r="O31" s="245">
        <v>50</v>
      </c>
      <c r="P31" s="246">
        <v>100</v>
      </c>
      <c r="Q31" s="120"/>
    </row>
    <row r="32" spans="1:17" ht="27" customHeight="1" x14ac:dyDescent="0.2">
      <c r="A32" s="629"/>
      <c r="B32" s="630"/>
      <c r="C32" s="641"/>
      <c r="D32" s="758"/>
      <c r="E32" s="691"/>
      <c r="F32" s="734"/>
      <c r="G32" s="69"/>
      <c r="H32" s="89" t="s">
        <v>79</v>
      </c>
      <c r="I32" s="43"/>
      <c r="J32" s="74">
        <v>500</v>
      </c>
      <c r="K32" s="43"/>
      <c r="L32" s="43"/>
      <c r="M32" s="389" t="s">
        <v>281</v>
      </c>
      <c r="N32" s="169"/>
      <c r="O32" s="301">
        <v>100</v>
      </c>
      <c r="P32" s="191"/>
      <c r="Q32" s="309"/>
    </row>
    <row r="33" spans="1:17" ht="46.5" customHeight="1" x14ac:dyDescent="0.2">
      <c r="A33" s="629"/>
      <c r="B33" s="630"/>
      <c r="C33" s="641"/>
      <c r="D33" s="758"/>
      <c r="E33" s="627"/>
      <c r="F33" s="734"/>
      <c r="G33" s="69"/>
      <c r="H33" s="50" t="s">
        <v>178</v>
      </c>
      <c r="I33" s="41"/>
      <c r="J33" s="61">
        <v>1000</v>
      </c>
      <c r="K33" s="46">
        <v>2700</v>
      </c>
      <c r="L33" s="41">
        <v>1000</v>
      </c>
      <c r="M33" s="626" t="s">
        <v>282</v>
      </c>
      <c r="N33" s="637"/>
      <c r="O33" s="645"/>
      <c r="P33" s="638"/>
      <c r="Q33" s="647"/>
    </row>
    <row r="34" spans="1:17" ht="15" customHeight="1" x14ac:dyDescent="0.2">
      <c r="A34" s="1355"/>
      <c r="B34" s="1356"/>
      <c r="C34" s="1623"/>
      <c r="D34" s="1611" t="s">
        <v>6</v>
      </c>
      <c r="E34" s="1600" t="s">
        <v>196</v>
      </c>
      <c r="F34" s="714" t="s">
        <v>291</v>
      </c>
      <c r="G34" s="1602" t="s">
        <v>329</v>
      </c>
      <c r="H34" s="54" t="s">
        <v>79</v>
      </c>
      <c r="I34" s="375">
        <f>755.4-236.1-378-116.2+224.9</f>
        <v>250</v>
      </c>
      <c r="J34" s="73">
        <v>950.9</v>
      </c>
      <c r="K34" s="766">
        <v>311.89999999999998</v>
      </c>
      <c r="L34" s="377"/>
      <c r="M34" s="1372"/>
      <c r="N34" s="581"/>
      <c r="O34" s="583"/>
      <c r="P34" s="581"/>
      <c r="Q34" s="579"/>
    </row>
    <row r="35" spans="1:17" ht="15" customHeight="1" x14ac:dyDescent="0.2">
      <c r="A35" s="1355"/>
      <c r="B35" s="1356"/>
      <c r="C35" s="1623"/>
      <c r="D35" s="1472"/>
      <c r="E35" s="1601"/>
      <c r="F35" s="720"/>
      <c r="G35" s="1603"/>
      <c r="H35" s="50" t="s">
        <v>23</v>
      </c>
      <c r="I35" s="42">
        <v>875.5</v>
      </c>
      <c r="J35" s="184"/>
      <c r="K35" s="443">
        <v>876.7</v>
      </c>
      <c r="L35" s="42"/>
      <c r="M35" s="1373"/>
      <c r="N35" s="571"/>
      <c r="O35" s="571"/>
      <c r="P35" s="571"/>
      <c r="Q35" s="580"/>
    </row>
    <row r="36" spans="1:17" ht="15" customHeight="1" x14ac:dyDescent="0.2">
      <c r="A36" s="1355"/>
      <c r="B36" s="1356"/>
      <c r="C36" s="1623"/>
      <c r="D36" s="1472"/>
      <c r="E36" s="1601"/>
      <c r="F36" s="720"/>
      <c r="G36" s="1603"/>
      <c r="H36" s="50" t="s">
        <v>167</v>
      </c>
      <c r="I36" s="41">
        <f>1482.2-1232</f>
        <v>250.2</v>
      </c>
      <c r="J36" s="61">
        <v>1003.7</v>
      </c>
      <c r="K36" s="767">
        <v>430.2</v>
      </c>
      <c r="L36" s="41"/>
      <c r="M36" s="558"/>
      <c r="N36" s="571"/>
      <c r="O36" s="571"/>
      <c r="P36" s="571"/>
      <c r="Q36" s="580"/>
    </row>
    <row r="37" spans="1:17" ht="15" customHeight="1" x14ac:dyDescent="0.2">
      <c r="A37" s="1355"/>
      <c r="B37" s="1356"/>
      <c r="C37" s="1623"/>
      <c r="D37" s="1472"/>
      <c r="E37" s="759"/>
      <c r="F37" s="720"/>
      <c r="G37" s="1603"/>
      <c r="H37" s="724" t="s">
        <v>45</v>
      </c>
      <c r="I37" s="41">
        <v>200</v>
      </c>
      <c r="J37" s="61">
        <v>500</v>
      </c>
      <c r="K37" s="767"/>
      <c r="L37" s="41"/>
      <c r="M37" s="558"/>
      <c r="N37" s="571"/>
      <c r="O37" s="571"/>
      <c r="P37" s="571"/>
      <c r="Q37" s="580"/>
    </row>
    <row r="38" spans="1:17" ht="15" customHeight="1" x14ac:dyDescent="0.2">
      <c r="A38" s="1355"/>
      <c r="B38" s="1356"/>
      <c r="C38" s="1623"/>
      <c r="D38" s="1472"/>
      <c r="E38" s="759"/>
      <c r="F38" s="720"/>
      <c r="G38" s="1603"/>
      <c r="H38" s="50" t="s">
        <v>42</v>
      </c>
      <c r="I38" s="41">
        <v>104.9</v>
      </c>
      <c r="J38" s="61">
        <v>27.7</v>
      </c>
      <c r="K38" s="767">
        <v>74.2</v>
      </c>
      <c r="L38" s="41"/>
      <c r="M38" s="558"/>
      <c r="N38" s="571"/>
      <c r="O38" s="571"/>
      <c r="P38" s="571"/>
      <c r="Q38" s="580"/>
    </row>
    <row r="39" spans="1:17" ht="15" customHeight="1" x14ac:dyDescent="0.2">
      <c r="A39" s="1355"/>
      <c r="B39" s="1356"/>
      <c r="C39" s="1623"/>
      <c r="D39" s="1472"/>
      <c r="E39" s="931"/>
      <c r="F39" s="720"/>
      <c r="G39" s="1603"/>
      <c r="H39" s="50" t="s">
        <v>23</v>
      </c>
      <c r="I39" s="41"/>
      <c r="J39" s="61">
        <v>400</v>
      </c>
      <c r="K39" s="767"/>
      <c r="L39" s="41"/>
      <c r="M39" s="924"/>
      <c r="N39" s="929"/>
      <c r="O39" s="929"/>
      <c r="P39" s="929"/>
      <c r="Q39" s="933"/>
    </row>
    <row r="40" spans="1:17" ht="15" customHeight="1" x14ac:dyDescent="0.2">
      <c r="A40" s="1355"/>
      <c r="B40" s="1356"/>
      <c r="C40" s="1623"/>
      <c r="D40" s="1472"/>
      <c r="E40" s="759"/>
      <c r="F40" s="720"/>
      <c r="G40" s="1603"/>
      <c r="H40" s="50" t="s">
        <v>54</v>
      </c>
      <c r="I40" s="41">
        <v>186.9</v>
      </c>
      <c r="J40" s="61">
        <v>560.20000000000005</v>
      </c>
      <c r="K40" s="41"/>
      <c r="L40" s="41"/>
      <c r="M40" s="558"/>
      <c r="N40" s="571"/>
      <c r="O40" s="571"/>
      <c r="P40" s="571"/>
      <c r="Q40" s="580"/>
    </row>
    <row r="41" spans="1:17" ht="25.5" customHeight="1" x14ac:dyDescent="0.2">
      <c r="A41" s="1355"/>
      <c r="B41" s="1356"/>
      <c r="C41" s="1623"/>
      <c r="D41" s="1472"/>
      <c r="E41" s="763" t="s">
        <v>115</v>
      </c>
      <c r="F41" s="764"/>
      <c r="G41" s="1603"/>
      <c r="H41" s="82"/>
      <c r="I41" s="39"/>
      <c r="J41" s="114"/>
      <c r="K41" s="39"/>
      <c r="L41" s="39"/>
      <c r="M41" s="52" t="s">
        <v>138</v>
      </c>
      <c r="N41" s="613" t="s">
        <v>246</v>
      </c>
      <c r="O41" s="100">
        <v>100</v>
      </c>
      <c r="P41" s="100"/>
      <c r="Q41" s="18"/>
    </row>
    <row r="42" spans="1:17" ht="27" customHeight="1" x14ac:dyDescent="0.2">
      <c r="A42" s="1355"/>
      <c r="B42" s="1356"/>
      <c r="C42" s="1623"/>
      <c r="D42" s="1472"/>
      <c r="E42" s="761" t="s">
        <v>97</v>
      </c>
      <c r="F42" s="718"/>
      <c r="G42" s="158"/>
      <c r="H42" s="53"/>
      <c r="I42" s="955"/>
      <c r="J42" s="93"/>
      <c r="K42" s="1176"/>
      <c r="L42" s="378"/>
      <c r="M42" s="234" t="s">
        <v>139</v>
      </c>
      <c r="N42" s="469" t="s">
        <v>142</v>
      </c>
      <c r="O42" s="32">
        <v>50</v>
      </c>
      <c r="P42" s="32">
        <v>100</v>
      </c>
      <c r="Q42" s="16"/>
    </row>
    <row r="43" spans="1:17" ht="18" customHeight="1" x14ac:dyDescent="0.2">
      <c r="A43" s="629"/>
      <c r="B43" s="630"/>
      <c r="C43" s="641"/>
      <c r="D43" s="755" t="s">
        <v>26</v>
      </c>
      <c r="E43" s="1327" t="s">
        <v>156</v>
      </c>
      <c r="F43" s="425"/>
      <c r="G43" s="1596" t="s">
        <v>328</v>
      </c>
      <c r="H43" s="50" t="s">
        <v>23</v>
      </c>
      <c r="I43" s="41">
        <f>43.3+100</f>
        <v>143.30000000000001</v>
      </c>
      <c r="J43" s="61">
        <v>99</v>
      </c>
      <c r="K43" s="41">
        <v>200.7</v>
      </c>
      <c r="L43" s="41"/>
      <c r="M43" s="1375" t="s">
        <v>160</v>
      </c>
      <c r="N43" s="431">
        <v>30</v>
      </c>
      <c r="O43" s="310">
        <v>85</v>
      </c>
      <c r="P43" s="485">
        <v>100</v>
      </c>
      <c r="Q43" s="317"/>
    </row>
    <row r="44" spans="1:17" ht="18" customHeight="1" x14ac:dyDescent="0.2">
      <c r="A44" s="739"/>
      <c r="B44" s="740"/>
      <c r="C44" s="760"/>
      <c r="D44" s="747"/>
      <c r="E44" s="1328"/>
      <c r="F44" s="425"/>
      <c r="G44" s="1569"/>
      <c r="H44" s="50" t="s">
        <v>54</v>
      </c>
      <c r="I44" s="41"/>
      <c r="J44" s="61">
        <v>143.69999999999999</v>
      </c>
      <c r="K44" s="41"/>
      <c r="L44" s="41"/>
      <c r="M44" s="1375"/>
      <c r="N44" s="753"/>
      <c r="O44" s="768"/>
      <c r="P44" s="440"/>
      <c r="Q44" s="769"/>
    </row>
    <row r="45" spans="1:17" ht="18" customHeight="1" x14ac:dyDescent="0.2">
      <c r="A45" s="925"/>
      <c r="B45" s="926"/>
      <c r="C45" s="932"/>
      <c r="D45" s="927"/>
      <c r="E45" s="1328"/>
      <c r="F45" s="425"/>
      <c r="G45" s="1569"/>
      <c r="H45" s="50" t="s">
        <v>78</v>
      </c>
      <c r="I45" s="41"/>
      <c r="J45" s="61">
        <v>115.4</v>
      </c>
      <c r="K45" s="41"/>
      <c r="L45" s="41"/>
      <c r="M45" s="1375"/>
      <c r="N45" s="930"/>
      <c r="O45" s="768"/>
      <c r="P45" s="440"/>
      <c r="Q45" s="769"/>
    </row>
    <row r="46" spans="1:17" ht="19.5" customHeight="1" x14ac:dyDescent="0.2">
      <c r="A46" s="629"/>
      <c r="B46" s="630"/>
      <c r="C46" s="641"/>
      <c r="D46" s="756"/>
      <c r="E46" s="1374"/>
      <c r="F46" s="303"/>
      <c r="G46" s="1604"/>
      <c r="H46" s="955" t="s">
        <v>79</v>
      </c>
      <c r="I46" s="955">
        <f>57.4+630.3-224.9</f>
        <v>462.8</v>
      </c>
      <c r="J46" s="93">
        <v>928.8</v>
      </c>
      <c r="K46" s="1176">
        <v>564.20000000000005</v>
      </c>
      <c r="L46" s="378"/>
      <c r="M46" s="1587"/>
      <c r="N46" s="628"/>
      <c r="O46" s="286"/>
      <c r="P46" s="99"/>
      <c r="Q46" s="20"/>
    </row>
    <row r="47" spans="1:17" ht="15.75" customHeight="1" x14ac:dyDescent="0.2">
      <c r="A47" s="1355"/>
      <c r="B47" s="1378"/>
      <c r="C47" s="1623"/>
      <c r="D47" s="1611" t="s">
        <v>30</v>
      </c>
      <c r="E47" s="1600" t="s">
        <v>153</v>
      </c>
      <c r="F47" s="714" t="s">
        <v>291</v>
      </c>
      <c r="G47" s="1605"/>
      <c r="H47" s="54" t="s">
        <v>23</v>
      </c>
      <c r="I47" s="954">
        <f>814.8+100</f>
        <v>914.8</v>
      </c>
      <c r="J47" s="73">
        <v>47</v>
      </c>
      <c r="K47" s="1175"/>
      <c r="L47" s="377"/>
      <c r="M47" s="556" t="s">
        <v>126</v>
      </c>
      <c r="N47" s="231">
        <v>70</v>
      </c>
      <c r="O47" s="292">
        <v>100</v>
      </c>
      <c r="P47" s="292"/>
      <c r="Q47" s="232"/>
    </row>
    <row r="48" spans="1:17" ht="15" customHeight="1" x14ac:dyDescent="0.2">
      <c r="A48" s="1355"/>
      <c r="B48" s="1378"/>
      <c r="C48" s="1623"/>
      <c r="D48" s="1472"/>
      <c r="E48" s="1608"/>
      <c r="F48" s="720"/>
      <c r="G48" s="1605"/>
      <c r="H48" s="50" t="s">
        <v>79</v>
      </c>
      <c r="I48" s="41">
        <f>1100-221.2</f>
        <v>878.8</v>
      </c>
      <c r="J48" s="61">
        <v>221</v>
      </c>
      <c r="K48" s="41"/>
      <c r="L48" s="41"/>
      <c r="M48" s="556"/>
      <c r="N48" s="231"/>
      <c r="O48" s="117"/>
      <c r="P48" s="117"/>
      <c r="Q48" s="122"/>
    </row>
    <row r="49" spans="1:17" ht="15" customHeight="1" x14ac:dyDescent="0.2">
      <c r="A49" s="1355"/>
      <c r="B49" s="1378"/>
      <c r="C49" s="1623"/>
      <c r="D49" s="1472"/>
      <c r="E49" s="1608"/>
      <c r="F49" s="720"/>
      <c r="G49" s="1605"/>
      <c r="H49" s="724" t="s">
        <v>45</v>
      </c>
      <c r="I49" s="41">
        <v>162.4</v>
      </c>
      <c r="J49" s="61"/>
      <c r="K49" s="41"/>
      <c r="L49" s="41"/>
      <c r="M49" s="556"/>
      <c r="N49" s="231"/>
      <c r="O49" s="117"/>
      <c r="P49" s="117"/>
      <c r="Q49" s="122"/>
    </row>
    <row r="50" spans="1:17" ht="15" customHeight="1" x14ac:dyDescent="0.2">
      <c r="A50" s="1355"/>
      <c r="B50" s="1378"/>
      <c r="C50" s="1623"/>
      <c r="D50" s="1472"/>
      <c r="E50" s="1608"/>
      <c r="F50" s="720"/>
      <c r="G50" s="1605"/>
      <c r="H50" s="50" t="s">
        <v>78</v>
      </c>
      <c r="I50" s="41">
        <v>151.9</v>
      </c>
      <c r="J50" s="61"/>
      <c r="K50" s="41"/>
      <c r="L50" s="41"/>
      <c r="M50" s="556"/>
      <c r="N50" s="231"/>
      <c r="O50" s="117"/>
      <c r="P50" s="117"/>
      <c r="Q50" s="122"/>
    </row>
    <row r="51" spans="1:17" ht="16.5" customHeight="1" x14ac:dyDescent="0.2">
      <c r="A51" s="1355"/>
      <c r="B51" s="1378"/>
      <c r="C51" s="1623"/>
      <c r="D51" s="1612"/>
      <c r="E51" s="1609"/>
      <c r="F51" s="726"/>
      <c r="G51" s="1605"/>
      <c r="H51" s="75" t="s">
        <v>54</v>
      </c>
      <c r="I51" s="955">
        <v>100</v>
      </c>
      <c r="J51" s="93">
        <f>165+207.3</f>
        <v>372.3</v>
      </c>
      <c r="K51" s="1166"/>
      <c r="L51" s="378"/>
      <c r="M51" s="220"/>
      <c r="N51" s="161"/>
      <c r="O51" s="293"/>
      <c r="P51" s="293"/>
      <c r="Q51" s="162"/>
    </row>
    <row r="52" spans="1:17" ht="38.25" customHeight="1" x14ac:dyDescent="0.2">
      <c r="A52" s="563"/>
      <c r="B52" s="567"/>
      <c r="C52" s="1709" t="s">
        <v>241</v>
      </c>
      <c r="D52" s="972" t="s">
        <v>31</v>
      </c>
      <c r="E52" s="1589" t="s">
        <v>164</v>
      </c>
      <c r="F52" s="975" t="s">
        <v>291</v>
      </c>
      <c r="G52" s="1596" t="s">
        <v>329</v>
      </c>
      <c r="H52" s="377" t="s">
        <v>23</v>
      </c>
      <c r="I52" s="377">
        <v>100</v>
      </c>
      <c r="J52" s="54">
        <v>10</v>
      </c>
      <c r="K52" s="1165">
        <v>235.8</v>
      </c>
      <c r="L52" s="377">
        <v>235.8</v>
      </c>
      <c r="M52" s="746" t="s">
        <v>285</v>
      </c>
      <c r="N52" s="468"/>
      <c r="O52" s="465" t="s">
        <v>49</v>
      </c>
      <c r="P52" s="468"/>
      <c r="Q52" s="225"/>
    </row>
    <row r="53" spans="1:17" ht="26.25" customHeight="1" x14ac:dyDescent="0.2">
      <c r="A53" s="563"/>
      <c r="B53" s="567"/>
      <c r="C53" s="1710"/>
      <c r="D53" s="968"/>
      <c r="E53" s="1590"/>
      <c r="F53" s="1606" t="s">
        <v>304</v>
      </c>
      <c r="G53" s="1569"/>
      <c r="H53" s="41" t="s">
        <v>54</v>
      </c>
      <c r="I53" s="41"/>
      <c r="J53" s="50">
        <v>59.2</v>
      </c>
      <c r="K53" s="41"/>
      <c r="L53" s="41"/>
      <c r="M53" s="675" t="s">
        <v>286</v>
      </c>
      <c r="N53" s="116"/>
      <c r="O53" s="420" t="s">
        <v>49</v>
      </c>
      <c r="P53" s="613"/>
      <c r="Q53" s="402"/>
    </row>
    <row r="54" spans="1:17" ht="28.5" customHeight="1" x14ac:dyDescent="0.2">
      <c r="A54" s="633"/>
      <c r="B54" s="634"/>
      <c r="C54" s="1710"/>
      <c r="D54" s="974"/>
      <c r="E54" s="1591"/>
      <c r="F54" s="1607"/>
      <c r="G54" s="1569"/>
      <c r="H54" s="43" t="s">
        <v>41</v>
      </c>
      <c r="I54" s="43"/>
      <c r="J54" s="89">
        <v>40</v>
      </c>
      <c r="K54" s="43">
        <v>1044.4000000000001</v>
      </c>
      <c r="L54" s="43">
        <v>1044.4000000000001</v>
      </c>
      <c r="M54" s="453" t="s">
        <v>176</v>
      </c>
      <c r="N54" s="340"/>
      <c r="O54" s="341" t="s">
        <v>40</v>
      </c>
      <c r="P54" s="291" t="s">
        <v>234</v>
      </c>
      <c r="Q54" s="249" t="s">
        <v>235</v>
      </c>
    </row>
    <row r="55" spans="1:17" ht="15" customHeight="1" x14ac:dyDescent="0.2">
      <c r="A55" s="559"/>
      <c r="B55" s="560"/>
      <c r="C55" s="1710"/>
      <c r="D55" s="968" t="s">
        <v>32</v>
      </c>
      <c r="E55" s="1590" t="s">
        <v>240</v>
      </c>
      <c r="F55" s="1617" t="s">
        <v>291</v>
      </c>
      <c r="G55" s="1569"/>
      <c r="H55" s="50" t="s">
        <v>23</v>
      </c>
      <c r="I55" s="41"/>
      <c r="J55" s="132"/>
      <c r="K55" s="41">
        <v>432</v>
      </c>
      <c r="L55" s="41">
        <v>432</v>
      </c>
      <c r="M55" s="438" t="s">
        <v>111</v>
      </c>
      <c r="N55" s="774"/>
      <c r="O55" s="774"/>
      <c r="P55" s="775" t="s">
        <v>234</v>
      </c>
      <c r="Q55" s="765" t="s">
        <v>235</v>
      </c>
    </row>
    <row r="56" spans="1:17" ht="14.25" customHeight="1" x14ac:dyDescent="0.2">
      <c r="A56" s="559"/>
      <c r="B56" s="560"/>
      <c r="C56" s="1711"/>
      <c r="D56" s="974"/>
      <c r="E56" s="1590"/>
      <c r="F56" s="1618"/>
      <c r="G56" s="1599"/>
      <c r="H56" s="53" t="s">
        <v>41</v>
      </c>
      <c r="I56" s="378"/>
      <c r="J56" s="28"/>
      <c r="K56" s="378">
        <v>250</v>
      </c>
      <c r="L56" s="378">
        <v>250</v>
      </c>
      <c r="M56" s="441"/>
      <c r="N56" s="436"/>
      <c r="O56" s="436"/>
      <c r="P56" s="437"/>
      <c r="Q56" s="490"/>
    </row>
    <row r="57" spans="1:17" ht="15" customHeight="1" x14ac:dyDescent="0.2">
      <c r="A57" s="1377"/>
      <c r="B57" s="1378"/>
      <c r="C57" s="1647" t="s">
        <v>306</v>
      </c>
      <c r="D57" s="1611" t="s">
        <v>33</v>
      </c>
      <c r="E57" s="1592" t="s">
        <v>52</v>
      </c>
      <c r="F57" s="714" t="s">
        <v>291</v>
      </c>
      <c r="G57" s="752"/>
      <c r="H57" s="54" t="s">
        <v>23</v>
      </c>
      <c r="I57" s="377">
        <v>50</v>
      </c>
      <c r="J57" s="73">
        <v>258.39999999999998</v>
      </c>
      <c r="K57" s="859">
        <f>2259.9+300-300</f>
        <v>2259.9</v>
      </c>
      <c r="L57" s="859">
        <v>300</v>
      </c>
      <c r="M57" s="1372" t="s">
        <v>112</v>
      </c>
      <c r="N57" s="737">
        <v>5</v>
      </c>
      <c r="O57" s="285">
        <v>35</v>
      </c>
      <c r="P57" s="396">
        <v>90</v>
      </c>
      <c r="Q57" s="393">
        <v>100</v>
      </c>
    </row>
    <row r="58" spans="1:17" ht="17.25" customHeight="1" x14ac:dyDescent="0.2">
      <c r="A58" s="1377"/>
      <c r="B58" s="1378"/>
      <c r="C58" s="1648"/>
      <c r="D58" s="1472"/>
      <c r="E58" s="1593"/>
      <c r="F58" s="715"/>
      <c r="G58" s="497"/>
      <c r="H58" s="50" t="s">
        <v>23</v>
      </c>
      <c r="I58" s="41"/>
      <c r="J58" s="61">
        <v>494.8</v>
      </c>
      <c r="K58" s="41"/>
      <c r="L58" s="41"/>
      <c r="M58" s="1375"/>
      <c r="N58" s="930"/>
      <c r="O58" s="287"/>
      <c r="P58" s="207"/>
      <c r="Q58" s="177"/>
    </row>
    <row r="59" spans="1:17" ht="12" customHeight="1" x14ac:dyDescent="0.2">
      <c r="A59" s="1377"/>
      <c r="B59" s="1378"/>
      <c r="C59" s="1648"/>
      <c r="D59" s="1472"/>
      <c r="E59" s="1593"/>
      <c r="F59" s="719"/>
      <c r="G59" s="754"/>
      <c r="H59" s="50" t="s">
        <v>54</v>
      </c>
      <c r="I59" s="41"/>
      <c r="J59" s="61">
        <v>46.8</v>
      </c>
      <c r="K59" s="41"/>
      <c r="L59" s="41"/>
      <c r="M59" s="1373"/>
      <c r="N59" s="753"/>
      <c r="O59" s="287"/>
      <c r="P59" s="207"/>
      <c r="Q59" s="177"/>
    </row>
    <row r="60" spans="1:17" ht="17.25" customHeight="1" x14ac:dyDescent="0.2">
      <c r="A60" s="1377"/>
      <c r="B60" s="1378"/>
      <c r="C60" s="1648"/>
      <c r="D60" s="1612"/>
      <c r="E60" s="1593"/>
      <c r="F60" s="719"/>
      <c r="G60" s="754"/>
      <c r="H60" s="53" t="s">
        <v>79</v>
      </c>
      <c r="I60" s="378"/>
      <c r="J60" s="106">
        <v>200</v>
      </c>
      <c r="K60" s="378">
        <v>200</v>
      </c>
      <c r="L60" s="378"/>
      <c r="M60" s="142"/>
      <c r="N60" s="738"/>
      <c r="O60" s="286"/>
      <c r="P60" s="99"/>
      <c r="Q60" s="20"/>
    </row>
    <row r="61" spans="1:17" ht="14.25" customHeight="1" x14ac:dyDescent="0.2">
      <c r="A61" s="1377"/>
      <c r="B61" s="1378"/>
      <c r="C61" s="1648"/>
      <c r="D61" s="803" t="s">
        <v>143</v>
      </c>
      <c r="E61" s="1589" t="s">
        <v>152</v>
      </c>
      <c r="F61" s="825" t="s">
        <v>291</v>
      </c>
      <c r="G61" s="1569" t="s">
        <v>328</v>
      </c>
      <c r="H61" s="54" t="s">
        <v>79</v>
      </c>
      <c r="I61" s="377">
        <f>200+200-200</f>
        <v>200</v>
      </c>
      <c r="J61" s="73">
        <v>400</v>
      </c>
      <c r="K61" s="910">
        <v>400</v>
      </c>
      <c r="L61" s="910">
        <v>400</v>
      </c>
      <c r="M61" s="1358" t="s">
        <v>136</v>
      </c>
      <c r="N61" s="433"/>
      <c r="O61" s="368">
        <v>40</v>
      </c>
      <c r="P61" s="427">
        <v>100</v>
      </c>
      <c r="Q61" s="369"/>
    </row>
    <row r="62" spans="1:17" ht="15.75" customHeight="1" x14ac:dyDescent="0.2">
      <c r="A62" s="1377"/>
      <c r="B62" s="1378"/>
      <c r="C62" s="1648"/>
      <c r="D62" s="803"/>
      <c r="E62" s="1590"/>
      <c r="F62" s="976"/>
      <c r="G62" s="1569"/>
      <c r="H62" s="50" t="s">
        <v>23</v>
      </c>
      <c r="I62" s="41">
        <f>500-143.4</f>
        <v>356.6</v>
      </c>
      <c r="J62" s="61">
        <v>0</v>
      </c>
      <c r="K62" s="41">
        <v>700</v>
      </c>
      <c r="L62" s="41">
        <v>1000</v>
      </c>
      <c r="M62" s="1583"/>
      <c r="N62" s="283"/>
      <c r="O62" s="284"/>
      <c r="P62" s="397"/>
      <c r="Q62" s="332"/>
    </row>
    <row r="63" spans="1:17" ht="51" customHeight="1" x14ac:dyDescent="0.2">
      <c r="A63" s="1377"/>
      <c r="B63" s="1378"/>
      <c r="C63" s="1648"/>
      <c r="D63" s="803"/>
      <c r="E63" s="1590"/>
      <c r="F63" s="826"/>
      <c r="G63" s="1569"/>
      <c r="H63" s="956" t="s">
        <v>78</v>
      </c>
      <c r="I63" s="41"/>
      <c r="J63" s="61">
        <v>300</v>
      </c>
      <c r="K63" s="41"/>
      <c r="L63" s="41"/>
      <c r="M63" s="19" t="s">
        <v>137</v>
      </c>
      <c r="N63" s="418"/>
      <c r="O63" s="410"/>
      <c r="P63" s="410"/>
      <c r="Q63" s="411" t="s">
        <v>175</v>
      </c>
    </row>
    <row r="64" spans="1:17" ht="42" customHeight="1" x14ac:dyDescent="0.2">
      <c r="A64" s="971"/>
      <c r="B64" s="967"/>
      <c r="C64" s="1648"/>
      <c r="D64" s="970"/>
      <c r="E64" s="1590"/>
      <c r="F64" s="826"/>
      <c r="G64" s="1569"/>
      <c r="H64" s="50"/>
      <c r="I64" s="41"/>
      <c r="J64" s="61"/>
      <c r="K64" s="41"/>
      <c r="L64" s="41"/>
      <c r="M64" s="994" t="s">
        <v>117</v>
      </c>
      <c r="N64" s="995" t="s">
        <v>49</v>
      </c>
      <c r="O64" s="410"/>
      <c r="P64" s="418"/>
      <c r="Q64" s="411"/>
    </row>
    <row r="65" spans="1:17" ht="42" customHeight="1" x14ac:dyDescent="0.2">
      <c r="A65" s="742"/>
      <c r="B65" s="740"/>
      <c r="C65" s="1649"/>
      <c r="D65" s="804"/>
      <c r="E65" s="1591"/>
      <c r="F65" s="827"/>
      <c r="G65" s="1569"/>
      <c r="H65" s="53"/>
      <c r="I65" s="378"/>
      <c r="J65" s="93"/>
      <c r="K65" s="911"/>
      <c r="L65" s="911"/>
      <c r="M65" s="651" t="s">
        <v>135</v>
      </c>
      <c r="N65" s="658" t="s">
        <v>235</v>
      </c>
      <c r="O65" s="659"/>
      <c r="P65" s="656"/>
      <c r="Q65" s="657"/>
    </row>
    <row r="66" spans="1:17" ht="15" customHeight="1" x14ac:dyDescent="0.2">
      <c r="A66" s="559"/>
      <c r="B66" s="560"/>
      <c r="C66" s="218"/>
      <c r="D66" s="1611" t="s">
        <v>305</v>
      </c>
      <c r="E66" s="1608" t="s">
        <v>279</v>
      </c>
      <c r="F66" s="715" t="s">
        <v>291</v>
      </c>
      <c r="G66" s="1651"/>
      <c r="H66" s="50" t="s">
        <v>79</v>
      </c>
      <c r="I66" s="41"/>
      <c r="J66" s="61">
        <v>332.8</v>
      </c>
      <c r="K66" s="41">
        <v>113.5</v>
      </c>
      <c r="L66" s="41"/>
      <c r="M66" s="902" t="s">
        <v>43</v>
      </c>
      <c r="N66" s="915">
        <v>1</v>
      </c>
      <c r="O66" s="394"/>
      <c r="P66" s="914"/>
      <c r="Q66" s="912"/>
    </row>
    <row r="67" spans="1:17" ht="13.5" customHeight="1" x14ac:dyDescent="0.2">
      <c r="A67" s="559"/>
      <c r="B67" s="560"/>
      <c r="C67" s="218"/>
      <c r="D67" s="1472"/>
      <c r="E67" s="1608"/>
      <c r="F67" s="717"/>
      <c r="G67" s="1584"/>
      <c r="H67" s="50" t="s">
        <v>54</v>
      </c>
      <c r="I67" s="41">
        <v>11.8</v>
      </c>
      <c r="J67" s="61"/>
      <c r="K67" s="41"/>
      <c r="L67" s="41"/>
      <c r="M67" s="903" t="s">
        <v>111</v>
      </c>
      <c r="N67" s="916"/>
      <c r="O67" s="1161">
        <v>75</v>
      </c>
      <c r="P67" s="1162">
        <v>10</v>
      </c>
      <c r="Q67" s="913"/>
    </row>
    <row r="68" spans="1:17" ht="12.75" customHeight="1" x14ac:dyDescent="0.2">
      <c r="A68" s="559"/>
      <c r="B68" s="560"/>
      <c r="C68" s="218"/>
      <c r="D68" s="1472"/>
      <c r="E68" s="1608"/>
      <c r="F68" s="717"/>
      <c r="G68" s="1584"/>
      <c r="H68" s="50" t="s">
        <v>23</v>
      </c>
      <c r="I68" s="41"/>
      <c r="J68" s="61">
        <v>241.1</v>
      </c>
      <c r="K68" s="41">
        <v>429</v>
      </c>
      <c r="L68" s="41"/>
      <c r="M68" s="903"/>
      <c r="N68" s="916"/>
      <c r="O68" s="907"/>
      <c r="P68" s="908"/>
      <c r="Q68" s="913"/>
    </row>
    <row r="69" spans="1:17" ht="12.75" customHeight="1" x14ac:dyDescent="0.2">
      <c r="A69" s="559"/>
      <c r="B69" s="560"/>
      <c r="C69" s="218"/>
      <c r="D69" s="1472"/>
      <c r="E69" s="1608"/>
      <c r="F69" s="717"/>
      <c r="G69" s="1584"/>
      <c r="H69" s="50" t="s">
        <v>41</v>
      </c>
      <c r="I69" s="41"/>
      <c r="J69" s="61">
        <v>251.6</v>
      </c>
      <c r="K69" s="41">
        <v>912.9</v>
      </c>
      <c r="L69" s="41"/>
      <c r="M69" s="903"/>
      <c r="N69" s="916"/>
      <c r="O69" s="907"/>
      <c r="P69" s="908"/>
      <c r="Q69" s="913"/>
    </row>
    <row r="70" spans="1:17" ht="12.75" customHeight="1" x14ac:dyDescent="0.2">
      <c r="A70" s="629"/>
      <c r="B70" s="630"/>
      <c r="C70" s="218"/>
      <c r="D70" s="1472"/>
      <c r="E70" s="1608"/>
      <c r="F70" s="717"/>
      <c r="G70" s="1584"/>
      <c r="H70" s="50" t="s">
        <v>45</v>
      </c>
      <c r="I70" s="41"/>
      <c r="J70" s="61">
        <v>500</v>
      </c>
      <c r="K70" s="41"/>
      <c r="L70" s="41"/>
      <c r="M70" s="903"/>
      <c r="N70" s="916"/>
      <c r="O70" s="907"/>
      <c r="P70" s="908"/>
      <c r="Q70" s="913"/>
    </row>
    <row r="71" spans="1:17" ht="15.75" customHeight="1" x14ac:dyDescent="0.2">
      <c r="A71" s="559"/>
      <c r="B71" s="560"/>
      <c r="C71" s="878"/>
      <c r="D71" s="1612"/>
      <c r="E71" s="1650"/>
      <c r="F71" s="718"/>
      <c r="G71" s="1652"/>
      <c r="H71" s="75" t="s">
        <v>42</v>
      </c>
      <c r="I71" s="876"/>
      <c r="J71" s="93"/>
      <c r="K71" s="911">
        <v>40</v>
      </c>
      <c r="L71" s="911"/>
      <c r="M71" s="906"/>
      <c r="N71" s="15"/>
      <c r="O71" s="164"/>
      <c r="P71" s="32"/>
      <c r="Q71" s="16"/>
    </row>
    <row r="72" spans="1:17" ht="15" customHeight="1" x14ac:dyDescent="0.2">
      <c r="A72" s="629"/>
      <c r="B72" s="632"/>
      <c r="C72" s="199"/>
      <c r="D72" s="875" t="s">
        <v>142</v>
      </c>
      <c r="E72" s="1328" t="s">
        <v>278</v>
      </c>
      <c r="F72" s="1594"/>
      <c r="G72" s="1569"/>
      <c r="H72" s="50" t="s">
        <v>23</v>
      </c>
      <c r="I72" s="41"/>
      <c r="J72" s="61"/>
      <c r="K72" s="41">
        <v>52</v>
      </c>
      <c r="L72" s="41"/>
      <c r="M72" s="1375" t="s">
        <v>230</v>
      </c>
      <c r="N72" s="260"/>
      <c r="O72" s="260"/>
      <c r="P72" s="428">
        <v>1</v>
      </c>
      <c r="Q72" s="177"/>
    </row>
    <row r="73" spans="1:17" ht="14.25" customHeight="1" x14ac:dyDescent="0.2">
      <c r="A73" s="629"/>
      <c r="B73" s="632"/>
      <c r="C73" s="199"/>
      <c r="D73" s="875"/>
      <c r="E73" s="1328"/>
      <c r="F73" s="1595"/>
      <c r="G73" s="1569"/>
      <c r="H73" s="50" t="s">
        <v>54</v>
      </c>
      <c r="I73" s="41">
        <v>1.5</v>
      </c>
      <c r="J73" s="61"/>
      <c r="K73" s="41"/>
      <c r="L73" s="41"/>
      <c r="M73" s="1588"/>
      <c r="N73" s="260"/>
      <c r="O73" s="260"/>
      <c r="P73" s="260"/>
      <c r="Q73" s="177"/>
    </row>
    <row r="74" spans="1:17" ht="12" customHeight="1" x14ac:dyDescent="0.2">
      <c r="A74" s="888"/>
      <c r="B74" s="889"/>
      <c r="C74" s="893"/>
      <c r="D74" s="891"/>
      <c r="E74" s="887"/>
      <c r="F74" s="890"/>
      <c r="G74" s="892"/>
      <c r="H74" s="31"/>
      <c r="I74" s="41"/>
      <c r="J74" s="61"/>
      <c r="K74" s="41"/>
      <c r="L74" s="41"/>
      <c r="M74" s="894"/>
      <c r="N74" s="15"/>
      <c r="O74" s="164"/>
      <c r="P74" s="32"/>
      <c r="Q74" s="16"/>
    </row>
    <row r="75" spans="1:17" ht="14.25" customHeight="1" x14ac:dyDescent="0.2">
      <c r="A75" s="559"/>
      <c r="B75" s="560"/>
      <c r="C75" s="574"/>
      <c r="D75" s="747" t="s">
        <v>316</v>
      </c>
      <c r="E75" s="1608" t="s">
        <v>237</v>
      </c>
      <c r="F75" s="715" t="s">
        <v>291</v>
      </c>
      <c r="G75" s="1569" t="s">
        <v>328</v>
      </c>
      <c r="H75" s="54" t="s">
        <v>54</v>
      </c>
      <c r="I75" s="377">
        <v>10</v>
      </c>
      <c r="J75" s="483">
        <v>17</v>
      </c>
      <c r="K75" s="377"/>
      <c r="L75" s="377"/>
      <c r="M75" s="895" t="s">
        <v>74</v>
      </c>
      <c r="N75" s="445"/>
      <c r="O75" s="446">
        <v>1</v>
      </c>
      <c r="P75" s="571"/>
      <c r="Q75" s="580"/>
    </row>
    <row r="76" spans="1:17" ht="14.25" customHeight="1" x14ac:dyDescent="0.2">
      <c r="A76" s="559"/>
      <c r="B76" s="560"/>
      <c r="C76" s="574"/>
      <c r="D76" s="747"/>
      <c r="E76" s="1608"/>
      <c r="F76" s="717"/>
      <c r="G76" s="1569"/>
      <c r="H76" s="182" t="s">
        <v>23</v>
      </c>
      <c r="I76" s="41"/>
      <c r="J76" s="132">
        <v>53.6</v>
      </c>
      <c r="K76" s="41">
        <v>50.6</v>
      </c>
      <c r="L76" s="41">
        <v>53.8</v>
      </c>
      <c r="M76" s="625" t="s">
        <v>288</v>
      </c>
      <c r="N76" s="584"/>
      <c r="O76" s="570">
        <v>30</v>
      </c>
      <c r="P76" s="571">
        <v>60</v>
      </c>
      <c r="Q76" s="580">
        <v>100</v>
      </c>
    </row>
    <row r="77" spans="1:17" ht="14.25" customHeight="1" x14ac:dyDescent="0.2">
      <c r="A77" s="629"/>
      <c r="B77" s="630"/>
      <c r="C77" s="641"/>
      <c r="D77" s="756"/>
      <c r="E77" s="1608"/>
      <c r="F77" s="717"/>
      <c r="G77" s="1569"/>
      <c r="H77" s="75" t="s">
        <v>79</v>
      </c>
      <c r="I77" s="378"/>
      <c r="J77" s="93">
        <v>100</v>
      </c>
      <c r="K77" s="378">
        <v>100</v>
      </c>
      <c r="L77" s="378">
        <v>100</v>
      </c>
      <c r="M77" s="14"/>
      <c r="N77" s="15"/>
      <c r="O77" s="164"/>
      <c r="P77" s="32"/>
      <c r="Q77" s="16"/>
    </row>
    <row r="78" spans="1:17" ht="28.5" customHeight="1" x14ac:dyDescent="0.2">
      <c r="A78" s="631"/>
      <c r="B78" s="632"/>
      <c r="C78" s="200"/>
      <c r="D78" s="1472" t="s">
        <v>317</v>
      </c>
      <c r="E78" s="1382" t="s">
        <v>387</v>
      </c>
      <c r="F78" s="617"/>
      <c r="G78" s="1569"/>
      <c r="H78" s="865" t="s">
        <v>23</v>
      </c>
      <c r="I78" s="865"/>
      <c r="J78" s="865">
        <v>174.6</v>
      </c>
      <c r="K78" s="865">
        <v>105.9</v>
      </c>
      <c r="L78" s="865"/>
      <c r="M78" s="135" t="s">
        <v>290</v>
      </c>
      <c r="N78" s="612"/>
      <c r="O78" s="170">
        <v>70</v>
      </c>
      <c r="P78" s="295">
        <v>100</v>
      </c>
      <c r="Q78" s="171"/>
    </row>
    <row r="79" spans="1:17" ht="29.25" customHeight="1" x14ac:dyDescent="0.2">
      <c r="A79" s="631"/>
      <c r="B79" s="632"/>
      <c r="C79" s="200"/>
      <c r="D79" s="1472"/>
      <c r="E79" s="1383"/>
      <c r="F79" s="141"/>
      <c r="G79" s="1569"/>
      <c r="H79" s="43" t="s">
        <v>42</v>
      </c>
      <c r="I79" s="43"/>
      <c r="J79" s="43">
        <v>72.5</v>
      </c>
      <c r="K79" s="867"/>
      <c r="L79" s="867"/>
      <c r="M79" s="676" t="s">
        <v>289</v>
      </c>
      <c r="N79" s="116"/>
      <c r="O79" s="168">
        <v>70</v>
      </c>
      <c r="P79" s="100">
        <v>100</v>
      </c>
      <c r="Q79" s="18"/>
    </row>
    <row r="80" spans="1:17" ht="15.75" customHeight="1" x14ac:dyDescent="0.2">
      <c r="A80" s="863"/>
      <c r="B80" s="860"/>
      <c r="C80" s="200"/>
      <c r="D80" s="861"/>
      <c r="E80" s="862"/>
      <c r="F80" s="141"/>
      <c r="G80" s="864"/>
      <c r="H80" s="41" t="s">
        <v>23</v>
      </c>
      <c r="I80" s="41"/>
      <c r="J80" s="41"/>
      <c r="K80" s="241"/>
      <c r="L80" s="41">
        <v>160</v>
      </c>
      <c r="M80" s="1375" t="s">
        <v>336</v>
      </c>
      <c r="N80" s="245"/>
      <c r="O80" s="372"/>
      <c r="P80" s="246"/>
      <c r="Q80" s="120">
        <v>50</v>
      </c>
    </row>
    <row r="81" spans="1:18" ht="15" customHeight="1" x14ac:dyDescent="0.2">
      <c r="A81" s="631"/>
      <c r="B81" s="632"/>
      <c r="C81" s="200"/>
      <c r="D81" s="974"/>
      <c r="E81" s="684"/>
      <c r="F81" s="141"/>
      <c r="G81" s="611"/>
      <c r="H81" s="378" t="s">
        <v>42</v>
      </c>
      <c r="I81" s="378"/>
      <c r="J81" s="378"/>
      <c r="K81" s="858"/>
      <c r="L81" s="866">
        <v>60</v>
      </c>
      <c r="M81" s="1610"/>
      <c r="N81" s="15"/>
      <c r="O81" s="164"/>
      <c r="P81" s="32"/>
      <c r="Q81" s="16"/>
    </row>
    <row r="82" spans="1:18" ht="16.5" customHeight="1" x14ac:dyDescent="0.2">
      <c r="A82" s="629"/>
      <c r="B82" s="630"/>
      <c r="C82" s="641"/>
      <c r="D82" s="972" t="s">
        <v>318</v>
      </c>
      <c r="E82" s="1384" t="s">
        <v>166</v>
      </c>
      <c r="F82" s="64"/>
      <c r="G82" s="640"/>
      <c r="H82" s="50" t="s">
        <v>23</v>
      </c>
      <c r="I82" s="41"/>
      <c r="J82" s="61">
        <v>25</v>
      </c>
      <c r="K82" s="41"/>
      <c r="L82" s="41"/>
      <c r="M82" s="672" t="s">
        <v>43</v>
      </c>
      <c r="N82" s="1266"/>
      <c r="O82" s="1289">
        <v>1</v>
      </c>
      <c r="P82" s="901"/>
      <c r="Q82" s="1267"/>
    </row>
    <row r="83" spans="1:18" ht="25.5" customHeight="1" x14ac:dyDescent="0.2">
      <c r="A83" s="629"/>
      <c r="B83" s="630"/>
      <c r="C83" s="641"/>
      <c r="D83" s="974"/>
      <c r="E83" s="1549"/>
      <c r="F83" s="253"/>
      <c r="G83" s="640"/>
      <c r="H83" s="53" t="s">
        <v>79</v>
      </c>
      <c r="I83" s="378"/>
      <c r="J83" s="919"/>
      <c r="K83" s="319"/>
      <c r="L83" s="319">
        <v>100</v>
      </c>
      <c r="M83" s="1258" t="s">
        <v>411</v>
      </c>
      <c r="N83" s="628"/>
      <c r="O83" s="1262"/>
      <c r="P83" s="99"/>
      <c r="Q83" s="1281">
        <v>10</v>
      </c>
    </row>
    <row r="84" spans="1:18" ht="17.25" customHeight="1" x14ac:dyDescent="0.2">
      <c r="A84" s="904"/>
      <c r="B84" s="905"/>
      <c r="C84" s="909"/>
      <c r="D84" s="968" t="s">
        <v>319</v>
      </c>
      <c r="E84" s="1384" t="s">
        <v>388</v>
      </c>
      <c r="F84" s="1572"/>
      <c r="G84" s="1569" t="s">
        <v>328</v>
      </c>
      <c r="H84" s="54" t="s">
        <v>23</v>
      </c>
      <c r="I84" s="910"/>
      <c r="J84" s="483">
        <v>25</v>
      </c>
      <c r="K84" s="921">
        <v>125</v>
      </c>
      <c r="L84" s="409"/>
      <c r="M84" s="429" t="s">
        <v>74</v>
      </c>
      <c r="N84" s="445"/>
      <c r="O84" s="446">
        <v>1</v>
      </c>
      <c r="P84" s="908"/>
      <c r="Q84" s="899"/>
    </row>
    <row r="85" spans="1:18" ht="17.25" customHeight="1" x14ac:dyDescent="0.2">
      <c r="A85" s="904"/>
      <c r="B85" s="905"/>
      <c r="C85" s="909"/>
      <c r="D85" s="974"/>
      <c r="E85" s="1385"/>
      <c r="F85" s="1573"/>
      <c r="G85" s="1569"/>
      <c r="H85" s="315"/>
      <c r="I85" s="911"/>
      <c r="J85" s="28"/>
      <c r="K85" s="911"/>
      <c r="L85" s="911"/>
      <c r="M85" s="917" t="s">
        <v>323</v>
      </c>
      <c r="N85" s="15"/>
      <c r="O85" s="164"/>
      <c r="P85" s="32">
        <v>100</v>
      </c>
      <c r="Q85" s="16"/>
    </row>
    <row r="86" spans="1:18" ht="24" customHeight="1" x14ac:dyDescent="0.2">
      <c r="A86" s="1355"/>
      <c r="B86" s="1378"/>
      <c r="C86" s="839"/>
      <c r="D86" s="1611" t="s">
        <v>368</v>
      </c>
      <c r="E86" s="1400" t="s">
        <v>325</v>
      </c>
      <c r="F86" s="1653" t="s">
        <v>85</v>
      </c>
      <c r="G86" s="1569"/>
      <c r="H86" s="160" t="s">
        <v>78</v>
      </c>
      <c r="I86" s="375">
        <v>328.7</v>
      </c>
      <c r="J86" s="73">
        <v>328.7</v>
      </c>
      <c r="K86" s="837"/>
      <c r="L86" s="837"/>
      <c r="M86" s="834" t="s">
        <v>171</v>
      </c>
      <c r="N86" s="835">
        <v>1</v>
      </c>
      <c r="O86" s="468" t="s">
        <v>49</v>
      </c>
      <c r="P86" s="468"/>
      <c r="Q86" s="225"/>
    </row>
    <row r="87" spans="1:18" ht="15.75" customHeight="1" x14ac:dyDescent="0.2">
      <c r="A87" s="1355"/>
      <c r="B87" s="1378"/>
      <c r="C87" s="839"/>
      <c r="D87" s="1612"/>
      <c r="E87" s="1401"/>
      <c r="F87" s="1654"/>
      <c r="G87" s="1569"/>
      <c r="H87" s="30"/>
      <c r="I87" s="376"/>
      <c r="J87" s="93"/>
      <c r="K87" s="838"/>
      <c r="L87" s="838"/>
      <c r="M87" s="234"/>
      <c r="N87" s="15"/>
      <c r="O87" s="469"/>
      <c r="P87" s="469"/>
      <c r="Q87" s="228"/>
    </row>
    <row r="88" spans="1:18" ht="21.75" customHeight="1" x14ac:dyDescent="0.2">
      <c r="A88" s="937"/>
      <c r="B88" s="938"/>
      <c r="C88" s="218"/>
      <c r="D88" s="972" t="s">
        <v>369</v>
      </c>
      <c r="E88" s="1328" t="s">
        <v>194</v>
      </c>
      <c r="F88" s="1658" t="s">
        <v>173</v>
      </c>
      <c r="G88" s="371"/>
      <c r="H88" s="182" t="s">
        <v>54</v>
      </c>
      <c r="I88" s="41">
        <v>100</v>
      </c>
      <c r="J88" s="61">
        <v>1.6</v>
      </c>
      <c r="K88" s="143"/>
      <c r="L88" s="143"/>
      <c r="M88" s="1412" t="s">
        <v>43</v>
      </c>
      <c r="N88" s="1024">
        <v>1</v>
      </c>
      <c r="O88" s="1021">
        <v>1</v>
      </c>
      <c r="P88" s="1022"/>
      <c r="Q88" s="1023"/>
      <c r="R88" s="1547"/>
    </row>
    <row r="89" spans="1:18" ht="17.25" customHeight="1" x14ac:dyDescent="0.2">
      <c r="A89" s="937"/>
      <c r="B89" s="938"/>
      <c r="C89" s="218"/>
      <c r="D89" s="974"/>
      <c r="E89" s="1396"/>
      <c r="F89" s="1573"/>
      <c r="G89" s="942"/>
      <c r="H89" s="75" t="s">
        <v>23</v>
      </c>
      <c r="I89" s="941">
        <f>10-10</f>
        <v>0</v>
      </c>
      <c r="J89" s="93"/>
      <c r="K89" s="432"/>
      <c r="L89" s="432"/>
      <c r="M89" s="1564"/>
      <c r="N89" s="15"/>
      <c r="O89" s="164"/>
      <c r="P89" s="32"/>
      <c r="Q89" s="16"/>
      <c r="R89" s="1548"/>
    </row>
    <row r="90" spans="1:18" ht="40.5" customHeight="1" x14ac:dyDescent="0.2">
      <c r="A90" s="1355"/>
      <c r="B90" s="1356"/>
      <c r="C90" s="1623"/>
      <c r="D90" s="972" t="s">
        <v>370</v>
      </c>
      <c r="E90" s="1327" t="s">
        <v>177</v>
      </c>
      <c r="F90" s="1655"/>
      <c r="G90" s="857" t="s">
        <v>327</v>
      </c>
      <c r="H90" s="665"/>
      <c r="I90" s="238"/>
      <c r="J90" s="392"/>
      <c r="K90" s="238"/>
      <c r="L90" s="238"/>
      <c r="M90" s="900" t="s">
        <v>283</v>
      </c>
      <c r="N90" s="844"/>
      <c r="O90" s="664">
        <v>1</v>
      </c>
      <c r="P90" s="846"/>
      <c r="Q90" s="848"/>
    </row>
    <row r="91" spans="1:18" ht="19.5" customHeight="1" x14ac:dyDescent="0.2">
      <c r="A91" s="1355"/>
      <c r="B91" s="1356"/>
      <c r="C91" s="1623"/>
      <c r="D91" s="934"/>
      <c r="E91" s="1328"/>
      <c r="F91" s="1656"/>
      <c r="G91" s="1598" t="s">
        <v>326</v>
      </c>
      <c r="H91" s="31" t="s">
        <v>23</v>
      </c>
      <c r="I91" s="41">
        <v>10</v>
      </c>
      <c r="J91" s="61"/>
      <c r="K91" s="41">
        <v>13.3</v>
      </c>
      <c r="L91" s="41">
        <v>3.2</v>
      </c>
      <c r="M91" s="828" t="s">
        <v>43</v>
      </c>
      <c r="N91" s="17"/>
      <c r="O91" s="168"/>
      <c r="P91" s="100">
        <v>1</v>
      </c>
      <c r="Q91" s="18"/>
    </row>
    <row r="92" spans="1:18" ht="21" customHeight="1" x14ac:dyDescent="0.2">
      <c r="A92" s="1355"/>
      <c r="B92" s="1356"/>
      <c r="C92" s="1623"/>
      <c r="D92" s="934"/>
      <c r="E92" s="1328"/>
      <c r="F92" s="1656"/>
      <c r="G92" s="1569"/>
      <c r="H92" s="50" t="s">
        <v>41</v>
      </c>
      <c r="I92" s="41"/>
      <c r="J92" s="61"/>
      <c r="K92" s="41"/>
      <c r="L92" s="41">
        <v>45.2</v>
      </c>
      <c r="M92" s="1407" t="s">
        <v>108</v>
      </c>
      <c r="N92" s="845"/>
      <c r="O92" s="842"/>
      <c r="P92" s="843"/>
      <c r="Q92" s="849">
        <v>50</v>
      </c>
    </row>
    <row r="93" spans="1:18" ht="18.75" customHeight="1" x14ac:dyDescent="0.2">
      <c r="A93" s="1355"/>
      <c r="B93" s="1356"/>
      <c r="C93" s="1623"/>
      <c r="D93" s="935"/>
      <c r="E93" s="1396"/>
      <c r="F93" s="1657"/>
      <c r="G93" s="1599"/>
      <c r="H93" s="75" t="s">
        <v>178</v>
      </c>
      <c r="I93" s="847"/>
      <c r="J93" s="93"/>
      <c r="K93" s="1166"/>
      <c r="L93" s="1166">
        <v>15.1</v>
      </c>
      <c r="M93" s="1408"/>
      <c r="N93" s="15"/>
      <c r="O93" s="164"/>
      <c r="P93" s="32"/>
      <c r="Q93" s="16"/>
    </row>
    <row r="94" spans="1:18" ht="23.25" customHeight="1" x14ac:dyDescent="0.2">
      <c r="A94" s="953"/>
      <c r="B94" s="952"/>
      <c r="C94" s="200"/>
      <c r="D94" s="968" t="s">
        <v>233</v>
      </c>
      <c r="E94" s="1392" t="s">
        <v>105</v>
      </c>
      <c r="F94" s="1656" t="s">
        <v>44</v>
      </c>
      <c r="G94" s="1565"/>
      <c r="H94" s="41" t="s">
        <v>54</v>
      </c>
      <c r="I94" s="1048">
        <v>83.9</v>
      </c>
      <c r="J94" s="1165">
        <v>10.7</v>
      </c>
      <c r="K94" s="1165"/>
      <c r="L94" s="1165"/>
      <c r="M94" s="1034" t="s">
        <v>349</v>
      </c>
      <c r="N94" s="1045">
        <v>1</v>
      </c>
      <c r="O94" s="1045">
        <v>1</v>
      </c>
      <c r="P94" s="666"/>
      <c r="Q94" s="957"/>
      <c r="R94" s="877"/>
    </row>
    <row r="95" spans="1:18" ht="12" customHeight="1" x14ac:dyDescent="0.2">
      <c r="A95" s="953"/>
      <c r="B95" s="951"/>
      <c r="C95" s="200"/>
      <c r="D95" s="934"/>
      <c r="E95" s="1392"/>
      <c r="F95" s="1656"/>
      <c r="G95" s="1565"/>
      <c r="H95" s="41"/>
      <c r="I95" s="1049"/>
      <c r="J95" s="1166"/>
      <c r="K95" s="1166"/>
      <c r="L95" s="1166"/>
      <c r="M95" s="1041"/>
      <c r="N95" s="32"/>
      <c r="O95" s="32"/>
      <c r="P95" s="1058"/>
      <c r="Q95" s="958"/>
    </row>
    <row r="96" spans="1:18" ht="17.25" customHeight="1" x14ac:dyDescent="0.2">
      <c r="A96" s="1036"/>
      <c r="B96" s="1037"/>
      <c r="C96" s="200"/>
      <c r="D96" s="1055" t="s">
        <v>371</v>
      </c>
      <c r="E96" s="1365" t="s">
        <v>158</v>
      </c>
      <c r="F96" s="426" t="s">
        <v>173</v>
      </c>
      <c r="G96" s="1056"/>
      <c r="H96" s="54" t="s">
        <v>42</v>
      </c>
      <c r="I96" s="41">
        <v>21.5</v>
      </c>
      <c r="J96" s="61">
        <v>4.9000000000000004</v>
      </c>
      <c r="K96" s="103"/>
      <c r="L96" s="103"/>
      <c r="M96" s="1042" t="s">
        <v>43</v>
      </c>
      <c r="N96" s="1040">
        <v>1</v>
      </c>
      <c r="O96" s="1040">
        <v>1</v>
      </c>
      <c r="P96" s="1040"/>
      <c r="Q96" s="1044"/>
    </row>
    <row r="97" spans="1:17" ht="18" customHeight="1" x14ac:dyDescent="0.2">
      <c r="A97" s="1036"/>
      <c r="B97" s="1037"/>
      <c r="C97" s="199"/>
      <c r="D97" s="935"/>
      <c r="E97" s="1367"/>
      <c r="F97" s="333"/>
      <c r="G97" s="1057"/>
      <c r="H97" s="53"/>
      <c r="I97" s="35"/>
      <c r="J97" s="247"/>
      <c r="K97" s="35"/>
      <c r="L97" s="35"/>
      <c r="M97" s="123"/>
      <c r="N97" s="32"/>
      <c r="O97" s="32"/>
      <c r="P97" s="32"/>
      <c r="Q97" s="16"/>
    </row>
    <row r="98" spans="1:17" ht="54" customHeight="1" x14ac:dyDescent="0.2">
      <c r="A98" s="1026"/>
      <c r="B98" s="1025"/>
      <c r="C98" s="200"/>
      <c r="D98" s="1027" t="s">
        <v>372</v>
      </c>
      <c r="E98" s="1033" t="s">
        <v>352</v>
      </c>
      <c r="F98" s="1028"/>
      <c r="G98" s="1029"/>
      <c r="H98" s="275" t="s">
        <v>23</v>
      </c>
      <c r="I98" s="1030"/>
      <c r="J98" s="353"/>
      <c r="K98" s="1030">
        <v>125</v>
      </c>
      <c r="L98" s="1030"/>
      <c r="M98" s="274" t="s">
        <v>393</v>
      </c>
      <c r="N98" s="1031"/>
      <c r="O98" s="1031"/>
      <c r="P98" s="473">
        <v>100</v>
      </c>
      <c r="Q98" s="1032"/>
    </row>
    <row r="99" spans="1:17" ht="13.5" customHeight="1" x14ac:dyDescent="0.2">
      <c r="A99" s="1036"/>
      <c r="B99" s="1051"/>
      <c r="C99" s="199"/>
      <c r="D99" s="1038" t="s">
        <v>373</v>
      </c>
      <c r="E99" s="1366" t="s">
        <v>232</v>
      </c>
      <c r="F99" s="1035"/>
      <c r="G99" s="1054"/>
      <c r="H99" s="50" t="s">
        <v>23</v>
      </c>
      <c r="I99" s="41">
        <v>28</v>
      </c>
      <c r="J99" s="61">
        <v>28</v>
      </c>
      <c r="K99" s="41">
        <v>28</v>
      </c>
      <c r="L99" s="41">
        <v>28</v>
      </c>
      <c r="M99" s="1372" t="s">
        <v>106</v>
      </c>
      <c r="N99" s="1046">
        <v>100</v>
      </c>
      <c r="O99" s="394">
        <v>100</v>
      </c>
      <c r="P99" s="1045">
        <v>100</v>
      </c>
      <c r="Q99" s="1043">
        <v>100</v>
      </c>
    </row>
    <row r="100" spans="1:17" ht="16.5" customHeight="1" x14ac:dyDescent="0.2">
      <c r="A100" s="1036"/>
      <c r="B100" s="1051"/>
      <c r="C100" s="199"/>
      <c r="D100" s="1038"/>
      <c r="E100" s="1383"/>
      <c r="F100" s="1035"/>
      <c r="G100" s="1053"/>
      <c r="H100" s="50"/>
      <c r="I100" s="41"/>
      <c r="J100" s="61"/>
      <c r="K100" s="41"/>
      <c r="L100" s="41"/>
      <c r="M100" s="1375"/>
      <c r="N100" s="1047"/>
      <c r="O100" s="1039"/>
      <c r="P100" s="1040"/>
      <c r="Q100" s="1044"/>
    </row>
    <row r="101" spans="1:17" s="6" customFormat="1" ht="27" customHeight="1" x14ac:dyDescent="0.2">
      <c r="A101" s="1036"/>
      <c r="B101" s="1051"/>
      <c r="C101" s="1050"/>
      <c r="D101" s="1052"/>
      <c r="E101" s="1406"/>
      <c r="F101" s="949"/>
      <c r="G101" s="611"/>
      <c r="H101" s="316"/>
      <c r="I101" s="186"/>
      <c r="J101" s="185"/>
      <c r="K101" s="186"/>
      <c r="L101" s="186"/>
      <c r="M101" s="1413"/>
      <c r="N101" s="450"/>
      <c r="O101" s="451"/>
      <c r="P101" s="685"/>
      <c r="Q101" s="452"/>
    </row>
    <row r="102" spans="1:17" ht="15" customHeight="1" x14ac:dyDescent="0.2">
      <c r="A102" s="1355"/>
      <c r="B102" s="1378"/>
      <c r="C102" s="840"/>
      <c r="D102" s="934"/>
      <c r="E102" s="1571" t="s">
        <v>114</v>
      </c>
      <c r="F102" s="1559" t="s">
        <v>85</v>
      </c>
      <c r="G102" s="652"/>
      <c r="H102" s="398" t="s">
        <v>23</v>
      </c>
      <c r="I102" s="143"/>
      <c r="J102" s="599"/>
      <c r="K102" s="143"/>
      <c r="L102" s="143"/>
      <c r="M102" s="1562" t="s">
        <v>74</v>
      </c>
      <c r="N102" s="653"/>
      <c r="O102" s="653"/>
      <c r="P102" s="428"/>
      <c r="Q102" s="261"/>
    </row>
    <row r="103" spans="1:17" ht="13.5" customHeight="1" x14ac:dyDescent="0.2">
      <c r="A103" s="1355"/>
      <c r="B103" s="1378"/>
      <c r="C103" s="840"/>
      <c r="D103" s="934"/>
      <c r="E103" s="1571"/>
      <c r="F103" s="1560"/>
      <c r="G103" s="652"/>
      <c r="H103" s="398"/>
      <c r="I103" s="143"/>
      <c r="J103" s="599"/>
      <c r="K103" s="143"/>
      <c r="L103" s="143"/>
      <c r="M103" s="1563"/>
      <c r="N103" s="653"/>
      <c r="O103" s="653"/>
      <c r="P103" s="428"/>
      <c r="Q103" s="261"/>
    </row>
    <row r="104" spans="1:17" ht="10.5" customHeight="1" x14ac:dyDescent="0.2">
      <c r="A104" s="1355"/>
      <c r="B104" s="1378"/>
      <c r="C104" s="840"/>
      <c r="D104" s="934"/>
      <c r="E104" s="1616"/>
      <c r="F104" s="1561"/>
      <c r="G104" s="652"/>
      <c r="H104" s="424"/>
      <c r="I104" s="654"/>
      <c r="J104" s="655"/>
      <c r="K104" s="654"/>
      <c r="L104" s="654"/>
      <c r="M104" s="1194"/>
      <c r="N104" s="381"/>
      <c r="O104" s="536"/>
      <c r="P104" s="948"/>
      <c r="Q104" s="20"/>
    </row>
    <row r="105" spans="1:17" ht="15" customHeight="1" x14ac:dyDescent="0.2">
      <c r="A105" s="629"/>
      <c r="B105" s="632"/>
      <c r="C105" s="836"/>
      <c r="D105" s="934"/>
      <c r="E105" s="1557" t="s">
        <v>154</v>
      </c>
      <c r="F105" s="733"/>
      <c r="G105" s="338"/>
      <c r="H105" s="50" t="s">
        <v>23</v>
      </c>
      <c r="I105" s="41"/>
      <c r="J105" s="61"/>
      <c r="K105" s="41"/>
      <c r="L105" s="41"/>
      <c r="M105" s="1195" t="s">
        <v>43</v>
      </c>
      <c r="N105" s="650"/>
      <c r="O105" s="650"/>
      <c r="P105" s="600"/>
      <c r="Q105" s="647"/>
    </row>
    <row r="106" spans="1:17" ht="12" customHeight="1" x14ac:dyDescent="0.2">
      <c r="A106" s="629"/>
      <c r="B106" s="632"/>
      <c r="C106" s="836"/>
      <c r="D106" s="934"/>
      <c r="E106" s="1558"/>
      <c r="F106" s="736"/>
      <c r="G106" s="338"/>
      <c r="H106" s="53"/>
      <c r="I106" s="378"/>
      <c r="J106" s="93"/>
      <c r="K106" s="378"/>
      <c r="L106" s="378"/>
      <c r="M106" s="220"/>
      <c r="N106" s="1058"/>
      <c r="O106" s="660"/>
      <c r="P106" s="381"/>
      <c r="Q106" s="16"/>
    </row>
    <row r="107" spans="1:17" ht="17.25" customHeight="1" x14ac:dyDescent="0.2">
      <c r="A107" s="629"/>
      <c r="B107" s="632"/>
      <c r="C107" s="201"/>
      <c r="D107" s="934"/>
      <c r="E107" s="1570" t="s">
        <v>155</v>
      </c>
      <c r="F107" s="1572"/>
      <c r="G107" s="1574"/>
      <c r="H107" s="54" t="s">
        <v>54</v>
      </c>
      <c r="I107" s="375">
        <v>0.8</v>
      </c>
      <c r="J107" s="206"/>
      <c r="K107" s="375"/>
      <c r="L107" s="375"/>
      <c r="M107" s="1193" t="s">
        <v>74</v>
      </c>
      <c r="N107" s="666">
        <v>1</v>
      </c>
      <c r="O107" s="1196"/>
      <c r="P107" s="1197"/>
      <c r="Q107" s="646"/>
    </row>
    <row r="108" spans="1:17" ht="24" customHeight="1" x14ac:dyDescent="0.2">
      <c r="A108" s="629"/>
      <c r="B108" s="632"/>
      <c r="C108" s="201"/>
      <c r="D108" s="934"/>
      <c r="E108" s="1571"/>
      <c r="F108" s="1573"/>
      <c r="G108" s="1574"/>
      <c r="H108" s="53" t="s">
        <v>23</v>
      </c>
      <c r="I108" s="370"/>
      <c r="J108" s="304"/>
      <c r="K108" s="370"/>
      <c r="L108" s="370"/>
      <c r="M108" s="1194"/>
      <c r="N108" s="1058"/>
      <c r="O108" s="660"/>
      <c r="P108" s="381"/>
      <c r="Q108" s="16"/>
    </row>
    <row r="109" spans="1:17" ht="16.5" customHeight="1" x14ac:dyDescent="0.2">
      <c r="A109" s="629"/>
      <c r="B109" s="630"/>
      <c r="C109" s="641"/>
      <c r="D109" s="934"/>
      <c r="E109" s="1580" t="s">
        <v>103</v>
      </c>
      <c r="F109" s="1566" t="s">
        <v>292</v>
      </c>
      <c r="G109" s="1569"/>
      <c r="H109" s="50" t="s">
        <v>54</v>
      </c>
      <c r="I109" s="41">
        <v>18.2</v>
      </c>
      <c r="J109" s="73"/>
      <c r="K109" s="377"/>
      <c r="L109" s="377"/>
      <c r="M109" s="1198" t="s">
        <v>43</v>
      </c>
      <c r="N109" s="670">
        <v>1</v>
      </c>
      <c r="O109" s="1199"/>
      <c r="P109" s="1200"/>
      <c r="Q109" s="393"/>
    </row>
    <row r="110" spans="1:17" ht="21" customHeight="1" x14ac:dyDescent="0.2">
      <c r="A110" s="629"/>
      <c r="B110" s="630"/>
      <c r="C110" s="218"/>
      <c r="D110" s="934"/>
      <c r="E110" s="1581"/>
      <c r="F110" s="1567"/>
      <c r="G110" s="1569"/>
      <c r="H110" s="50"/>
      <c r="I110" s="41"/>
      <c r="J110" s="61"/>
      <c r="K110" s="41"/>
      <c r="L110" s="41"/>
      <c r="M110" s="1195"/>
      <c r="N110" s="667"/>
      <c r="O110" s="1201"/>
      <c r="P110" s="535"/>
      <c r="Q110" s="177"/>
    </row>
    <row r="111" spans="1:17" ht="16.5" customHeight="1" x14ac:dyDescent="0.2">
      <c r="A111" s="629"/>
      <c r="B111" s="630"/>
      <c r="C111" s="218"/>
      <c r="D111" s="934"/>
      <c r="E111" s="1582"/>
      <c r="F111" s="1568"/>
      <c r="G111" s="1569"/>
      <c r="H111" s="53"/>
      <c r="I111" s="378"/>
      <c r="J111" s="93"/>
      <c r="K111" s="378"/>
      <c r="L111" s="378"/>
      <c r="M111" s="220"/>
      <c r="N111" s="1058"/>
      <c r="O111" s="660"/>
      <c r="P111" s="381"/>
      <c r="Q111" s="16"/>
    </row>
    <row r="112" spans="1:17" ht="15" customHeight="1" x14ac:dyDescent="0.2">
      <c r="A112" s="629"/>
      <c r="B112" s="630"/>
      <c r="C112" s="641"/>
      <c r="D112" s="934"/>
      <c r="E112" s="1550" t="s">
        <v>53</v>
      </c>
      <c r="F112" s="714" t="s">
        <v>291</v>
      </c>
      <c r="G112" s="652"/>
      <c r="H112" s="533" t="s">
        <v>79</v>
      </c>
      <c r="I112" s="533">
        <v>0</v>
      </c>
      <c r="J112" s="648"/>
      <c r="K112" s="533"/>
      <c r="L112" s="533"/>
      <c r="M112" s="1555" t="s">
        <v>140</v>
      </c>
      <c r="N112" s="666">
        <v>100</v>
      </c>
      <c r="O112" s="1196"/>
      <c r="P112" s="1197"/>
      <c r="Q112" s="646"/>
    </row>
    <row r="113" spans="1:18" ht="15" customHeight="1" x14ac:dyDescent="0.2">
      <c r="A113" s="629"/>
      <c r="B113" s="630"/>
      <c r="C113" s="641"/>
      <c r="D113" s="934"/>
      <c r="E113" s="1551"/>
      <c r="F113" s="716"/>
      <c r="G113" s="652"/>
      <c r="H113" s="432" t="s">
        <v>45</v>
      </c>
      <c r="I113" s="432">
        <v>1300</v>
      </c>
      <c r="J113" s="944"/>
      <c r="K113" s="432"/>
      <c r="L113" s="432"/>
      <c r="M113" s="1556"/>
      <c r="N113" s="600"/>
      <c r="O113" s="1202"/>
      <c r="P113" s="650"/>
      <c r="Q113" s="647"/>
    </row>
    <row r="114" spans="1:18" ht="14.25" customHeight="1" x14ac:dyDescent="0.2">
      <c r="A114" s="629"/>
      <c r="B114" s="630"/>
      <c r="C114" s="641"/>
      <c r="D114" s="934"/>
      <c r="E114" s="1550" t="s">
        <v>394</v>
      </c>
      <c r="F114" s="714" t="s">
        <v>291</v>
      </c>
      <c r="G114" s="1552"/>
      <c r="H114" s="423" t="s">
        <v>79</v>
      </c>
      <c r="I114" s="533">
        <f>845.7+10-200+320.6-71</f>
        <v>905.3</v>
      </c>
      <c r="J114" s="648"/>
      <c r="K114" s="533"/>
      <c r="L114" s="533"/>
      <c r="M114" s="1553" t="s">
        <v>141</v>
      </c>
      <c r="N114" s="670">
        <v>100</v>
      </c>
      <c r="O114" s="1199"/>
      <c r="P114" s="1200"/>
      <c r="Q114" s="393"/>
    </row>
    <row r="115" spans="1:18" ht="12.75" customHeight="1" x14ac:dyDescent="0.2">
      <c r="A115" s="629"/>
      <c r="B115" s="630"/>
      <c r="C115" s="641"/>
      <c r="D115" s="934"/>
      <c r="E115" s="1551"/>
      <c r="F115" s="1615"/>
      <c r="G115" s="1552"/>
      <c r="H115" s="669" t="s">
        <v>23</v>
      </c>
      <c r="I115" s="668">
        <f>81.9-7.9</f>
        <v>74</v>
      </c>
      <c r="J115" s="599"/>
      <c r="K115" s="143"/>
      <c r="L115" s="143"/>
      <c r="M115" s="1554"/>
      <c r="N115" s="667"/>
      <c r="O115" s="1201"/>
      <c r="P115" s="535"/>
      <c r="Q115" s="177"/>
    </row>
    <row r="116" spans="1:18" ht="9" customHeight="1" x14ac:dyDescent="0.2">
      <c r="A116" s="629"/>
      <c r="B116" s="630"/>
      <c r="C116" s="641"/>
      <c r="D116" s="934"/>
      <c r="E116" s="1551"/>
      <c r="F116" s="1615"/>
      <c r="G116" s="1552"/>
      <c r="H116" s="945"/>
      <c r="I116" s="946"/>
      <c r="J116" s="944"/>
      <c r="K116" s="432"/>
      <c r="L116" s="432"/>
      <c r="M116" s="947"/>
      <c r="N116" s="948"/>
      <c r="O116" s="286"/>
      <c r="P116" s="99"/>
      <c r="Q116" s="20"/>
      <c r="R116" s="435"/>
    </row>
    <row r="117" spans="1:18" ht="16.5" customHeight="1" x14ac:dyDescent="0.2">
      <c r="A117" s="559"/>
      <c r="B117" s="562"/>
      <c r="C117" s="201"/>
      <c r="D117" s="934"/>
      <c r="E117" s="1570" t="s">
        <v>402</v>
      </c>
      <c r="F117" s="1572" t="s">
        <v>44</v>
      </c>
      <c r="G117" s="1574"/>
      <c r="H117" s="50"/>
      <c r="I117" s="42"/>
      <c r="J117" s="184"/>
      <c r="K117" s="42"/>
      <c r="L117" s="42"/>
      <c r="M117" s="337"/>
      <c r="N117" s="584"/>
      <c r="O117" s="570"/>
      <c r="P117" s="571"/>
      <c r="Q117" s="580"/>
    </row>
    <row r="118" spans="1:18" ht="17.25" customHeight="1" x14ac:dyDescent="0.2">
      <c r="A118" s="559"/>
      <c r="B118" s="560"/>
      <c r="C118" s="897"/>
      <c r="D118" s="934"/>
      <c r="E118" s="1616"/>
      <c r="F118" s="1573"/>
      <c r="G118" s="1575"/>
      <c r="H118" s="315"/>
      <c r="I118" s="378"/>
      <c r="J118" s="93"/>
      <c r="K118" s="378"/>
      <c r="L118" s="378"/>
      <c r="M118" s="14"/>
      <c r="N118" s="15"/>
      <c r="O118" s="164"/>
      <c r="P118" s="32"/>
      <c r="Q118" s="16"/>
    </row>
    <row r="119" spans="1:18" ht="15.75" customHeight="1" x14ac:dyDescent="0.2">
      <c r="A119" s="559"/>
      <c r="B119" s="562"/>
      <c r="C119" s="200"/>
      <c r="D119" s="677" t="s">
        <v>374</v>
      </c>
      <c r="E119" s="959" t="s">
        <v>337</v>
      </c>
      <c r="F119" s="678"/>
      <c r="G119" s="679"/>
      <c r="H119" s="680"/>
      <c r="I119" s="680"/>
      <c r="J119" s="680"/>
      <c r="K119" s="680"/>
      <c r="L119" s="680"/>
      <c r="M119" s="681"/>
      <c r="N119" s="419"/>
      <c r="O119" s="682"/>
      <c r="P119" s="419"/>
      <c r="Q119" s="683"/>
    </row>
    <row r="120" spans="1:18" ht="26.25" customHeight="1" x14ac:dyDescent="0.2">
      <c r="A120" s="1184"/>
      <c r="B120" s="1185"/>
      <c r="C120" s="200"/>
      <c r="D120" s="116" t="s">
        <v>49</v>
      </c>
      <c r="E120" s="390" t="s">
        <v>390</v>
      </c>
      <c r="F120" s="1189"/>
      <c r="G120" s="1192"/>
      <c r="H120" s="41" t="s">
        <v>79</v>
      </c>
      <c r="I120" s="40"/>
      <c r="J120" s="41">
        <f>1000-250</f>
        <v>750</v>
      </c>
      <c r="K120" s="41"/>
      <c r="L120" s="41"/>
      <c r="M120" s="1187" t="s">
        <v>60</v>
      </c>
      <c r="N120" s="132"/>
      <c r="O120" s="61">
        <v>3.6</v>
      </c>
      <c r="P120" s="132"/>
      <c r="Q120" s="26"/>
      <c r="R120" s="1191"/>
    </row>
    <row r="121" spans="1:18" ht="15" customHeight="1" x14ac:dyDescent="0.2">
      <c r="A121" s="1184"/>
      <c r="B121" s="1185"/>
      <c r="C121" s="200"/>
      <c r="D121" s="116" t="s">
        <v>298</v>
      </c>
      <c r="E121" s="390" t="s">
        <v>214</v>
      </c>
      <c r="F121" s="1189"/>
      <c r="G121" s="1192"/>
      <c r="H121" s="41"/>
      <c r="I121" s="41"/>
      <c r="J121" s="41"/>
      <c r="K121" s="41"/>
      <c r="L121" s="41"/>
      <c r="M121" s="1187"/>
      <c r="N121" s="132"/>
      <c r="O121" s="61"/>
      <c r="P121" s="132"/>
      <c r="Q121" s="26"/>
      <c r="R121" s="870"/>
    </row>
    <row r="122" spans="1:18" ht="26.25" customHeight="1" x14ac:dyDescent="0.2">
      <c r="A122" s="1184"/>
      <c r="B122" s="1185"/>
      <c r="C122" s="200"/>
      <c r="D122" s="116" t="s">
        <v>339</v>
      </c>
      <c r="E122" s="134" t="s">
        <v>215</v>
      </c>
      <c r="F122" s="1189"/>
      <c r="G122" s="1192"/>
      <c r="H122" s="41"/>
      <c r="I122" s="41"/>
      <c r="J122" s="41"/>
      <c r="K122" s="41"/>
      <c r="L122" s="41"/>
      <c r="M122" s="1187"/>
      <c r="N122" s="132"/>
      <c r="O122" s="61"/>
      <c r="P122" s="132"/>
      <c r="Q122" s="26"/>
    </row>
    <row r="123" spans="1:18" ht="15.75" customHeight="1" x14ac:dyDescent="0.2">
      <c r="A123" s="1184"/>
      <c r="B123" s="1185"/>
      <c r="C123" s="218"/>
      <c r="D123" s="116" t="s">
        <v>340</v>
      </c>
      <c r="E123" s="134" t="s">
        <v>255</v>
      </c>
      <c r="F123" s="1189"/>
      <c r="G123" s="1192"/>
      <c r="H123" s="41"/>
      <c r="I123" s="41"/>
      <c r="J123" s="41"/>
      <c r="K123" s="41"/>
      <c r="L123" s="41"/>
      <c r="M123" s="1187"/>
      <c r="N123" s="132"/>
      <c r="O123" s="61"/>
      <c r="P123" s="132"/>
      <c r="Q123" s="26"/>
    </row>
    <row r="124" spans="1:18" ht="14.25" customHeight="1" x14ac:dyDescent="0.2">
      <c r="A124" s="1184"/>
      <c r="B124" s="1185"/>
      <c r="C124" s="218"/>
      <c r="D124" s="116" t="s">
        <v>40</v>
      </c>
      <c r="E124" s="1186" t="s">
        <v>395</v>
      </c>
      <c r="F124" s="1189"/>
      <c r="G124" s="1192"/>
      <c r="H124" s="41"/>
      <c r="I124" s="41"/>
      <c r="J124" s="41"/>
      <c r="K124" s="41"/>
      <c r="L124" s="41"/>
      <c r="M124" s="1187"/>
      <c r="N124" s="132"/>
      <c r="O124" s="61"/>
      <c r="P124" s="132"/>
      <c r="Q124" s="26"/>
    </row>
    <row r="125" spans="1:18" ht="15" customHeight="1" x14ac:dyDescent="0.2">
      <c r="A125" s="559"/>
      <c r="B125" s="562"/>
      <c r="C125" s="1635" t="s">
        <v>131</v>
      </c>
      <c r="D125" s="116" t="s">
        <v>34</v>
      </c>
      <c r="E125" s="179" t="s">
        <v>392</v>
      </c>
      <c r="F125" s="744"/>
      <c r="G125" s="1569" t="s">
        <v>330</v>
      </c>
      <c r="H125" s="41" t="s">
        <v>79</v>
      </c>
      <c r="I125" s="40"/>
      <c r="J125" s="41">
        <v>17</v>
      </c>
      <c r="K125" s="41"/>
      <c r="L125" s="41"/>
      <c r="M125" s="1187" t="s">
        <v>256</v>
      </c>
      <c r="N125" s="132"/>
      <c r="O125" s="61">
        <v>1</v>
      </c>
      <c r="P125" s="132"/>
      <c r="Q125" s="26"/>
      <c r="R125" s="868"/>
    </row>
    <row r="126" spans="1:18" ht="27.75" customHeight="1" x14ac:dyDescent="0.2">
      <c r="A126" s="559"/>
      <c r="B126" s="562"/>
      <c r="C126" s="1635"/>
      <c r="D126" s="116" t="s">
        <v>341</v>
      </c>
      <c r="E126" s="390" t="s">
        <v>295</v>
      </c>
      <c r="F126" s="744"/>
      <c r="G126" s="1584"/>
      <c r="H126" s="41" t="s">
        <v>54</v>
      </c>
      <c r="I126" s="40"/>
      <c r="J126" s="41">
        <v>40</v>
      </c>
      <c r="K126" s="41"/>
      <c r="L126" s="41"/>
      <c r="M126" s="1187"/>
      <c r="N126" s="132"/>
      <c r="O126" s="61"/>
      <c r="P126" s="132"/>
      <c r="Q126" s="26"/>
      <c r="R126" s="870"/>
    </row>
    <row r="127" spans="1:18" ht="15" customHeight="1" x14ac:dyDescent="0.2">
      <c r="A127" s="559"/>
      <c r="B127" s="562"/>
      <c r="C127" s="1635"/>
      <c r="D127" s="116" t="s">
        <v>179</v>
      </c>
      <c r="E127" s="390" t="s">
        <v>132</v>
      </c>
      <c r="F127" s="744"/>
      <c r="G127" s="1584"/>
      <c r="H127" s="1190"/>
      <c r="I127" s="1190"/>
      <c r="J127" s="1190"/>
      <c r="K127" s="1190"/>
      <c r="L127" s="1190"/>
      <c r="M127" s="1188"/>
      <c r="N127" s="28"/>
      <c r="O127" s="93"/>
      <c r="P127" s="28"/>
      <c r="Q127" s="29"/>
      <c r="R127" s="870"/>
    </row>
    <row r="128" spans="1:18" ht="29.25" customHeight="1" x14ac:dyDescent="0.2">
      <c r="A128" s="559"/>
      <c r="B128" s="562"/>
      <c r="C128" s="1634" t="s">
        <v>188</v>
      </c>
      <c r="D128" s="1685"/>
      <c r="E128" s="545" t="s">
        <v>258</v>
      </c>
      <c r="F128" s="744"/>
      <c r="G128" s="572"/>
      <c r="H128" s="41" t="s">
        <v>79</v>
      </c>
      <c r="I128" s="40"/>
      <c r="J128" s="41"/>
      <c r="K128" s="41">
        <v>1000</v>
      </c>
      <c r="L128" s="41"/>
      <c r="M128" s="785" t="s">
        <v>60</v>
      </c>
      <c r="N128" s="132"/>
      <c r="O128" s="70"/>
      <c r="P128" s="25">
        <v>3.4</v>
      </c>
      <c r="Q128" s="26"/>
    </row>
    <row r="129" spans="1:18" ht="15" customHeight="1" x14ac:dyDescent="0.2">
      <c r="A129" s="559"/>
      <c r="B129" s="562"/>
      <c r="C129" s="1635"/>
      <c r="D129" s="1646"/>
      <c r="E129" s="134" t="s">
        <v>396</v>
      </c>
      <c r="F129" s="744"/>
      <c r="G129" s="572"/>
      <c r="H129" s="41"/>
      <c r="I129" s="40"/>
      <c r="J129" s="41"/>
      <c r="K129" s="41"/>
      <c r="L129" s="41"/>
      <c r="M129" s="785"/>
      <c r="N129" s="132"/>
      <c r="O129" s="61"/>
      <c r="P129" s="25"/>
      <c r="Q129" s="26"/>
    </row>
    <row r="130" spans="1:18" ht="18.75" customHeight="1" x14ac:dyDescent="0.2">
      <c r="A130" s="559"/>
      <c r="B130" s="562"/>
      <c r="C130" s="1636"/>
      <c r="D130" s="1686"/>
      <c r="E130" s="495" t="s">
        <v>397</v>
      </c>
      <c r="F130" s="744"/>
      <c r="G130" s="572"/>
      <c r="H130" s="922"/>
      <c r="I130" s="922"/>
      <c r="J130" s="922"/>
      <c r="K130" s="922"/>
      <c r="L130" s="922"/>
      <c r="M130" s="784"/>
      <c r="N130" s="28"/>
      <c r="O130" s="93"/>
      <c r="P130" s="27"/>
      <c r="Q130" s="29"/>
    </row>
    <row r="131" spans="1:18" ht="17.25" customHeight="1" x14ac:dyDescent="0.2">
      <c r="A131" s="559"/>
      <c r="B131" s="562"/>
      <c r="C131" s="1635" t="s">
        <v>257</v>
      </c>
      <c r="D131" s="1646"/>
      <c r="E131" s="1382" t="s">
        <v>399</v>
      </c>
      <c r="F131" s="744"/>
      <c r="G131" s="572"/>
      <c r="H131" s="921" t="s">
        <v>79</v>
      </c>
      <c r="I131" s="118"/>
      <c r="J131" s="921"/>
      <c r="K131" s="921"/>
      <c r="L131" s="921">
        <v>1000</v>
      </c>
      <c r="M131" s="785" t="s">
        <v>60</v>
      </c>
      <c r="N131" s="132"/>
      <c r="O131" s="70"/>
      <c r="P131" s="25"/>
      <c r="Q131" s="26">
        <v>3.4</v>
      </c>
    </row>
    <row r="132" spans="1:18" ht="27.75" customHeight="1" x14ac:dyDescent="0.2">
      <c r="A132" s="559"/>
      <c r="B132" s="562"/>
      <c r="C132" s="1635"/>
      <c r="D132" s="1646"/>
      <c r="E132" s="1700"/>
      <c r="F132" s="744"/>
      <c r="G132" s="572"/>
      <c r="H132" s="41"/>
      <c r="I132" s="40"/>
      <c r="J132" s="41"/>
      <c r="K132" s="41"/>
      <c r="L132" s="41"/>
      <c r="M132" s="785"/>
      <c r="N132" s="132"/>
      <c r="O132" s="61"/>
      <c r="P132" s="25"/>
      <c r="Q132" s="26"/>
    </row>
    <row r="133" spans="1:18" ht="14.25" customHeight="1" x14ac:dyDescent="0.2">
      <c r="A133" s="559"/>
      <c r="B133" s="562"/>
      <c r="C133" s="1637" t="s">
        <v>130</v>
      </c>
      <c r="D133" s="1624"/>
      <c r="E133" s="586" t="s">
        <v>189</v>
      </c>
      <c r="F133" s="541"/>
      <c r="G133" s="587"/>
      <c r="H133" s="533" t="s">
        <v>79</v>
      </c>
      <c r="I133" s="533">
        <f>1000+20</f>
        <v>1020</v>
      </c>
      <c r="J133" s="533"/>
      <c r="K133" s="533"/>
      <c r="L133" s="533"/>
      <c r="M133" s="787" t="s">
        <v>60</v>
      </c>
      <c r="N133" s="422">
        <v>5.9</v>
      </c>
      <c r="O133" s="73"/>
      <c r="P133" s="33"/>
      <c r="Q133" s="222"/>
    </row>
    <row r="134" spans="1:18" ht="13.5" customHeight="1" x14ac:dyDescent="0.2">
      <c r="A134" s="559"/>
      <c r="B134" s="562"/>
      <c r="C134" s="1638"/>
      <c r="D134" s="1625"/>
      <c r="E134" s="538" t="s">
        <v>129</v>
      </c>
      <c r="F134" s="541"/>
      <c r="G134" s="587"/>
      <c r="H134" s="143" t="s">
        <v>54</v>
      </c>
      <c r="I134" s="143">
        <v>38.200000000000003</v>
      </c>
      <c r="J134" s="143"/>
      <c r="K134" s="143"/>
      <c r="L134" s="143"/>
      <c r="M134" s="786"/>
      <c r="N134" s="330"/>
      <c r="O134" s="61"/>
      <c r="P134" s="132"/>
      <c r="Q134" s="26"/>
    </row>
    <row r="135" spans="1:18" ht="14.25" customHeight="1" x14ac:dyDescent="0.2">
      <c r="A135" s="559"/>
      <c r="B135" s="562"/>
      <c r="C135" s="1638"/>
      <c r="D135" s="1625"/>
      <c r="E135" s="542" t="s">
        <v>133</v>
      </c>
      <c r="F135" s="541"/>
      <c r="G135" s="587"/>
      <c r="H135" s="143" t="s">
        <v>62</v>
      </c>
      <c r="I135" s="143">
        <v>27.6</v>
      </c>
      <c r="J135" s="143"/>
      <c r="K135" s="143"/>
      <c r="L135" s="143"/>
      <c r="M135" s="786"/>
      <c r="N135" s="330"/>
      <c r="O135" s="61"/>
      <c r="P135" s="132"/>
      <c r="Q135" s="26"/>
    </row>
    <row r="136" spans="1:18" ht="30" customHeight="1" x14ac:dyDescent="0.2">
      <c r="A136" s="559"/>
      <c r="B136" s="562"/>
      <c r="C136" s="1639"/>
      <c r="D136" s="1626"/>
      <c r="E136" s="539" t="s">
        <v>254</v>
      </c>
      <c r="F136" s="541"/>
      <c r="G136" s="587"/>
      <c r="H136" s="143" t="s">
        <v>23</v>
      </c>
      <c r="I136" s="143">
        <v>7.5</v>
      </c>
      <c r="J136" s="143"/>
      <c r="K136" s="143"/>
      <c r="L136" s="143"/>
      <c r="M136" s="786"/>
      <c r="N136" s="330"/>
      <c r="O136" s="61"/>
      <c r="P136" s="132"/>
      <c r="Q136" s="26"/>
    </row>
    <row r="137" spans="1:18" ht="18.75" customHeight="1" x14ac:dyDescent="0.2">
      <c r="A137" s="559"/>
      <c r="B137" s="562"/>
      <c r="C137" s="1640" t="s">
        <v>253</v>
      </c>
      <c r="D137" s="1643"/>
      <c r="E137" s="540" t="s">
        <v>214</v>
      </c>
      <c r="F137" s="744"/>
      <c r="G137" s="572"/>
      <c r="H137" s="973"/>
      <c r="I137" s="973"/>
      <c r="J137" s="973"/>
      <c r="K137" s="973"/>
      <c r="L137" s="973"/>
      <c r="M137" s="1553" t="s">
        <v>307</v>
      </c>
      <c r="N137" s="33"/>
      <c r="O137" s="73"/>
      <c r="P137" s="33"/>
      <c r="Q137" s="222"/>
    </row>
    <row r="138" spans="1:18" ht="26.25" customHeight="1" x14ac:dyDescent="0.2">
      <c r="A138" s="559"/>
      <c r="B138" s="562"/>
      <c r="C138" s="1641"/>
      <c r="D138" s="1625"/>
      <c r="E138" s="390" t="s">
        <v>215</v>
      </c>
      <c r="F138" s="744"/>
      <c r="G138" s="572"/>
      <c r="H138" s="41"/>
      <c r="I138" s="41"/>
      <c r="J138" s="41"/>
      <c r="K138" s="41"/>
      <c r="L138" s="41"/>
      <c r="M138" s="1554"/>
      <c r="N138" s="132"/>
      <c r="O138" s="61"/>
      <c r="P138" s="132"/>
      <c r="Q138" s="26"/>
    </row>
    <row r="139" spans="1:18" ht="15" customHeight="1" x14ac:dyDescent="0.2">
      <c r="A139" s="559"/>
      <c r="B139" s="562"/>
      <c r="C139" s="1641"/>
      <c r="D139" s="1625"/>
      <c r="E139" s="134" t="s">
        <v>132</v>
      </c>
      <c r="F139" s="744"/>
      <c r="G139" s="572"/>
      <c r="H139" s="41"/>
      <c r="I139" s="41"/>
      <c r="J139" s="41"/>
      <c r="K139" s="41"/>
      <c r="L139" s="41"/>
      <c r="M139" s="785"/>
      <c r="N139" s="132"/>
      <c r="O139" s="61"/>
      <c r="P139" s="132"/>
      <c r="Q139" s="26"/>
    </row>
    <row r="140" spans="1:18" ht="18" customHeight="1" x14ac:dyDescent="0.2">
      <c r="A140" s="559"/>
      <c r="B140" s="562"/>
      <c r="C140" s="1642"/>
      <c r="D140" s="1626"/>
      <c r="E140" s="495" t="s">
        <v>216</v>
      </c>
      <c r="F140" s="744"/>
      <c r="G140" s="572"/>
      <c r="H140" s="41"/>
      <c r="I140" s="41"/>
      <c r="J140" s="41"/>
      <c r="K140" s="41"/>
      <c r="L140" s="41"/>
      <c r="M140" s="785"/>
      <c r="N140" s="132"/>
      <c r="O140" s="61"/>
      <c r="P140" s="132"/>
      <c r="Q140" s="26"/>
    </row>
    <row r="141" spans="1:18" ht="26.25" customHeight="1" x14ac:dyDescent="0.2">
      <c r="A141" s="559"/>
      <c r="B141" s="562"/>
      <c r="C141" s="200"/>
      <c r="D141" s="755" t="s">
        <v>375</v>
      </c>
      <c r="E141" s="1327" t="s">
        <v>81</v>
      </c>
      <c r="F141" s="800"/>
      <c r="G141" s="573"/>
      <c r="H141" s="377" t="s">
        <v>79</v>
      </c>
      <c r="I141" s="33">
        <v>262.3</v>
      </c>
      <c r="J141" s="377">
        <v>260.3</v>
      </c>
      <c r="K141" s="377">
        <v>260.3</v>
      </c>
      <c r="L141" s="377">
        <v>260.3</v>
      </c>
      <c r="M141" s="783" t="s">
        <v>202</v>
      </c>
      <c r="N141" s="465" t="s">
        <v>201</v>
      </c>
      <c r="O141" s="339" t="s">
        <v>201</v>
      </c>
      <c r="P141" s="468" t="s">
        <v>201</v>
      </c>
      <c r="Q141" s="699" t="s">
        <v>201</v>
      </c>
      <c r="R141" s="868"/>
    </row>
    <row r="142" spans="1:18" ht="26.25" customHeight="1" x14ac:dyDescent="0.2">
      <c r="A142" s="559"/>
      <c r="B142" s="562"/>
      <c r="C142" s="200"/>
      <c r="D142" s="747"/>
      <c r="E142" s="1328"/>
      <c r="F142" s="802"/>
      <c r="G142" s="573"/>
      <c r="H142" s="41" t="s">
        <v>23</v>
      </c>
      <c r="I142" s="132">
        <f>666.7+168.5+61.8</f>
        <v>897</v>
      </c>
      <c r="J142" s="41">
        <v>751.5</v>
      </c>
      <c r="K142" s="41">
        <v>830</v>
      </c>
      <c r="L142" s="41">
        <v>830</v>
      </c>
      <c r="M142" s="52" t="s">
        <v>37</v>
      </c>
      <c r="N142" s="116" t="s">
        <v>312</v>
      </c>
      <c r="O142" s="116" t="s">
        <v>203</v>
      </c>
      <c r="P142" s="613" t="s">
        <v>203</v>
      </c>
      <c r="Q142" s="402" t="s">
        <v>203</v>
      </c>
      <c r="R142" s="870"/>
    </row>
    <row r="143" spans="1:18" ht="15.75" customHeight="1" x14ac:dyDescent="0.2">
      <c r="A143" s="559"/>
      <c r="B143" s="562"/>
      <c r="C143" s="200"/>
      <c r="D143" s="747"/>
      <c r="E143" s="1328"/>
      <c r="F143" s="802"/>
      <c r="G143" s="573"/>
      <c r="H143" s="41" t="s">
        <v>62</v>
      </c>
      <c r="I143" s="61">
        <v>105</v>
      </c>
      <c r="J143" s="41"/>
      <c r="K143" s="41"/>
      <c r="L143" s="41"/>
      <c r="M143" s="52" t="s">
        <v>59</v>
      </c>
      <c r="N143" s="116" t="s">
        <v>197</v>
      </c>
      <c r="O143" s="116" t="s">
        <v>197</v>
      </c>
      <c r="P143" s="613" t="s">
        <v>197</v>
      </c>
      <c r="Q143" s="402" t="s">
        <v>197</v>
      </c>
    </row>
    <row r="144" spans="1:18" ht="29.25" customHeight="1" x14ac:dyDescent="0.2">
      <c r="A144" s="559"/>
      <c r="B144" s="562"/>
      <c r="C144" s="200"/>
      <c r="D144" s="756"/>
      <c r="E144" s="1396"/>
      <c r="F144" s="807"/>
      <c r="G144" s="576"/>
      <c r="H144" s="45" t="s">
        <v>79</v>
      </c>
      <c r="I144" s="378">
        <f>110.5+4.7</f>
        <v>115.2</v>
      </c>
      <c r="J144" s="378"/>
      <c r="K144" s="378"/>
      <c r="L144" s="378"/>
      <c r="M144" s="694" t="s">
        <v>227</v>
      </c>
      <c r="N144" s="466" t="s">
        <v>228</v>
      </c>
      <c r="O144" s="242" t="s">
        <v>228</v>
      </c>
      <c r="P144" s="1183"/>
      <c r="Q144" s="228"/>
    </row>
    <row r="145" spans="1:18" ht="15" customHeight="1" x14ac:dyDescent="0.2">
      <c r="A145" s="1355"/>
      <c r="B145" s="1378"/>
      <c r="C145" s="1623"/>
      <c r="D145" s="747" t="s">
        <v>376</v>
      </c>
      <c r="E145" s="1384" t="s">
        <v>47</v>
      </c>
      <c r="F145" s="744"/>
      <c r="G145" s="576"/>
      <c r="H145" s="41" t="s">
        <v>23</v>
      </c>
      <c r="I145" s="41">
        <v>400</v>
      </c>
      <c r="J145" s="41">
        <f>500-100</f>
        <v>400</v>
      </c>
      <c r="K145" s="41">
        <v>500</v>
      </c>
      <c r="L145" s="41">
        <v>500</v>
      </c>
      <c r="M145" s="1372" t="s">
        <v>199</v>
      </c>
      <c r="N145" s="465" t="s">
        <v>198</v>
      </c>
      <c r="O145" s="339" t="s">
        <v>198</v>
      </c>
      <c r="P145" s="468" t="s">
        <v>198</v>
      </c>
      <c r="Q145" s="225" t="s">
        <v>198</v>
      </c>
    </row>
    <row r="146" spans="1:18" ht="14.25" customHeight="1" x14ac:dyDescent="0.2">
      <c r="A146" s="1355"/>
      <c r="B146" s="1378"/>
      <c r="C146" s="1623"/>
      <c r="D146" s="756"/>
      <c r="E146" s="1385"/>
      <c r="F146" s="762"/>
      <c r="G146" s="576"/>
      <c r="H146" s="328"/>
      <c r="I146" s="328"/>
      <c r="J146" s="328"/>
      <c r="K146" s="858"/>
      <c r="L146" s="378"/>
      <c r="M146" s="1402"/>
      <c r="N146" s="28"/>
      <c r="O146" s="93"/>
      <c r="P146" s="27"/>
      <c r="Q146" s="29"/>
    </row>
    <row r="147" spans="1:18" ht="15.75" customHeight="1" x14ac:dyDescent="0.2">
      <c r="A147" s="1355"/>
      <c r="B147" s="1378"/>
      <c r="C147" s="1623"/>
      <c r="D147" s="1611" t="s">
        <v>377</v>
      </c>
      <c r="E147" s="1417" t="s">
        <v>191</v>
      </c>
      <c r="F147" s="1379"/>
      <c r="G147" s="159"/>
      <c r="H147" s="377" t="s">
        <v>23</v>
      </c>
      <c r="I147" s="377">
        <v>0</v>
      </c>
      <c r="J147" s="841">
        <v>0</v>
      </c>
      <c r="K147" s="377">
        <v>290</v>
      </c>
      <c r="L147" s="377">
        <v>290</v>
      </c>
      <c r="M147" s="793"/>
      <c r="N147" s="365"/>
      <c r="O147" s="700"/>
      <c r="P147" s="700"/>
      <c r="Q147" s="699"/>
      <c r="R147" s="868"/>
    </row>
    <row r="148" spans="1:18" ht="15.75" customHeight="1" x14ac:dyDescent="0.2">
      <c r="A148" s="1355"/>
      <c r="B148" s="1378"/>
      <c r="C148" s="1623"/>
      <c r="D148" s="1472"/>
      <c r="E148" s="1418"/>
      <c r="F148" s="1380"/>
      <c r="G148" s="159"/>
      <c r="H148" s="41" t="s">
        <v>79</v>
      </c>
      <c r="I148" s="41">
        <f>235.8+32</f>
        <v>267.8</v>
      </c>
      <c r="J148" s="41">
        <v>315.60000000000002</v>
      </c>
      <c r="K148" s="41">
        <v>310</v>
      </c>
      <c r="L148" s="41">
        <v>310</v>
      </c>
      <c r="M148" s="403" t="s">
        <v>204</v>
      </c>
      <c r="N148" s="340" t="s">
        <v>223</v>
      </c>
      <c r="O148" s="291" t="s">
        <v>261</v>
      </c>
      <c r="P148" s="291" t="s">
        <v>261</v>
      </c>
      <c r="Q148" s="249" t="s">
        <v>261</v>
      </c>
      <c r="R148" s="868"/>
    </row>
    <row r="149" spans="1:18" ht="15" customHeight="1" x14ac:dyDescent="0.2">
      <c r="A149" s="1355"/>
      <c r="B149" s="1378"/>
      <c r="C149" s="1623"/>
      <c r="D149" s="1472"/>
      <c r="E149" s="1627"/>
      <c r="F149" s="1380"/>
      <c r="G149" s="159"/>
      <c r="H149" s="41" t="s">
        <v>62</v>
      </c>
      <c r="I149" s="41">
        <v>90</v>
      </c>
      <c r="J149" s="41"/>
      <c r="K149" s="41"/>
      <c r="L149" s="41"/>
      <c r="M149" s="794" t="s">
        <v>200</v>
      </c>
      <c r="N149" s="698" t="s">
        <v>224</v>
      </c>
      <c r="O149" s="698" t="s">
        <v>311</v>
      </c>
      <c r="P149" s="119" t="s">
        <v>261</v>
      </c>
      <c r="Q149" s="187" t="s">
        <v>261</v>
      </c>
      <c r="R149" s="868"/>
    </row>
    <row r="150" spans="1:18" ht="24" customHeight="1" x14ac:dyDescent="0.2">
      <c r="A150" s="1355"/>
      <c r="B150" s="1378"/>
      <c r="C150" s="1623"/>
      <c r="D150" s="1472"/>
      <c r="E150" s="577"/>
      <c r="F150" s="1380"/>
      <c r="G150" s="159"/>
      <c r="H150" s="41" t="s">
        <v>65</v>
      </c>
      <c r="I150" s="41">
        <f>270+17.9</f>
        <v>287.89999999999998</v>
      </c>
      <c r="J150" s="41">
        <v>79.3</v>
      </c>
      <c r="K150" s="41"/>
      <c r="L150" s="41"/>
      <c r="M150" s="1578" t="s">
        <v>320</v>
      </c>
      <c r="N150" s="548" t="s">
        <v>49</v>
      </c>
      <c r="O150" s="205"/>
      <c r="P150" s="205"/>
      <c r="Q150" s="227"/>
      <c r="R150" s="868"/>
    </row>
    <row r="151" spans="1:18" ht="12" customHeight="1" x14ac:dyDescent="0.2">
      <c r="A151" s="1355"/>
      <c r="B151" s="1378"/>
      <c r="C151" s="1623"/>
      <c r="D151" s="1472"/>
      <c r="E151" s="577"/>
      <c r="F151" s="1380"/>
      <c r="G151" s="159"/>
      <c r="H151" s="41" t="s">
        <v>54</v>
      </c>
      <c r="I151" s="41"/>
      <c r="J151" s="41">
        <v>70.7</v>
      </c>
      <c r="K151" s="41"/>
      <c r="L151" s="41"/>
      <c r="M151" s="1579"/>
      <c r="N151" s="549"/>
      <c r="O151" s="340"/>
      <c r="P151" s="291"/>
      <c r="Q151" s="249"/>
    </row>
    <row r="152" spans="1:18" ht="29.25" customHeight="1" x14ac:dyDescent="0.2">
      <c r="A152" s="1355"/>
      <c r="B152" s="1378"/>
      <c r="C152" s="1623"/>
      <c r="D152" s="1612"/>
      <c r="E152" s="568"/>
      <c r="F152" s="1381"/>
      <c r="G152" s="159"/>
      <c r="H152" s="378"/>
      <c r="I152" s="378"/>
      <c r="J152" s="1166"/>
      <c r="K152" s="1166"/>
      <c r="L152" s="1166"/>
      <c r="M152" s="220" t="s">
        <v>220</v>
      </c>
      <c r="N152" s="544" t="s">
        <v>49</v>
      </c>
      <c r="O152" s="242"/>
      <c r="P152" s="1164"/>
      <c r="Q152" s="228"/>
    </row>
    <row r="153" spans="1:18" ht="28.5" customHeight="1" x14ac:dyDescent="0.2">
      <c r="A153" s="559"/>
      <c r="B153" s="562"/>
      <c r="C153" s="574"/>
      <c r="D153" s="747" t="s">
        <v>378</v>
      </c>
      <c r="E153" s="1416" t="s">
        <v>80</v>
      </c>
      <c r="F153" s="744"/>
      <c r="G153" s="572"/>
      <c r="H153" s="377" t="s">
        <v>23</v>
      </c>
      <c r="I153" s="377">
        <f>631-100-43.8</f>
        <v>487.2</v>
      </c>
      <c r="J153" s="1165">
        <f>209+88.8</f>
        <v>297.8</v>
      </c>
      <c r="K153" s="1165">
        <v>543</v>
      </c>
      <c r="L153" s="1165">
        <v>416.9</v>
      </c>
      <c r="M153" s="1160" t="s">
        <v>113</v>
      </c>
      <c r="N153" s="1167">
        <v>8</v>
      </c>
      <c r="O153" s="394">
        <v>5</v>
      </c>
      <c r="P153" s="1169">
        <v>8</v>
      </c>
      <c r="Q153" s="731">
        <v>8</v>
      </c>
      <c r="R153" s="873"/>
    </row>
    <row r="154" spans="1:18" ht="16.5" customHeight="1" x14ac:dyDescent="0.2">
      <c r="A154" s="710"/>
      <c r="B154" s="711"/>
      <c r="C154" s="713"/>
      <c r="D154" s="747"/>
      <c r="E154" s="1416"/>
      <c r="F154" s="744"/>
      <c r="G154" s="712"/>
      <c r="H154" s="378" t="s">
        <v>54</v>
      </c>
      <c r="I154" s="378">
        <v>61.7</v>
      </c>
      <c r="J154" s="1166">
        <v>50</v>
      </c>
      <c r="K154" s="1166"/>
      <c r="L154" s="1166"/>
      <c r="M154" s="1163"/>
      <c r="N154" s="15"/>
      <c r="O154" s="164"/>
      <c r="P154" s="32"/>
      <c r="Q154" s="16"/>
      <c r="R154" s="873"/>
    </row>
    <row r="155" spans="1:18" ht="12" customHeight="1" x14ac:dyDescent="0.2">
      <c r="A155" s="561"/>
      <c r="B155" s="562"/>
      <c r="C155" s="218"/>
      <c r="D155" s="755" t="s">
        <v>379</v>
      </c>
      <c r="E155" s="1384" t="s">
        <v>36</v>
      </c>
      <c r="F155" s="743"/>
      <c r="G155" s="575"/>
      <c r="H155" s="38" t="s">
        <v>79</v>
      </c>
      <c r="I155" s="41">
        <f>70-9</f>
        <v>61</v>
      </c>
      <c r="J155" s="41">
        <v>70</v>
      </c>
      <c r="K155" s="41">
        <v>70</v>
      </c>
      <c r="L155" s="41">
        <v>70</v>
      </c>
      <c r="M155" s="1372" t="s">
        <v>190</v>
      </c>
      <c r="N155" s="1168">
        <v>14</v>
      </c>
      <c r="O155" s="1161">
        <v>15</v>
      </c>
      <c r="P155" s="1162">
        <v>15</v>
      </c>
      <c r="Q155" s="732">
        <v>15</v>
      </c>
    </row>
    <row r="156" spans="1:18" ht="12" customHeight="1" x14ac:dyDescent="0.2">
      <c r="A156" s="561"/>
      <c r="B156" s="562"/>
      <c r="C156" s="218"/>
      <c r="D156" s="747"/>
      <c r="E156" s="1392"/>
      <c r="F156" s="744"/>
      <c r="G156" s="572"/>
      <c r="H156" s="41" t="s">
        <v>23</v>
      </c>
      <c r="I156" s="41">
        <f>50+43+28.9-7.5</f>
        <v>114.4</v>
      </c>
      <c r="J156" s="41">
        <v>93.7</v>
      </c>
      <c r="K156" s="50">
        <v>80</v>
      </c>
      <c r="L156" s="50">
        <v>80</v>
      </c>
      <c r="M156" s="1375"/>
      <c r="N156" s="1168"/>
      <c r="O156" s="1161"/>
      <c r="P156" s="1162"/>
      <c r="Q156" s="702"/>
    </row>
    <row r="157" spans="1:18" ht="12" customHeight="1" x14ac:dyDescent="0.2">
      <c r="A157" s="561"/>
      <c r="B157" s="562"/>
      <c r="C157" s="218"/>
      <c r="D157" s="747"/>
      <c r="E157" s="1392"/>
      <c r="F157" s="744"/>
      <c r="G157" s="572"/>
      <c r="H157" s="41" t="s">
        <v>65</v>
      </c>
      <c r="I157" s="41">
        <v>4.7</v>
      </c>
      <c r="J157" s="41"/>
      <c r="K157" s="50"/>
      <c r="L157" s="50"/>
      <c r="M157" s="794"/>
      <c r="N157" s="701"/>
      <c r="O157" s="696"/>
      <c r="P157" s="697"/>
      <c r="Q157" s="702"/>
    </row>
    <row r="158" spans="1:18" ht="12.75" customHeight="1" x14ac:dyDescent="0.2">
      <c r="A158" s="561"/>
      <c r="B158" s="562"/>
      <c r="C158" s="218"/>
      <c r="D158" s="756"/>
      <c r="E158" s="1385"/>
      <c r="F158" s="762"/>
      <c r="G158" s="572"/>
      <c r="H158" s="378" t="s">
        <v>54</v>
      </c>
      <c r="I158" s="378">
        <f>30+5+31.9</f>
        <v>66.900000000000006</v>
      </c>
      <c r="J158" s="378"/>
      <c r="K158" s="53"/>
      <c r="L158" s="53"/>
      <c r="M158" s="794"/>
      <c r="N158" s="15"/>
      <c r="O158" s="164"/>
      <c r="P158" s="32"/>
      <c r="Q158" s="16"/>
    </row>
    <row r="159" spans="1:18" ht="17.25" customHeight="1" x14ac:dyDescent="0.2">
      <c r="A159" s="561"/>
      <c r="B159" s="562"/>
      <c r="C159" s="218"/>
      <c r="D159" s="1611" t="s">
        <v>380</v>
      </c>
      <c r="E159" s="1446" t="s">
        <v>400</v>
      </c>
      <c r="F159" s="366" t="s">
        <v>44</v>
      </c>
      <c r="G159" s="575"/>
      <c r="H159" s="375" t="s">
        <v>79</v>
      </c>
      <c r="I159" s="377">
        <f>15-1.7</f>
        <v>13.3</v>
      </c>
      <c r="J159" s="377">
        <v>13.8</v>
      </c>
      <c r="K159" s="377"/>
      <c r="L159" s="377"/>
      <c r="M159" s="484" t="s">
        <v>74</v>
      </c>
      <c r="N159" s="301">
        <v>1</v>
      </c>
      <c r="O159" s="570">
        <v>1</v>
      </c>
      <c r="P159" s="571"/>
      <c r="Q159" s="580"/>
    </row>
    <row r="160" spans="1:18" ht="26.25" customHeight="1" x14ac:dyDescent="0.2">
      <c r="A160" s="561"/>
      <c r="B160" s="562"/>
      <c r="C160" s="574"/>
      <c r="D160" s="1612"/>
      <c r="E160" s="1447"/>
      <c r="F160" s="762"/>
      <c r="G160" s="572"/>
      <c r="H160" s="376" t="s">
        <v>79</v>
      </c>
      <c r="I160" s="378"/>
      <c r="J160" s="378">
        <v>20</v>
      </c>
      <c r="K160" s="378"/>
      <c r="L160" s="378"/>
      <c r="M160" s="14" t="s">
        <v>182</v>
      </c>
      <c r="N160" s="348"/>
      <c r="O160" s="367">
        <v>100</v>
      </c>
      <c r="P160" s="401"/>
      <c r="Q160" s="350"/>
    </row>
    <row r="161" spans="1:20" ht="13.5" customHeight="1" x14ac:dyDescent="0.2">
      <c r="A161" s="693"/>
      <c r="B161" s="692"/>
      <c r="C161" s="199"/>
      <c r="D161" s="1611" t="s">
        <v>381</v>
      </c>
      <c r="E161" s="1384" t="s">
        <v>401</v>
      </c>
      <c r="F161" s="366" t="s">
        <v>44</v>
      </c>
      <c r="G161" s="585"/>
      <c r="H161" s="379" t="s">
        <v>65</v>
      </c>
      <c r="I161" s="377"/>
      <c r="J161" s="377">
        <v>5</v>
      </c>
      <c r="K161" s="910"/>
      <c r="L161" s="910"/>
      <c r="M161" s="546" t="s">
        <v>259</v>
      </c>
      <c r="N161" s="547"/>
      <c r="O161" s="346">
        <v>1</v>
      </c>
      <c r="P161" s="295"/>
      <c r="Q161" s="347"/>
      <c r="R161" s="302"/>
    </row>
    <row r="162" spans="1:20" ht="25.5" customHeight="1" x14ac:dyDescent="0.2">
      <c r="A162" s="693"/>
      <c r="B162" s="692"/>
      <c r="C162" s="199"/>
      <c r="D162" s="1612"/>
      <c r="E162" s="1385"/>
      <c r="F162" s="243"/>
      <c r="G162" s="585"/>
      <c r="H162" s="380" t="s">
        <v>23</v>
      </c>
      <c r="I162" s="378"/>
      <c r="J162" s="378"/>
      <c r="K162" s="911">
        <v>305</v>
      </c>
      <c r="L162" s="911"/>
      <c r="M162" s="14" t="s">
        <v>260</v>
      </c>
      <c r="N162" s="348"/>
      <c r="O162" s="367"/>
      <c r="P162" s="32">
        <v>100</v>
      </c>
      <c r="Q162" s="16"/>
      <c r="R162" s="496"/>
    </row>
    <row r="163" spans="1:20" ht="17.25" customHeight="1" x14ac:dyDescent="0.2">
      <c r="A163" s="561"/>
      <c r="B163" s="562"/>
      <c r="C163" s="574"/>
      <c r="D163" s="747" t="s">
        <v>382</v>
      </c>
      <c r="E163" s="557" t="s">
        <v>217</v>
      </c>
      <c r="F163" s="366" t="s">
        <v>44</v>
      </c>
      <c r="G163" s="879"/>
      <c r="H163" s="359" t="s">
        <v>79</v>
      </c>
      <c r="I163" s="46">
        <f>20-12</f>
        <v>8</v>
      </c>
      <c r="J163" s="360">
        <v>10.4</v>
      </c>
      <c r="K163" s="910"/>
      <c r="L163" s="910"/>
      <c r="M163" s="792" t="s">
        <v>43</v>
      </c>
      <c r="N163" s="245">
        <v>3</v>
      </c>
      <c r="O163" s="245">
        <v>3</v>
      </c>
      <c r="P163" s="246"/>
      <c r="Q163" s="120"/>
      <c r="R163" s="435"/>
    </row>
    <row r="164" spans="1:20" ht="26.25" customHeight="1" x14ac:dyDescent="0.2">
      <c r="A164" s="563"/>
      <c r="B164" s="567"/>
      <c r="C164" s="578"/>
      <c r="D164" s="758"/>
      <c r="E164" s="361" t="s">
        <v>403</v>
      </c>
      <c r="F164" s="1437"/>
      <c r="G164" s="358"/>
      <c r="H164" s="703" t="s">
        <v>79</v>
      </c>
      <c r="I164" s="359"/>
      <c r="J164" s="360"/>
      <c r="K164" s="46">
        <v>248.1</v>
      </c>
      <c r="L164" s="46"/>
      <c r="M164" s="1332" t="s">
        <v>296</v>
      </c>
      <c r="N164" s="433"/>
      <c r="O164" s="433"/>
      <c r="P164" s="427">
        <v>100</v>
      </c>
      <c r="Q164" s="369"/>
    </row>
    <row r="165" spans="1:20" ht="17.25" customHeight="1" x14ac:dyDescent="0.2">
      <c r="A165" s="563"/>
      <c r="B165" s="567"/>
      <c r="C165" s="578"/>
      <c r="D165" s="758"/>
      <c r="E165" s="361" t="s">
        <v>218</v>
      </c>
      <c r="F165" s="1437"/>
      <c r="G165" s="358"/>
      <c r="H165" s="704"/>
      <c r="I165" s="705"/>
      <c r="J165" s="798"/>
      <c r="K165" s="918"/>
      <c r="L165" s="918"/>
      <c r="M165" s="1439"/>
      <c r="N165" s="283"/>
      <c r="O165" s="283"/>
      <c r="P165" s="397"/>
      <c r="Q165" s="332"/>
    </row>
    <row r="166" spans="1:20" ht="25.5" customHeight="1" x14ac:dyDescent="0.2">
      <c r="A166" s="563"/>
      <c r="B166" s="567"/>
      <c r="C166" s="578"/>
      <c r="D166" s="758"/>
      <c r="E166" s="569" t="s">
        <v>219</v>
      </c>
      <c r="F166" s="1438"/>
      <c r="G166" s="358"/>
      <c r="H166" s="357" t="s">
        <v>79</v>
      </c>
      <c r="I166" s="376"/>
      <c r="J166" s="93"/>
      <c r="K166" s="319"/>
      <c r="L166" s="41">
        <v>272.3</v>
      </c>
      <c r="M166" s="14" t="s">
        <v>297</v>
      </c>
      <c r="N166" s="943"/>
      <c r="O166" s="207"/>
      <c r="P166" s="207"/>
      <c r="Q166" s="177">
        <v>100</v>
      </c>
    </row>
    <row r="167" spans="1:20" ht="17.25" customHeight="1" x14ac:dyDescent="0.2">
      <c r="A167" s="561"/>
      <c r="B167" s="560"/>
      <c r="C167" s="199"/>
      <c r="D167" s="1611" t="s">
        <v>383</v>
      </c>
      <c r="E167" s="1384" t="s">
        <v>262</v>
      </c>
      <c r="F167" s="366" t="s">
        <v>44</v>
      </c>
      <c r="G167" s="585"/>
      <c r="H167" s="379" t="s">
        <v>79</v>
      </c>
      <c r="I167" s="377">
        <v>0</v>
      </c>
      <c r="J167" s="377">
        <v>20.6</v>
      </c>
      <c r="K167" s="377"/>
      <c r="L167" s="377"/>
      <c r="M167" s="484" t="s">
        <v>74</v>
      </c>
      <c r="N167" s="345"/>
      <c r="O167" s="346">
        <v>1</v>
      </c>
      <c r="P167" s="295"/>
      <c r="Q167" s="171"/>
      <c r="R167" s="435"/>
    </row>
    <row r="168" spans="1:20" ht="25.5" customHeight="1" x14ac:dyDescent="0.2">
      <c r="A168" s="561"/>
      <c r="B168" s="560"/>
      <c r="C168" s="199"/>
      <c r="D168" s="1612"/>
      <c r="E168" s="1385"/>
      <c r="F168" s="243"/>
      <c r="G168" s="585"/>
      <c r="H168" s="380" t="s">
        <v>79</v>
      </c>
      <c r="I168" s="378"/>
      <c r="J168" s="378"/>
      <c r="K168" s="378">
        <v>150</v>
      </c>
      <c r="L168" s="378">
        <v>350</v>
      </c>
      <c r="M168" s="14" t="s">
        <v>263</v>
      </c>
      <c r="N168" s="348"/>
      <c r="O168" s="367"/>
      <c r="P168" s="32">
        <v>50</v>
      </c>
      <c r="Q168" s="16">
        <v>100</v>
      </c>
    </row>
    <row r="169" spans="1:20" ht="16.5" customHeight="1" x14ac:dyDescent="0.2">
      <c r="A169" s="561"/>
      <c r="B169" s="560"/>
      <c r="C169" s="199"/>
      <c r="D169" s="1611" t="s">
        <v>384</v>
      </c>
      <c r="E169" s="1384" t="s">
        <v>264</v>
      </c>
      <c r="F169" s="366"/>
      <c r="G169" s="585"/>
      <c r="H169" s="379" t="s">
        <v>79</v>
      </c>
      <c r="I169" s="377"/>
      <c r="J169" s="377">
        <v>5.3</v>
      </c>
      <c r="K169" s="377">
        <v>5.3</v>
      </c>
      <c r="L169" s="377">
        <v>5.3</v>
      </c>
      <c r="M169" s="795" t="s">
        <v>265</v>
      </c>
      <c r="N169" s="551"/>
      <c r="O169" s="552">
        <v>10</v>
      </c>
      <c r="P169" s="553">
        <v>10</v>
      </c>
      <c r="Q169" s="554">
        <v>10</v>
      </c>
    </row>
    <row r="170" spans="1:20" ht="17.25" customHeight="1" x14ac:dyDescent="0.2">
      <c r="A170" s="561"/>
      <c r="B170" s="560"/>
      <c r="C170" s="199"/>
      <c r="D170" s="1612"/>
      <c r="E170" s="1385"/>
      <c r="F170" s="243"/>
      <c r="G170" s="582"/>
      <c r="H170" s="380" t="s">
        <v>23</v>
      </c>
      <c r="I170" s="378"/>
      <c r="J170" s="378">
        <v>1.1000000000000001</v>
      </c>
      <c r="K170" s="378"/>
      <c r="L170" s="378"/>
      <c r="M170" s="14"/>
      <c r="N170" s="348"/>
      <c r="O170" s="15"/>
      <c r="P170" s="489"/>
      <c r="Q170" s="349"/>
    </row>
    <row r="171" spans="1:20" ht="14.25" customHeight="1" thickBot="1" x14ac:dyDescent="0.25">
      <c r="A171" s="44"/>
      <c r="B171" s="555"/>
      <c r="C171" s="110"/>
      <c r="D171" s="209"/>
      <c r="E171" s="202"/>
      <c r="F171" s="203"/>
      <c r="G171" s="190"/>
      <c r="H171" s="83" t="s">
        <v>5</v>
      </c>
      <c r="I171" s="121">
        <f>SUM(I25:I170)</f>
        <v>12943.7</v>
      </c>
      <c r="J171" s="121">
        <f>SUM(J25:J170)</f>
        <v>20210.099999999999</v>
      </c>
      <c r="K171" s="121">
        <f>SUM(K25:K170)</f>
        <v>28466.9</v>
      </c>
      <c r="L171" s="121">
        <f>SUM(L25:L170)</f>
        <v>24312.3</v>
      </c>
      <c r="M171" s="204"/>
      <c r="N171" s="197"/>
      <c r="O171" s="197"/>
      <c r="P171" s="197"/>
      <c r="Q171" s="198"/>
      <c r="S171" s="188"/>
      <c r="T171" s="188"/>
    </row>
    <row r="172" spans="1:20" ht="14.25" customHeight="1" thickBot="1" x14ac:dyDescent="0.25">
      <c r="A172" s="47" t="s">
        <v>4</v>
      </c>
      <c r="B172" s="149" t="s">
        <v>4</v>
      </c>
      <c r="C172" s="1430" t="s">
        <v>7</v>
      </c>
      <c r="D172" s="1431"/>
      <c r="E172" s="1431"/>
      <c r="F172" s="1431"/>
      <c r="G172" s="1431"/>
      <c r="H172" s="1494"/>
      <c r="I172" s="85">
        <f>I171</f>
        <v>12943.7</v>
      </c>
      <c r="J172" s="85">
        <f t="shared" ref="J172:L172" si="0">J171</f>
        <v>20210.099999999999</v>
      </c>
      <c r="K172" s="85">
        <f t="shared" si="0"/>
        <v>28466.9</v>
      </c>
      <c r="L172" s="85">
        <f t="shared" si="0"/>
        <v>24312.3</v>
      </c>
      <c r="M172" s="460"/>
      <c r="N172" s="462"/>
      <c r="O172" s="462"/>
      <c r="P172" s="460"/>
      <c r="Q172" s="461"/>
      <c r="S172" s="188"/>
      <c r="T172" s="188"/>
    </row>
    <row r="173" spans="1:20" ht="14.25" customHeight="1" thickBot="1" x14ac:dyDescent="0.25">
      <c r="A173" s="47" t="s">
        <v>4</v>
      </c>
      <c r="B173" s="149" t="s">
        <v>6</v>
      </c>
      <c r="C173" s="1432" t="s">
        <v>29</v>
      </c>
      <c r="D173" s="1432"/>
      <c r="E173" s="1432"/>
      <c r="F173" s="1432"/>
      <c r="G173" s="1432"/>
      <c r="H173" s="1432"/>
      <c r="I173" s="1433"/>
      <c r="J173" s="1433"/>
      <c r="K173" s="1433"/>
      <c r="L173" s="1433"/>
      <c r="M173" s="1432"/>
      <c r="N173" s="1434"/>
      <c r="O173" s="1434"/>
      <c r="P173" s="1434"/>
      <c r="Q173" s="1435"/>
    </row>
    <row r="174" spans="1:20" ht="29.25" customHeight="1" x14ac:dyDescent="0.2">
      <c r="A174" s="458" t="s">
        <v>4</v>
      </c>
      <c r="B174" s="148" t="s">
        <v>6</v>
      </c>
      <c r="C174" s="196" t="s">
        <v>4</v>
      </c>
      <c r="D174" s="778"/>
      <c r="E174" s="68" t="s">
        <v>50</v>
      </c>
      <c r="F174" s="65" t="s">
        <v>89</v>
      </c>
      <c r="G174" s="221"/>
      <c r="H174" s="49"/>
      <c r="I174" s="404"/>
      <c r="J174" s="91"/>
      <c r="K174" s="91"/>
      <c r="L174" s="404"/>
      <c r="M174" s="1275"/>
      <c r="N174" s="107"/>
      <c r="O174" s="311"/>
      <c r="P174" s="486"/>
      <c r="Q174" s="321"/>
    </row>
    <row r="175" spans="1:20" ht="14.25" customHeight="1" x14ac:dyDescent="0.2">
      <c r="A175" s="456"/>
      <c r="B175" s="457"/>
      <c r="C175" s="467"/>
      <c r="D175" s="747" t="s">
        <v>4</v>
      </c>
      <c r="E175" s="459" t="s">
        <v>46</v>
      </c>
      <c r="F175" s="748"/>
      <c r="G175" s="1569" t="s">
        <v>150</v>
      </c>
      <c r="H175" s="477"/>
      <c r="I175" s="478"/>
      <c r="J175" s="479"/>
      <c r="K175" s="479"/>
      <c r="L175" s="478"/>
      <c r="M175" s="1276"/>
      <c r="N175" s="480"/>
      <c r="O175" s="481"/>
      <c r="P175" s="487"/>
      <c r="Q175" s="482"/>
    </row>
    <row r="176" spans="1:20" ht="12.75" customHeight="1" x14ac:dyDescent="0.2">
      <c r="A176" s="456"/>
      <c r="B176" s="457"/>
      <c r="C176" s="467"/>
      <c r="D176" s="747"/>
      <c r="E176" s="1619" t="s">
        <v>67</v>
      </c>
      <c r="F176" s="721" t="s">
        <v>291</v>
      </c>
      <c r="G176" s="1597"/>
      <c r="H176" s="50" t="s">
        <v>23</v>
      </c>
      <c r="I176" s="77">
        <f>2865.4-400-5</f>
        <v>2460.4</v>
      </c>
      <c r="J176" s="77">
        <v>2861.6</v>
      </c>
      <c r="K176" s="41">
        <f>5337-194</f>
        <v>5143</v>
      </c>
      <c r="L176" s="41">
        <f>5474-194</f>
        <v>5280</v>
      </c>
      <c r="M176" s="1250" t="s">
        <v>38</v>
      </c>
      <c r="N176" s="132">
        <v>6</v>
      </c>
      <c r="O176" s="132">
        <v>6</v>
      </c>
      <c r="P176" s="132">
        <v>6</v>
      </c>
      <c r="Q176" s="26">
        <v>6</v>
      </c>
      <c r="R176" s="435"/>
    </row>
    <row r="177" spans="1:18" ht="12.75" customHeight="1" x14ac:dyDescent="0.2">
      <c r="A177" s="456"/>
      <c r="B177" s="457"/>
      <c r="C177" s="467"/>
      <c r="D177" s="747"/>
      <c r="E177" s="1619"/>
      <c r="F177" s="720"/>
      <c r="G177" s="1597"/>
      <c r="H177" s="89" t="s">
        <v>54</v>
      </c>
      <c r="I177" s="81">
        <v>2062.6</v>
      </c>
      <c r="J177" s="81">
        <v>2000</v>
      </c>
      <c r="K177" s="43"/>
      <c r="L177" s="43"/>
      <c r="M177" s="403"/>
      <c r="N177" s="301"/>
      <c r="O177" s="301"/>
      <c r="P177" s="301"/>
      <c r="Q177" s="309"/>
      <c r="R177" s="435"/>
    </row>
    <row r="178" spans="1:18" ht="15" customHeight="1" x14ac:dyDescent="0.2">
      <c r="A178" s="456"/>
      <c r="B178" s="457"/>
      <c r="C178" s="467"/>
      <c r="D178" s="747"/>
      <c r="E178" s="1619"/>
      <c r="F178" s="720"/>
      <c r="G178" s="1597"/>
      <c r="H178" s="50" t="s">
        <v>23</v>
      </c>
      <c r="I178" s="77">
        <v>118.8</v>
      </c>
      <c r="J178" s="77">
        <v>194</v>
      </c>
      <c r="K178" s="77">
        <v>194</v>
      </c>
      <c r="L178" s="41">
        <v>194</v>
      </c>
      <c r="M178" s="1375" t="s">
        <v>225</v>
      </c>
      <c r="N178" s="22">
        <v>2</v>
      </c>
      <c r="O178" s="132">
        <v>2</v>
      </c>
      <c r="P178" s="132">
        <v>2</v>
      </c>
      <c r="Q178" s="26">
        <v>2</v>
      </c>
    </row>
    <row r="179" spans="1:18" ht="14.25" customHeight="1" x14ac:dyDescent="0.2">
      <c r="A179" s="456"/>
      <c r="B179" s="457"/>
      <c r="C179" s="467"/>
      <c r="D179" s="747"/>
      <c r="E179" s="1619"/>
      <c r="F179" s="720"/>
      <c r="G179" s="1597"/>
      <c r="H179" s="89" t="s">
        <v>65</v>
      </c>
      <c r="I179" s="43">
        <v>75.2</v>
      </c>
      <c r="J179" s="81"/>
      <c r="K179" s="81"/>
      <c r="L179" s="43"/>
      <c r="M179" s="1583"/>
      <c r="N179" s="301"/>
      <c r="O179" s="474"/>
      <c r="P179" s="475"/>
      <c r="Q179" s="476"/>
    </row>
    <row r="180" spans="1:18" ht="19.5" customHeight="1" x14ac:dyDescent="0.2">
      <c r="A180" s="456"/>
      <c r="B180" s="457"/>
      <c r="C180" s="467"/>
      <c r="D180" s="747"/>
      <c r="E180" s="722" t="s">
        <v>68</v>
      </c>
      <c r="F180" s="720"/>
      <c r="G180" s="259"/>
      <c r="H180" s="50" t="s">
        <v>23</v>
      </c>
      <c r="I180" s="41">
        <v>10.5</v>
      </c>
      <c r="J180" s="77">
        <v>10</v>
      </c>
      <c r="K180" s="77">
        <v>10</v>
      </c>
      <c r="L180" s="41">
        <v>10</v>
      </c>
      <c r="M180" s="52" t="s">
        <v>109</v>
      </c>
      <c r="N180" s="288">
        <v>4</v>
      </c>
      <c r="O180" s="1278">
        <v>3.2</v>
      </c>
      <c r="P180" s="288">
        <v>3.2</v>
      </c>
      <c r="Q180" s="23">
        <v>3.2</v>
      </c>
    </row>
    <row r="181" spans="1:18" ht="26.25" customHeight="1" x14ac:dyDescent="0.2">
      <c r="A181" s="456"/>
      <c r="B181" s="457"/>
      <c r="C181" s="467"/>
      <c r="D181" s="747"/>
      <c r="E181" s="723" t="s">
        <v>69</v>
      </c>
      <c r="F181" s="720"/>
      <c r="G181" s="259"/>
      <c r="H181" s="51" t="s">
        <v>23</v>
      </c>
      <c r="I181" s="39">
        <v>56.3</v>
      </c>
      <c r="J181" s="79">
        <v>57</v>
      </c>
      <c r="K181" s="79">
        <v>57</v>
      </c>
      <c r="L181" s="39">
        <v>57</v>
      </c>
      <c r="M181" s="403" t="s">
        <v>110</v>
      </c>
      <c r="N181" s="400">
        <v>22</v>
      </c>
      <c r="O181" s="115">
        <v>20.5</v>
      </c>
      <c r="P181" s="400">
        <v>20.5</v>
      </c>
      <c r="Q181" s="322">
        <v>20.5</v>
      </c>
    </row>
    <row r="182" spans="1:18" ht="26.25" customHeight="1" x14ac:dyDescent="0.2">
      <c r="A182" s="1247"/>
      <c r="B182" s="1256"/>
      <c r="C182" s="1261"/>
      <c r="D182" s="1251"/>
      <c r="E182" s="1279" t="s">
        <v>353</v>
      </c>
      <c r="F182" s="720"/>
      <c r="G182" s="259"/>
      <c r="H182" s="51"/>
      <c r="I182" s="39"/>
      <c r="J182" s="79"/>
      <c r="K182" s="79"/>
      <c r="L182" s="39"/>
      <c r="M182" s="1268" t="s">
        <v>354</v>
      </c>
      <c r="N182" s="1269"/>
      <c r="O182" s="1270" t="s">
        <v>49</v>
      </c>
      <c r="P182" s="1271" t="s">
        <v>49</v>
      </c>
      <c r="Q182" s="1277" t="s">
        <v>49</v>
      </c>
    </row>
    <row r="183" spans="1:18" ht="15.75" customHeight="1" x14ac:dyDescent="0.2">
      <c r="A183" s="456"/>
      <c r="B183" s="457"/>
      <c r="C183" s="467"/>
      <c r="D183" s="747"/>
      <c r="E183" s="1423" t="s">
        <v>102</v>
      </c>
      <c r="F183" s="735"/>
      <c r="G183" s="463"/>
      <c r="H183" s="50" t="s">
        <v>62</v>
      </c>
      <c r="I183" s="41">
        <v>10</v>
      </c>
      <c r="J183" s="77">
        <v>201.6</v>
      </c>
      <c r="K183" s="77">
        <v>200</v>
      </c>
      <c r="L183" s="41">
        <v>200</v>
      </c>
      <c r="M183" s="1424" t="s">
        <v>211</v>
      </c>
      <c r="N183" s="1718">
        <v>6</v>
      </c>
      <c r="O183" s="1260">
        <v>6</v>
      </c>
      <c r="P183" s="1252">
        <v>6</v>
      </c>
      <c r="Q183" s="1259">
        <v>6</v>
      </c>
    </row>
    <row r="184" spans="1:18" ht="14.25" customHeight="1" x14ac:dyDescent="0.2">
      <c r="A184" s="456"/>
      <c r="B184" s="457"/>
      <c r="C184" s="467"/>
      <c r="D184" s="747"/>
      <c r="E184" s="1727"/>
      <c r="F184" s="735"/>
      <c r="G184" s="939"/>
      <c r="H184" s="50" t="s">
        <v>65</v>
      </c>
      <c r="I184" s="41">
        <v>97</v>
      </c>
      <c r="J184" s="50"/>
      <c r="K184" s="50"/>
      <c r="L184" s="41"/>
      <c r="M184" s="1714"/>
      <c r="N184" s="1719"/>
      <c r="O184" s="1260"/>
      <c r="P184" s="1252"/>
      <c r="Q184" s="1259"/>
    </row>
    <row r="185" spans="1:18" ht="17.25" customHeight="1" x14ac:dyDescent="0.2">
      <c r="A185" s="456"/>
      <c r="B185" s="457"/>
      <c r="C185" s="467"/>
      <c r="D185" s="756"/>
      <c r="E185" s="1728"/>
      <c r="F185" s="736"/>
      <c r="G185" s="939"/>
      <c r="H185" s="50" t="s">
        <v>65</v>
      </c>
      <c r="I185" s="41">
        <v>63.9</v>
      </c>
      <c r="J185" s="50"/>
      <c r="K185" s="50"/>
      <c r="L185" s="41"/>
      <c r="M185" s="1715"/>
      <c r="N185" s="1720"/>
      <c r="O185" s="1260"/>
      <c r="P185" s="1252"/>
      <c r="Q185" s="1259"/>
    </row>
    <row r="186" spans="1:18" ht="14.25" customHeight="1" x14ac:dyDescent="0.2">
      <c r="A186" s="456"/>
      <c r="B186" s="457"/>
      <c r="C186" s="467"/>
      <c r="D186" s="747" t="s">
        <v>6</v>
      </c>
      <c r="E186" s="689" t="s">
        <v>122</v>
      </c>
      <c r="F186" s="748"/>
      <c r="G186" s="1596" t="s">
        <v>150</v>
      </c>
      <c r="H186" s="92"/>
      <c r="I186" s="385"/>
      <c r="J186" s="88"/>
      <c r="K186" s="88"/>
      <c r="L186" s="385"/>
      <c r="M186" s="1250"/>
      <c r="N186" s="119"/>
      <c r="O186" s="101"/>
      <c r="P186" s="102"/>
      <c r="Q186" s="165"/>
    </row>
    <row r="187" spans="1:18" ht="42.75" customHeight="1" x14ac:dyDescent="0.2">
      <c r="A187" s="456"/>
      <c r="B187" s="457"/>
      <c r="C187" s="467"/>
      <c r="D187" s="747"/>
      <c r="E187" s="154" t="s">
        <v>302</v>
      </c>
      <c r="F187" s="748"/>
      <c r="G187" s="1569"/>
      <c r="H187" s="89" t="s">
        <v>23</v>
      </c>
      <c r="I187" s="43">
        <v>400</v>
      </c>
      <c r="J187" s="81"/>
      <c r="K187" s="81"/>
      <c r="L187" s="43"/>
      <c r="M187" s="829" t="s">
        <v>119</v>
      </c>
      <c r="N187" s="167">
        <v>21</v>
      </c>
      <c r="O187" s="191">
        <v>21</v>
      </c>
      <c r="P187" s="191">
        <v>21</v>
      </c>
      <c r="Q187" s="309">
        <v>21</v>
      </c>
    </row>
    <row r="188" spans="1:18" ht="22.5" customHeight="1" x14ac:dyDescent="0.2">
      <c r="A188" s="456"/>
      <c r="B188" s="457"/>
      <c r="C188" s="467"/>
      <c r="D188" s="747"/>
      <c r="E188" s="1427" t="s">
        <v>123</v>
      </c>
      <c r="F188" s="748"/>
      <c r="G188" s="950"/>
      <c r="H188" s="50" t="s">
        <v>23</v>
      </c>
      <c r="I188" s="41">
        <v>31.2</v>
      </c>
      <c r="J188" s="77">
        <v>93.4</v>
      </c>
      <c r="K188" s="77">
        <v>93.4</v>
      </c>
      <c r="L188" s="41">
        <v>93.4</v>
      </c>
      <c r="M188" s="1429" t="s">
        <v>161</v>
      </c>
      <c r="N188" s="166">
        <v>18</v>
      </c>
      <c r="O188" s="166">
        <v>18</v>
      </c>
      <c r="P188" s="166">
        <v>18</v>
      </c>
      <c r="Q188" s="511">
        <v>18</v>
      </c>
    </row>
    <row r="189" spans="1:18" ht="21" customHeight="1" x14ac:dyDescent="0.2">
      <c r="A189" s="456"/>
      <c r="B189" s="457"/>
      <c r="C189" s="467"/>
      <c r="D189" s="756"/>
      <c r="E189" s="1428"/>
      <c r="F189" s="748"/>
      <c r="G189" s="950"/>
      <c r="H189" s="53"/>
      <c r="I189" s="378"/>
      <c r="J189" s="78"/>
      <c r="K189" s="78"/>
      <c r="L189" s="378"/>
      <c r="M189" s="1564"/>
      <c r="N189" s="469"/>
      <c r="O189" s="32"/>
      <c r="P189" s="32"/>
      <c r="Q189" s="16"/>
    </row>
    <row r="190" spans="1:18" ht="18" customHeight="1" x14ac:dyDescent="0.2">
      <c r="A190" s="1355"/>
      <c r="B190" s="1378"/>
      <c r="C190" s="1623"/>
      <c r="D190" s="1472" t="s">
        <v>26</v>
      </c>
      <c r="E190" s="1365" t="s">
        <v>39</v>
      </c>
      <c r="F190" s="1452"/>
      <c r="G190" s="1596" t="s">
        <v>150</v>
      </c>
      <c r="H190" s="50" t="s">
        <v>23</v>
      </c>
      <c r="I190" s="41">
        <v>59.5</v>
      </c>
      <c r="J190" s="77">
        <v>59.5</v>
      </c>
      <c r="K190" s="77">
        <v>62</v>
      </c>
      <c r="L190" s="41">
        <v>65</v>
      </c>
      <c r="M190" s="1712" t="s">
        <v>48</v>
      </c>
      <c r="N190" s="1716">
        <v>7</v>
      </c>
      <c r="O190" s="1576">
        <v>7</v>
      </c>
      <c r="P190" s="1576" t="s">
        <v>247</v>
      </c>
      <c r="Q190" s="1450" t="s">
        <v>248</v>
      </c>
    </row>
    <row r="191" spans="1:18" ht="18" customHeight="1" x14ac:dyDescent="0.2">
      <c r="A191" s="1355"/>
      <c r="B191" s="1378"/>
      <c r="C191" s="1623"/>
      <c r="D191" s="1472"/>
      <c r="E191" s="1367"/>
      <c r="F191" s="1453"/>
      <c r="G191" s="1569"/>
      <c r="H191" s="53"/>
      <c r="I191" s="378"/>
      <c r="J191" s="78"/>
      <c r="K191" s="78"/>
      <c r="L191" s="378"/>
      <c r="M191" s="1713"/>
      <c r="N191" s="1717"/>
      <c r="O191" s="1577"/>
      <c r="P191" s="1577"/>
      <c r="Q191" s="1451"/>
    </row>
    <row r="192" spans="1:18" ht="18" customHeight="1" x14ac:dyDescent="0.2">
      <c r="A192" s="1355"/>
      <c r="B192" s="1356"/>
      <c r="C192" s="1623"/>
      <c r="D192" s="1611" t="s">
        <v>30</v>
      </c>
      <c r="E192" s="1455" t="s">
        <v>206</v>
      </c>
      <c r="F192" s="1655"/>
      <c r="G192" s="1596" t="s">
        <v>150</v>
      </c>
      <c r="H192" s="54"/>
      <c r="I192" s="377"/>
      <c r="J192" s="76"/>
      <c r="K192" s="377"/>
      <c r="L192" s="377"/>
      <c r="M192" s="1282" t="s">
        <v>134</v>
      </c>
      <c r="N192" s="394"/>
      <c r="O192" s="1287"/>
      <c r="P192" s="1287"/>
      <c r="Q192" s="1284"/>
    </row>
    <row r="193" spans="1:18" ht="18.75" customHeight="1" x14ac:dyDescent="0.2">
      <c r="A193" s="1355"/>
      <c r="B193" s="1356"/>
      <c r="C193" s="1623"/>
      <c r="D193" s="1472"/>
      <c r="E193" s="1416"/>
      <c r="F193" s="1656"/>
      <c r="G193" s="1569"/>
      <c r="H193" s="50" t="s">
        <v>23</v>
      </c>
      <c r="I193" s="41">
        <v>40</v>
      </c>
      <c r="J193" s="77">
        <v>45</v>
      </c>
      <c r="K193" s="41">
        <v>45</v>
      </c>
      <c r="L193" s="41">
        <v>45</v>
      </c>
      <c r="M193" s="1283" t="s">
        <v>159</v>
      </c>
      <c r="N193" s="223">
        <v>1</v>
      </c>
      <c r="O193" s="320">
        <v>1</v>
      </c>
      <c r="P193" s="320">
        <v>1</v>
      </c>
      <c r="Q193" s="434">
        <v>1</v>
      </c>
    </row>
    <row r="194" spans="1:18" ht="25.5" customHeight="1" x14ac:dyDescent="0.2">
      <c r="A194" s="1355"/>
      <c r="B194" s="1356"/>
      <c r="C194" s="1623"/>
      <c r="D194" s="1472"/>
      <c r="E194" s="1416"/>
      <c r="F194" s="1656"/>
      <c r="G194" s="1569"/>
      <c r="H194" s="50"/>
      <c r="I194" s="41"/>
      <c r="J194" s="50"/>
      <c r="K194" s="41"/>
      <c r="L194" s="41"/>
      <c r="M194" s="52" t="s">
        <v>118</v>
      </c>
      <c r="N194" s="219">
        <v>1</v>
      </c>
      <c r="O194" s="224">
        <v>1</v>
      </c>
      <c r="P194" s="224">
        <v>1</v>
      </c>
      <c r="Q194" s="21">
        <v>1</v>
      </c>
    </row>
    <row r="195" spans="1:18" ht="15" customHeight="1" x14ac:dyDescent="0.2">
      <c r="A195" s="456"/>
      <c r="B195" s="457"/>
      <c r="C195" s="467"/>
      <c r="D195" s="741"/>
      <c r="E195" s="459"/>
      <c r="F195" s="735"/>
      <c r="G195" s="940"/>
      <c r="H195" s="82" t="s">
        <v>23</v>
      </c>
      <c r="I195" s="39">
        <v>4</v>
      </c>
      <c r="J195" s="114">
        <v>4</v>
      </c>
      <c r="K195" s="39">
        <v>4</v>
      </c>
      <c r="L195" s="39">
        <v>4</v>
      </c>
      <c r="M195" s="52" t="s">
        <v>184</v>
      </c>
      <c r="N195" s="219">
        <v>1</v>
      </c>
      <c r="O195" s="224">
        <v>1</v>
      </c>
      <c r="P195" s="224">
        <v>1</v>
      </c>
      <c r="Q195" s="21">
        <v>1</v>
      </c>
    </row>
    <row r="196" spans="1:18" ht="15" customHeight="1" x14ac:dyDescent="0.2">
      <c r="A196" s="456"/>
      <c r="B196" s="457"/>
      <c r="C196" s="467"/>
      <c r="D196" s="741"/>
      <c r="E196" s="459"/>
      <c r="F196" s="748"/>
      <c r="G196" s="464"/>
      <c r="H196" s="334" t="s">
        <v>23</v>
      </c>
      <c r="I196" s="46"/>
      <c r="J196" s="512">
        <v>83.1</v>
      </c>
      <c r="K196" s="513">
        <v>83.1</v>
      </c>
      <c r="L196" s="513">
        <v>83.1</v>
      </c>
      <c r="M196" s="1253" t="s">
        <v>183</v>
      </c>
      <c r="N196" s="372">
        <v>1</v>
      </c>
      <c r="O196" s="246">
        <v>1</v>
      </c>
      <c r="P196" s="246">
        <v>1</v>
      </c>
      <c r="Q196" s="120">
        <v>1</v>
      </c>
    </row>
    <row r="197" spans="1:18" ht="15" customHeight="1" x14ac:dyDescent="0.2">
      <c r="A197" s="456"/>
      <c r="B197" s="457"/>
      <c r="C197" s="467"/>
      <c r="D197" s="741"/>
      <c r="E197" s="459"/>
      <c r="F197" s="748"/>
      <c r="G197" s="464"/>
      <c r="H197" s="89" t="s">
        <v>65</v>
      </c>
      <c r="I197" s="43">
        <v>55</v>
      </c>
      <c r="J197" s="74"/>
      <c r="K197" s="43"/>
      <c r="L197" s="43"/>
      <c r="M197" s="403"/>
      <c r="N197" s="474"/>
      <c r="O197" s="475"/>
      <c r="P197" s="475"/>
      <c r="Q197" s="476"/>
    </row>
    <row r="198" spans="1:18" ht="27" customHeight="1" x14ac:dyDescent="0.2">
      <c r="A198" s="799"/>
      <c r="B198" s="801"/>
      <c r="C198" s="806"/>
      <c r="D198" s="803"/>
      <c r="E198" s="810"/>
      <c r="F198" s="886" t="s">
        <v>291</v>
      </c>
      <c r="G198" s="805"/>
      <c r="H198" s="50" t="s">
        <v>23</v>
      </c>
      <c r="I198" s="41"/>
      <c r="J198" s="74">
        <v>81.7</v>
      </c>
      <c r="K198" s="43">
        <v>81.7</v>
      </c>
      <c r="L198" s="325">
        <v>81.7</v>
      </c>
      <c r="M198" s="1290" t="s">
        <v>294</v>
      </c>
      <c r="N198" s="1291"/>
      <c r="O198" s="1292">
        <v>2</v>
      </c>
      <c r="P198" s="1286">
        <v>2</v>
      </c>
      <c r="Q198" s="1285">
        <v>2</v>
      </c>
      <c r="R198" s="874"/>
    </row>
    <row r="199" spans="1:18" ht="19.5" customHeight="1" x14ac:dyDescent="0.2">
      <c r="A199" s="1355"/>
      <c r="B199" s="1356"/>
      <c r="C199" s="1623"/>
      <c r="D199" s="1687" t="s">
        <v>31</v>
      </c>
      <c r="E199" s="1365" t="s">
        <v>100</v>
      </c>
      <c r="F199" s="1566" t="s">
        <v>210</v>
      </c>
      <c r="G199" s="1596" t="s">
        <v>150</v>
      </c>
      <c r="H199" s="54" t="s">
        <v>62</v>
      </c>
      <c r="I199" s="377">
        <v>188.7</v>
      </c>
      <c r="J199" s="73">
        <v>188.7</v>
      </c>
      <c r="K199" s="377"/>
      <c r="L199" s="41"/>
      <c r="M199" s="1372" t="s">
        <v>185</v>
      </c>
      <c r="N199" s="1293">
        <f>65+18</f>
        <v>83</v>
      </c>
      <c r="O199" s="1294">
        <v>100</v>
      </c>
      <c r="P199" s="296"/>
      <c r="Q199" s="264"/>
    </row>
    <row r="200" spans="1:18" ht="20.25" customHeight="1" x14ac:dyDescent="0.2">
      <c r="A200" s="1355"/>
      <c r="B200" s="1356"/>
      <c r="C200" s="1623"/>
      <c r="D200" s="1688"/>
      <c r="E200" s="1367"/>
      <c r="F200" s="1724"/>
      <c r="G200" s="1569"/>
      <c r="H200" s="53" t="s">
        <v>65</v>
      </c>
      <c r="I200" s="378">
        <v>250</v>
      </c>
      <c r="J200" s="53"/>
      <c r="K200" s="378"/>
      <c r="L200" s="378"/>
      <c r="M200" s="1610"/>
      <c r="N200" s="384"/>
      <c r="O200" s="384"/>
      <c r="P200" s="297"/>
      <c r="Q200" s="265"/>
    </row>
    <row r="201" spans="1:18" ht="19.5" customHeight="1" x14ac:dyDescent="0.2">
      <c r="A201" s="506"/>
      <c r="B201" s="505"/>
      <c r="C201" s="200"/>
      <c r="D201" s="747" t="s">
        <v>32</v>
      </c>
      <c r="E201" s="1365" t="s">
        <v>404</v>
      </c>
      <c r="F201" s="751"/>
      <c r="G201" s="1596" t="s">
        <v>150</v>
      </c>
      <c r="H201" s="50" t="s">
        <v>62</v>
      </c>
      <c r="I201" s="41"/>
      <c r="J201" s="50">
        <v>47</v>
      </c>
      <c r="K201" s="41"/>
      <c r="L201" s="1461"/>
      <c r="M201" s="1372" t="s">
        <v>249</v>
      </c>
      <c r="N201" s="1288"/>
      <c r="O201" s="290">
        <v>100</v>
      </c>
      <c r="P201" s="1288"/>
      <c r="Q201" s="962"/>
    </row>
    <row r="202" spans="1:18" ht="15" customHeight="1" x14ac:dyDescent="0.2">
      <c r="A202" s="506"/>
      <c r="B202" s="505"/>
      <c r="C202" s="200"/>
      <c r="D202" s="491"/>
      <c r="E202" s="1367"/>
      <c r="F202" s="751"/>
      <c r="G202" s="1599"/>
      <c r="H202" s="53"/>
      <c r="I202" s="378"/>
      <c r="J202" s="78"/>
      <c r="K202" s="78"/>
      <c r="L202" s="1462"/>
      <c r="M202" s="1402"/>
      <c r="N202" s="15"/>
      <c r="O202" s="164"/>
      <c r="P202" s="15"/>
      <c r="Q202" s="16"/>
    </row>
    <row r="203" spans="1:18" ht="16.5" customHeight="1" x14ac:dyDescent="0.2">
      <c r="A203" s="563"/>
      <c r="B203" s="564"/>
      <c r="C203" s="578"/>
      <c r="D203" s="747" t="s">
        <v>33</v>
      </c>
      <c r="E203" s="1365" t="s">
        <v>94</v>
      </c>
      <c r="F203" s="1452" t="s">
        <v>172</v>
      </c>
      <c r="G203" s="1569" t="s">
        <v>195</v>
      </c>
      <c r="H203" s="334" t="s">
        <v>62</v>
      </c>
      <c r="I203" s="46"/>
      <c r="J203" s="46"/>
      <c r="K203" s="46">
        <v>8</v>
      </c>
      <c r="L203" s="46"/>
      <c r="M203" s="453" t="s">
        <v>186</v>
      </c>
      <c r="N203" s="301"/>
      <c r="O203" s="169">
        <v>4</v>
      </c>
      <c r="P203" s="191">
        <v>7</v>
      </c>
      <c r="Q203" s="309"/>
    </row>
    <row r="204" spans="1:18" ht="13.5" customHeight="1" x14ac:dyDescent="0.2">
      <c r="A204" s="561"/>
      <c r="B204" s="560"/>
      <c r="C204" s="200"/>
      <c r="D204" s="747"/>
      <c r="E204" s="1366"/>
      <c r="F204" s="1453"/>
      <c r="G204" s="1597"/>
      <c r="H204" s="50" t="s">
        <v>62</v>
      </c>
      <c r="I204" s="41">
        <f>33.4-27.6</f>
        <v>5.8</v>
      </c>
      <c r="J204" s="41">
        <v>52.7</v>
      </c>
      <c r="K204" s="41">
        <v>42</v>
      </c>
      <c r="L204" s="41"/>
      <c r="M204" s="794" t="s">
        <v>151</v>
      </c>
      <c r="N204" s="502">
        <v>9</v>
      </c>
      <c r="O204" s="502">
        <v>8</v>
      </c>
      <c r="P204" s="796">
        <v>7</v>
      </c>
      <c r="Q204" s="797"/>
    </row>
    <row r="205" spans="1:18" ht="14.25" customHeight="1" x14ac:dyDescent="0.2">
      <c r="A205" s="561"/>
      <c r="B205" s="560"/>
      <c r="C205" s="200"/>
      <c r="D205" s="747"/>
      <c r="E205" s="1326"/>
      <c r="F205" s="1690"/>
      <c r="G205" s="1691"/>
      <c r="H205" s="50" t="s">
        <v>65</v>
      </c>
      <c r="I205" s="41">
        <v>6.8</v>
      </c>
      <c r="J205" s="41"/>
      <c r="K205" s="41"/>
      <c r="L205" s="41"/>
      <c r="M205" s="403"/>
      <c r="N205" s="494"/>
      <c r="O205" s="494"/>
      <c r="P205" s="191"/>
      <c r="Q205" s="309"/>
    </row>
    <row r="206" spans="1:18" ht="25.5" customHeight="1" x14ac:dyDescent="0.2">
      <c r="A206" s="561"/>
      <c r="B206" s="560"/>
      <c r="C206" s="200"/>
      <c r="D206" s="756"/>
      <c r="E206" s="351"/>
      <c r="F206" s="66"/>
      <c r="G206" s="594" t="s">
        <v>150</v>
      </c>
      <c r="H206" s="326" t="s">
        <v>62</v>
      </c>
      <c r="I206" s="325">
        <v>48</v>
      </c>
      <c r="J206" s="325">
        <v>43.2</v>
      </c>
      <c r="K206" s="325"/>
      <c r="L206" s="325">
        <v>50</v>
      </c>
      <c r="M206" s="595" t="s">
        <v>95</v>
      </c>
      <c r="N206" s="596">
        <v>7</v>
      </c>
      <c r="O206" s="597">
        <v>6</v>
      </c>
      <c r="P206" s="401"/>
      <c r="Q206" s="350">
        <v>7</v>
      </c>
    </row>
    <row r="207" spans="1:18" ht="16.5" customHeight="1" x14ac:dyDescent="0.2">
      <c r="A207" s="563"/>
      <c r="B207" s="564"/>
      <c r="C207" s="578"/>
      <c r="D207" s="747" t="s">
        <v>143</v>
      </c>
      <c r="E207" s="1365" t="s">
        <v>192</v>
      </c>
      <c r="F207" s="426" t="s">
        <v>44</v>
      </c>
      <c r="G207" s="1596" t="s">
        <v>328</v>
      </c>
      <c r="H207" s="609" t="s">
        <v>62</v>
      </c>
      <c r="I207" s="41">
        <f>595.9-190</f>
        <v>405.9</v>
      </c>
      <c r="J207" s="61"/>
      <c r="K207" s="41"/>
      <c r="L207" s="41"/>
      <c r="M207" s="672" t="s">
        <v>43</v>
      </c>
      <c r="N207" s="673"/>
      <c r="O207" s="674" t="s">
        <v>49</v>
      </c>
      <c r="P207" s="686"/>
      <c r="Q207" s="687"/>
    </row>
    <row r="208" spans="1:18" ht="13.5" customHeight="1" x14ac:dyDescent="0.2">
      <c r="A208" s="176"/>
      <c r="B208" s="362"/>
      <c r="C208" s="593"/>
      <c r="D208" s="747"/>
      <c r="E208" s="1326"/>
      <c r="F208" s="735"/>
      <c r="G208" s="1644"/>
      <c r="H208" s="591" t="s">
        <v>62</v>
      </c>
      <c r="I208" s="41">
        <v>26.5</v>
      </c>
      <c r="J208" s="61">
        <v>37</v>
      </c>
      <c r="K208" s="41">
        <v>100</v>
      </c>
      <c r="L208" s="41">
        <v>350</v>
      </c>
      <c r="M208" s="1723" t="s">
        <v>284</v>
      </c>
      <c r="N208" s="364"/>
      <c r="O208" s="226" t="s">
        <v>298</v>
      </c>
      <c r="P208" s="226" t="s">
        <v>298</v>
      </c>
      <c r="Q208" s="227" t="s">
        <v>40</v>
      </c>
    </row>
    <row r="209" spans="1:18" ht="14.25" customHeight="1" x14ac:dyDescent="0.2">
      <c r="A209" s="176"/>
      <c r="B209" s="362"/>
      <c r="C209" s="593"/>
      <c r="D209" s="747"/>
      <c r="E209" s="1326"/>
      <c r="F209" s="735"/>
      <c r="G209" s="1644"/>
      <c r="H209" s="591" t="s">
        <v>54</v>
      </c>
      <c r="I209" s="41">
        <v>0.4</v>
      </c>
      <c r="J209" s="61">
        <v>1.8</v>
      </c>
      <c r="K209" s="41"/>
      <c r="L209" s="41"/>
      <c r="M209" s="1359"/>
      <c r="N209" s="341"/>
      <c r="O209" s="291"/>
      <c r="P209" s="291"/>
      <c r="Q209" s="249"/>
    </row>
    <row r="210" spans="1:18" ht="20.25" customHeight="1" x14ac:dyDescent="0.2">
      <c r="A210" s="176"/>
      <c r="B210" s="362"/>
      <c r="C210" s="593"/>
      <c r="D210" s="747"/>
      <c r="E210" s="363"/>
      <c r="F210" s="735"/>
      <c r="G210" s="1644"/>
      <c r="H210" s="610"/>
      <c r="I210" s="43"/>
      <c r="J210" s="74"/>
      <c r="K210" s="43"/>
      <c r="L210" s="43"/>
      <c r="M210" s="550" t="s">
        <v>180</v>
      </c>
      <c r="N210" s="671" t="s">
        <v>179</v>
      </c>
      <c r="O210" s="649"/>
      <c r="P210" s="291"/>
      <c r="Q210" s="249"/>
    </row>
    <row r="211" spans="1:18" ht="15.75" customHeight="1" x14ac:dyDescent="0.2">
      <c r="A211" s="176"/>
      <c r="B211" s="362"/>
      <c r="C211" s="593"/>
      <c r="D211" s="815"/>
      <c r="E211" s="1458" t="s">
        <v>406</v>
      </c>
      <c r="F211" s="808"/>
      <c r="G211" s="1644"/>
      <c r="H211" s="591" t="s">
        <v>62</v>
      </c>
      <c r="I211" s="41">
        <v>30</v>
      </c>
      <c r="J211" s="61">
        <v>65.5</v>
      </c>
      <c r="K211" s="41"/>
      <c r="L211" s="41"/>
      <c r="M211" s="745" t="s">
        <v>193</v>
      </c>
      <c r="N211" s="364"/>
      <c r="O211" s="226" t="s">
        <v>49</v>
      </c>
      <c r="P211" s="226"/>
      <c r="Q211" s="227"/>
    </row>
    <row r="212" spans="1:18" ht="14.25" customHeight="1" x14ac:dyDescent="0.2">
      <c r="A212" s="176"/>
      <c r="B212" s="362"/>
      <c r="C212" s="593"/>
      <c r="D212" s="821"/>
      <c r="E212" s="1459"/>
      <c r="F212" s="809"/>
      <c r="G212" s="1645"/>
      <c r="H212" s="45" t="s">
        <v>23</v>
      </c>
      <c r="I212" s="45">
        <v>60</v>
      </c>
      <c r="J212" s="98"/>
      <c r="K212" s="45"/>
      <c r="L212" s="45"/>
      <c r="M212" s="142"/>
      <c r="N212" s="242"/>
      <c r="O212" s="469"/>
      <c r="P212" s="469"/>
      <c r="Q212" s="228"/>
    </row>
    <row r="213" spans="1:18" ht="30" customHeight="1" x14ac:dyDescent="0.2">
      <c r="A213" s="811"/>
      <c r="B213" s="812"/>
      <c r="C213" s="822"/>
      <c r="D213" s="813" t="s">
        <v>305</v>
      </c>
      <c r="E213" s="1608" t="s">
        <v>310</v>
      </c>
      <c r="F213" s="885" t="s">
        <v>314</v>
      </c>
      <c r="G213" s="1569" t="s">
        <v>150</v>
      </c>
      <c r="H213" s="50" t="s">
        <v>23</v>
      </c>
      <c r="I213" s="41"/>
      <c r="J213" s="61"/>
      <c r="K213" s="41"/>
      <c r="L213" s="41"/>
      <c r="M213" s="818" t="s">
        <v>309</v>
      </c>
      <c r="N213" s="439"/>
      <c r="O213" s="824">
        <v>1</v>
      </c>
      <c r="P213" s="824"/>
      <c r="Q213" s="824"/>
      <c r="R213" s="1177"/>
    </row>
    <row r="214" spans="1:18" ht="29.25" customHeight="1" x14ac:dyDescent="0.2">
      <c r="A214" s="811"/>
      <c r="B214" s="812"/>
      <c r="C214" s="822"/>
      <c r="D214" s="816"/>
      <c r="E214" s="1609"/>
      <c r="F214" s="880" t="s">
        <v>231</v>
      </c>
      <c r="G214" s="1599"/>
      <c r="H214" s="53" t="s">
        <v>23</v>
      </c>
      <c r="I214" s="832"/>
      <c r="J214" s="93"/>
      <c r="K214" s="832"/>
      <c r="L214" s="832"/>
      <c r="M214" s="823" t="s">
        <v>313</v>
      </c>
      <c r="N214" s="833"/>
      <c r="O214" s="15"/>
      <c r="P214" s="15">
        <v>4</v>
      </c>
      <c r="Q214" s="15">
        <v>4</v>
      </c>
      <c r="R214" s="874"/>
    </row>
    <row r="215" spans="1:18" ht="16.5" customHeight="1" x14ac:dyDescent="0.2">
      <c r="A215" s="814"/>
      <c r="B215" s="812"/>
      <c r="C215" s="200"/>
      <c r="D215" s="815"/>
      <c r="E215" s="1668" t="s">
        <v>148</v>
      </c>
      <c r="F215" s="817"/>
      <c r="G215" s="1569"/>
      <c r="H215" s="398" t="s">
        <v>65</v>
      </c>
      <c r="I215" s="143">
        <v>3</v>
      </c>
      <c r="J215" s="514"/>
      <c r="K215" s="41"/>
      <c r="L215" s="41"/>
      <c r="M215" s="516" t="s">
        <v>149</v>
      </c>
      <c r="N215" s="517">
        <v>1</v>
      </c>
      <c r="O215" s="223"/>
      <c r="P215" s="320"/>
      <c r="Q215" s="434"/>
    </row>
    <row r="216" spans="1:18" ht="15" customHeight="1" x14ac:dyDescent="0.2">
      <c r="A216" s="814"/>
      <c r="B216" s="812"/>
      <c r="C216" s="200"/>
      <c r="D216" s="592"/>
      <c r="E216" s="1558"/>
      <c r="F216" s="66"/>
      <c r="G216" s="1599"/>
      <c r="H216" s="53"/>
      <c r="I216" s="832"/>
      <c r="J216" s="78"/>
      <c r="K216" s="78"/>
      <c r="L216" s="78"/>
      <c r="M216" s="123"/>
      <c r="N216" s="175"/>
      <c r="O216" s="819"/>
      <c r="P216" s="820"/>
      <c r="Q216" s="16"/>
    </row>
    <row r="217" spans="1:18" ht="18" customHeight="1" thickBot="1" x14ac:dyDescent="0.25">
      <c r="A217" s="565"/>
      <c r="B217" s="147"/>
      <c r="C217" s="193"/>
      <c r="D217" s="492"/>
      <c r="E217" s="194"/>
      <c r="F217" s="203"/>
      <c r="G217" s="190"/>
      <c r="H217" s="121" t="s">
        <v>5</v>
      </c>
      <c r="I217" s="83">
        <f>SUM(I175:I215)</f>
        <v>6569.5</v>
      </c>
      <c r="J217" s="83">
        <f>SUM(J175:J215)</f>
        <v>6126.8</v>
      </c>
      <c r="K217" s="83">
        <f>SUM(K175:K215)</f>
        <v>6123.2</v>
      </c>
      <c r="L217" s="83">
        <f>SUM(L175:L215)</f>
        <v>6513.2</v>
      </c>
      <c r="M217" s="204"/>
      <c r="N217" s="197"/>
      <c r="O217" s="197"/>
      <c r="P217" s="197"/>
      <c r="Q217" s="198"/>
    </row>
    <row r="218" spans="1:18" ht="14.25" customHeight="1" x14ac:dyDescent="0.2">
      <c r="A218" s="1666" t="s">
        <v>4</v>
      </c>
      <c r="B218" s="1672" t="s">
        <v>6</v>
      </c>
      <c r="C218" s="1629" t="s">
        <v>26</v>
      </c>
      <c r="D218" s="1675"/>
      <c r="E218" s="1632" t="s">
        <v>93</v>
      </c>
      <c r="F218" s="727" t="s">
        <v>44</v>
      </c>
      <c r="G218" s="1620" t="s">
        <v>64</v>
      </c>
      <c r="H218" s="398" t="s">
        <v>54</v>
      </c>
      <c r="I218" s="598">
        <f>344.9+113</f>
        <v>457.9</v>
      </c>
      <c r="J218" s="599"/>
      <c r="K218" s="598"/>
      <c r="L218" s="598"/>
      <c r="M218" s="1732" t="s">
        <v>162</v>
      </c>
      <c r="N218" s="608">
        <v>18</v>
      </c>
      <c r="O218" s="695"/>
      <c r="P218" s="273"/>
      <c r="Q218" s="262"/>
    </row>
    <row r="219" spans="1:18" ht="14.25" customHeight="1" x14ac:dyDescent="0.2">
      <c r="A219" s="1481"/>
      <c r="B219" s="1673"/>
      <c r="C219" s="1630"/>
      <c r="D219" s="1472"/>
      <c r="E219" s="1633"/>
      <c r="F219" s="728" t="s">
        <v>173</v>
      </c>
      <c r="G219" s="1621"/>
      <c r="H219" s="398" t="s">
        <v>23</v>
      </c>
      <c r="I219" s="143">
        <f>294.6-19.8</f>
        <v>274.8</v>
      </c>
      <c r="J219" s="599"/>
      <c r="K219" s="143"/>
      <c r="L219" s="143"/>
      <c r="M219" s="1733"/>
      <c r="N219" s="600"/>
      <c r="O219" s="696"/>
      <c r="P219" s="471"/>
      <c r="Q219" s="472"/>
    </row>
    <row r="220" spans="1:18" ht="15" customHeight="1" x14ac:dyDescent="0.2">
      <c r="A220" s="1481"/>
      <c r="B220" s="1673"/>
      <c r="C220" s="1630"/>
      <c r="D220" s="1472"/>
      <c r="E220" s="1633"/>
      <c r="F220" s="728" t="s">
        <v>291</v>
      </c>
      <c r="G220" s="1621"/>
      <c r="H220" s="398" t="s">
        <v>167</v>
      </c>
      <c r="I220" s="143">
        <f>4264.5-112.8</f>
        <v>4151.7</v>
      </c>
      <c r="J220" s="599"/>
      <c r="K220" s="143"/>
      <c r="L220" s="143"/>
      <c r="M220" s="1734"/>
      <c r="N220" s="600"/>
      <c r="O220" s="696"/>
      <c r="P220" s="471"/>
      <c r="Q220" s="472"/>
    </row>
    <row r="221" spans="1:18" ht="16.5" customHeight="1" thickBot="1" x14ac:dyDescent="0.25">
      <c r="A221" s="1667"/>
      <c r="B221" s="1674"/>
      <c r="C221" s="1631"/>
      <c r="D221" s="1676"/>
      <c r="E221" s="601"/>
      <c r="F221" s="602"/>
      <c r="G221" s="1622"/>
      <c r="H221" s="603" t="s">
        <v>5</v>
      </c>
      <c r="I221" s="604">
        <f>SUM(I218:I220)</f>
        <v>4884.3999999999996</v>
      </c>
      <c r="J221" s="605">
        <f>SUM(J218:J220)</f>
        <v>0</v>
      </c>
      <c r="K221" s="604">
        <f>SUM(K218:K220)</f>
        <v>0</v>
      </c>
      <c r="L221" s="604">
        <f>SUM(L218:L220)</f>
        <v>0</v>
      </c>
      <c r="M221" s="606"/>
      <c r="N221" s="607"/>
      <c r="O221" s="289"/>
      <c r="P221" s="112"/>
      <c r="Q221" s="250"/>
    </row>
    <row r="222" spans="1:18" ht="14.25" customHeight="1" x14ac:dyDescent="0.2">
      <c r="A222" s="1666" t="s">
        <v>4</v>
      </c>
      <c r="B222" s="1672" t="s">
        <v>6</v>
      </c>
      <c r="C222" s="1675" t="s">
        <v>30</v>
      </c>
      <c r="D222" s="1675"/>
      <c r="E222" s="1632" t="s">
        <v>238</v>
      </c>
      <c r="F222" s="728" t="s">
        <v>173</v>
      </c>
      <c r="G222" s="1620" t="s">
        <v>64</v>
      </c>
      <c r="H222" s="398" t="s">
        <v>54</v>
      </c>
      <c r="I222" s="143">
        <v>665</v>
      </c>
      <c r="J222" s="599"/>
      <c r="K222" s="598"/>
      <c r="L222" s="598"/>
      <c r="M222" s="1735" t="s">
        <v>239</v>
      </c>
      <c r="N222" s="608">
        <v>100</v>
      </c>
      <c r="O222" s="312"/>
      <c r="P222" s="273"/>
      <c r="Q222" s="262"/>
    </row>
    <row r="223" spans="1:18" ht="14.25" customHeight="1" x14ac:dyDescent="0.2">
      <c r="A223" s="1481"/>
      <c r="B223" s="1673"/>
      <c r="C223" s="1472"/>
      <c r="D223" s="1472"/>
      <c r="E223" s="1633"/>
      <c r="F223" s="728" t="s">
        <v>291</v>
      </c>
      <c r="G223" s="1621"/>
      <c r="H223" s="398"/>
      <c r="I223" s="143"/>
      <c r="J223" s="599"/>
      <c r="K223" s="143"/>
      <c r="L223" s="143"/>
      <c r="M223" s="1736"/>
      <c r="N223" s="600"/>
      <c r="O223" s="163"/>
      <c r="P223" s="471"/>
      <c r="Q223" s="472"/>
    </row>
    <row r="224" spans="1:18" ht="15" customHeight="1" x14ac:dyDescent="0.2">
      <c r="A224" s="1481"/>
      <c r="B224" s="1673"/>
      <c r="C224" s="1472"/>
      <c r="D224" s="1472"/>
      <c r="E224" s="1633"/>
      <c r="F224" s="936" t="s">
        <v>231</v>
      </c>
      <c r="G224" s="1621"/>
      <c r="H224" s="398"/>
      <c r="I224" s="143"/>
      <c r="J224" s="599"/>
      <c r="K224" s="143"/>
      <c r="L224" s="143"/>
      <c r="M224" s="1736"/>
      <c r="N224" s="600"/>
      <c r="O224" s="163"/>
      <c r="P224" s="471"/>
      <c r="Q224" s="472"/>
    </row>
    <row r="225" spans="1:18" ht="16.5" customHeight="1" thickBot="1" x14ac:dyDescent="0.25">
      <c r="A225" s="1667"/>
      <c r="B225" s="1674"/>
      <c r="C225" s="1676"/>
      <c r="D225" s="1676"/>
      <c r="E225" s="601"/>
      <c r="F225" s="602"/>
      <c r="G225" s="1622"/>
      <c r="H225" s="603" t="s">
        <v>5</v>
      </c>
      <c r="I225" s="604">
        <f>SUM(I222:I224)</f>
        <v>665</v>
      </c>
      <c r="J225" s="605">
        <f>SUM(J222:J224)</f>
        <v>0</v>
      </c>
      <c r="K225" s="604">
        <f>SUM(K222:K224)</f>
        <v>0</v>
      </c>
      <c r="L225" s="604">
        <f>SUM(L222:L224)</f>
        <v>0</v>
      </c>
      <c r="M225" s="606"/>
      <c r="N225" s="607"/>
      <c r="O225" s="289"/>
      <c r="P225" s="112"/>
      <c r="Q225" s="250"/>
    </row>
    <row r="226" spans="1:18" ht="14.25" customHeight="1" thickBot="1" x14ac:dyDescent="0.25">
      <c r="A226" s="57" t="s">
        <v>4</v>
      </c>
      <c r="B226" s="149" t="s">
        <v>6</v>
      </c>
      <c r="C226" s="1430" t="s">
        <v>7</v>
      </c>
      <c r="D226" s="1431"/>
      <c r="E226" s="1431"/>
      <c r="F226" s="1431"/>
      <c r="G226" s="1431"/>
      <c r="H226" s="1431"/>
      <c r="I226" s="85">
        <f>I225+I221+I217</f>
        <v>12118.9</v>
      </c>
      <c r="J226" s="85">
        <f t="shared" ref="J226:L226" si="1">J225+J221+J217</f>
        <v>6126.8</v>
      </c>
      <c r="K226" s="85">
        <f t="shared" si="1"/>
        <v>6123.2</v>
      </c>
      <c r="L226" s="85">
        <f t="shared" si="1"/>
        <v>6513.2</v>
      </c>
      <c r="M226" s="1464"/>
      <c r="N226" s="1464"/>
      <c r="O226" s="1464"/>
      <c r="P226" s="1464"/>
      <c r="Q226" s="1465"/>
    </row>
    <row r="227" spans="1:18" ht="18" customHeight="1" thickBot="1" x14ac:dyDescent="0.25">
      <c r="A227" s="47" t="s">
        <v>4</v>
      </c>
      <c r="B227" s="149" t="s">
        <v>26</v>
      </c>
      <c r="C227" s="1434" t="s">
        <v>87</v>
      </c>
      <c r="D227" s="1466"/>
      <c r="E227" s="1466"/>
      <c r="F227" s="1466"/>
      <c r="G227" s="1466"/>
      <c r="H227" s="1466"/>
      <c r="I227" s="1466"/>
      <c r="J227" s="1466"/>
      <c r="K227" s="1466"/>
      <c r="L227" s="1466"/>
      <c r="M227" s="1466"/>
      <c r="N227" s="1466"/>
      <c r="O227" s="1466"/>
      <c r="P227" s="1466"/>
      <c r="Q227" s="1467"/>
    </row>
    <row r="228" spans="1:18" ht="27" customHeight="1" x14ac:dyDescent="0.2">
      <c r="A228" s="139" t="s">
        <v>4</v>
      </c>
      <c r="B228" s="148" t="s">
        <v>26</v>
      </c>
      <c r="C228" s="196" t="s">
        <v>4</v>
      </c>
      <c r="D228" s="749"/>
      <c r="E228" s="129" t="s">
        <v>84</v>
      </c>
      <c r="F228" s="923" t="s">
        <v>173</v>
      </c>
      <c r="G228" s="133"/>
      <c r="H228" s="58"/>
      <c r="I228" s="80"/>
      <c r="J228" s="80"/>
      <c r="K228" s="80"/>
      <c r="L228" s="80"/>
      <c r="M228" s="59"/>
      <c r="N228" s="113"/>
      <c r="O228" s="113"/>
      <c r="P228" s="113"/>
      <c r="Q228" s="173"/>
    </row>
    <row r="229" spans="1:18" ht="13.5" customHeight="1" x14ac:dyDescent="0.2">
      <c r="A229" s="138"/>
      <c r="B229" s="145"/>
      <c r="C229" s="195"/>
      <c r="D229" s="755" t="s">
        <v>4</v>
      </c>
      <c r="E229" s="1384" t="s">
        <v>82</v>
      </c>
      <c r="F229" s="1379" t="s">
        <v>66</v>
      </c>
      <c r="G229" s="1596" t="s">
        <v>330</v>
      </c>
      <c r="H229" s="46" t="s">
        <v>62</v>
      </c>
      <c r="I229" s="77">
        <f>190.8</f>
        <v>190.8</v>
      </c>
      <c r="J229" s="41">
        <f>194.7-30</f>
        <v>164.7</v>
      </c>
      <c r="K229" s="41">
        <v>207.9</v>
      </c>
      <c r="L229" s="41">
        <v>207.9</v>
      </c>
      <c r="M229" s="1236" t="s">
        <v>88</v>
      </c>
      <c r="N229" s="132">
        <v>14.5</v>
      </c>
      <c r="O229" s="25">
        <v>14.5</v>
      </c>
      <c r="P229" s="25">
        <v>14.5</v>
      </c>
      <c r="Q229" s="26">
        <v>14.5</v>
      </c>
      <c r="R229" s="188"/>
    </row>
    <row r="230" spans="1:18" ht="13.5" customHeight="1" x14ac:dyDescent="0.2">
      <c r="A230" s="406"/>
      <c r="B230" s="407"/>
      <c r="C230" s="408"/>
      <c r="D230" s="747"/>
      <c r="E230" s="1392"/>
      <c r="F230" s="1380"/>
      <c r="G230" s="1569"/>
      <c r="H230" s="41" t="s">
        <v>23</v>
      </c>
      <c r="I230" s="77">
        <f>40+28.6</f>
        <v>68.599999999999994</v>
      </c>
      <c r="J230" s="41">
        <v>53</v>
      </c>
      <c r="K230" s="41">
        <v>53</v>
      </c>
      <c r="L230" s="41">
        <v>53</v>
      </c>
      <c r="M230" s="1236" t="s">
        <v>35</v>
      </c>
      <c r="N230" s="1237">
        <f>66+5</f>
        <v>71</v>
      </c>
      <c r="O230" s="1229">
        <v>71</v>
      </c>
      <c r="P230" s="1229">
        <v>74</v>
      </c>
      <c r="Q230" s="1235">
        <v>81</v>
      </c>
      <c r="R230" s="188"/>
    </row>
    <row r="231" spans="1:18" ht="13.5" customHeight="1" x14ac:dyDescent="0.2">
      <c r="A231" s="881"/>
      <c r="B231" s="882"/>
      <c r="C231" s="884"/>
      <c r="D231" s="883"/>
      <c r="E231" s="1392"/>
      <c r="F231" s="1380"/>
      <c r="G231" s="1569"/>
      <c r="H231" s="43" t="s">
        <v>79</v>
      </c>
      <c r="I231" s="81">
        <f>80+1.7</f>
        <v>81.7</v>
      </c>
      <c r="J231" s="43">
        <v>100</v>
      </c>
      <c r="K231" s="43">
        <v>100</v>
      </c>
      <c r="L231" s="43">
        <v>100</v>
      </c>
      <c r="M231" s="1236"/>
      <c r="N231" s="132"/>
      <c r="O231" s="25"/>
      <c r="P231" s="25"/>
      <c r="Q231" s="26"/>
      <c r="R231" s="188"/>
    </row>
    <row r="232" spans="1:18" ht="23.25" customHeight="1" x14ac:dyDescent="0.2">
      <c r="A232" s="138"/>
      <c r="B232" s="145"/>
      <c r="C232" s="195"/>
      <c r="D232" s="747"/>
      <c r="E232" s="1392"/>
      <c r="F232" s="1468"/>
      <c r="G232" s="1569"/>
      <c r="H232" s="43" t="s">
        <v>23</v>
      </c>
      <c r="I232" s="81"/>
      <c r="J232" s="43">
        <v>78.5</v>
      </c>
      <c r="K232" s="43"/>
      <c r="L232" s="43"/>
      <c r="M232" s="388" t="s">
        <v>315</v>
      </c>
      <c r="N232" s="17"/>
      <c r="O232" s="100">
        <v>7</v>
      </c>
      <c r="P232" s="100"/>
      <c r="Q232" s="18"/>
      <c r="R232" s="188"/>
    </row>
    <row r="233" spans="1:18" ht="18.75" customHeight="1" x14ac:dyDescent="0.2">
      <c r="A233" s="138"/>
      <c r="B233" s="145"/>
      <c r="C233" s="195"/>
      <c r="D233" s="747"/>
      <c r="E233" s="1392"/>
      <c r="F233" s="1731"/>
      <c r="G233" s="1569"/>
      <c r="H233" s="43" t="s">
        <v>62</v>
      </c>
      <c r="I233" s="77">
        <v>18.3</v>
      </c>
      <c r="J233" s="41">
        <v>9.6999999999999993</v>
      </c>
      <c r="K233" s="41">
        <v>9.6999999999999993</v>
      </c>
      <c r="L233" s="41">
        <v>9.6999999999999993</v>
      </c>
      <c r="M233" s="964" t="s">
        <v>205</v>
      </c>
      <c r="N233" s="17">
        <v>100</v>
      </c>
      <c r="O233" s="100">
        <v>60</v>
      </c>
      <c r="P233" s="100">
        <v>60</v>
      </c>
      <c r="Q233" s="18">
        <v>60</v>
      </c>
      <c r="R233" s="188"/>
    </row>
    <row r="234" spans="1:18" ht="26.25" customHeight="1" x14ac:dyDescent="0.2">
      <c r="A234" s="155"/>
      <c r="B234" s="157"/>
      <c r="C234" s="195"/>
      <c r="D234" s="747"/>
      <c r="E234" s="1392"/>
      <c r="F234" s="1232"/>
      <c r="G234" s="1569"/>
      <c r="H234" s="39" t="s">
        <v>79</v>
      </c>
      <c r="I234" s="79">
        <v>10</v>
      </c>
      <c r="J234" s="39">
        <v>181.5</v>
      </c>
      <c r="K234" s="39"/>
      <c r="L234" s="39"/>
      <c r="M234" s="388" t="s">
        <v>213</v>
      </c>
      <c r="N234" s="116" t="s">
        <v>222</v>
      </c>
      <c r="O234" s="100">
        <v>100</v>
      </c>
      <c r="P234" s="354"/>
      <c r="Q234" s="355"/>
      <c r="R234" s="1243"/>
    </row>
    <row r="235" spans="1:18" ht="16.5" customHeight="1" x14ac:dyDescent="0.2">
      <c r="A235" s="503"/>
      <c r="B235" s="505"/>
      <c r="C235" s="509"/>
      <c r="D235" s="747"/>
      <c r="E235" s="1392"/>
      <c r="F235" s="1232"/>
      <c r="G235" s="1569"/>
      <c r="H235" s="41" t="s">
        <v>65</v>
      </c>
      <c r="I235" s="77">
        <f>36.6+1.4-4.7</f>
        <v>33.299999999999997</v>
      </c>
      <c r="J235" s="41"/>
      <c r="K235" s="41"/>
      <c r="L235" s="41"/>
      <c r="M235" s="1236" t="s">
        <v>250</v>
      </c>
      <c r="N235" s="698"/>
      <c r="O235" s="1229">
        <v>7</v>
      </c>
      <c r="P235" s="25"/>
      <c r="Q235" s="26"/>
      <c r="R235" s="1243"/>
    </row>
    <row r="236" spans="1:18" ht="13.5" customHeight="1" x14ac:dyDescent="0.2">
      <c r="A236" s="342"/>
      <c r="B236" s="343"/>
      <c r="C236" s="344"/>
      <c r="D236" s="747"/>
      <c r="E236" s="1392"/>
      <c r="F236" s="1232"/>
      <c r="G236" s="1569"/>
      <c r="H236" s="41" t="s">
        <v>79</v>
      </c>
      <c r="I236" s="77">
        <v>9</v>
      </c>
      <c r="J236" s="41">
        <v>85.2</v>
      </c>
      <c r="K236" s="41">
        <v>170</v>
      </c>
      <c r="L236" s="143"/>
      <c r="M236" s="1585" t="s">
        <v>251</v>
      </c>
      <c r="N236" s="1237">
        <v>5</v>
      </c>
      <c r="O236" s="298">
        <v>3</v>
      </c>
      <c r="P236" s="298"/>
      <c r="Q236" s="263"/>
      <c r="R236" s="1243"/>
    </row>
    <row r="237" spans="1:18" ht="8.25" customHeight="1" x14ac:dyDescent="0.2">
      <c r="A237" s="214"/>
      <c r="B237" s="216"/>
      <c r="C237" s="215"/>
      <c r="D237" s="747"/>
      <c r="E237" s="1392"/>
      <c r="F237" s="1232"/>
      <c r="G237" s="1569"/>
      <c r="H237" s="41"/>
      <c r="I237" s="77"/>
      <c r="J237" s="41"/>
      <c r="K237" s="143"/>
      <c r="L237" s="143"/>
      <c r="M237" s="1737"/>
      <c r="N237" s="1237"/>
      <c r="O237" s="298"/>
      <c r="P237" s="298"/>
      <c r="Q237" s="263"/>
      <c r="R237" s="188"/>
    </row>
    <row r="238" spans="1:18" ht="27.75" customHeight="1" x14ac:dyDescent="0.2">
      <c r="A238" s="503"/>
      <c r="B238" s="505"/>
      <c r="C238" s="509"/>
      <c r="D238" s="756"/>
      <c r="E238" s="1225"/>
      <c r="F238" s="1232"/>
      <c r="G238" s="1240"/>
      <c r="H238" s="518" t="s">
        <v>62</v>
      </c>
      <c r="I238" s="519">
        <v>45</v>
      </c>
      <c r="J238" s="518"/>
      <c r="K238" s="518"/>
      <c r="L238" s="518"/>
      <c r="M238" s="520" t="s">
        <v>187</v>
      </c>
      <c r="N238" s="521">
        <v>1</v>
      </c>
      <c r="O238" s="522"/>
      <c r="P238" s="522"/>
      <c r="Q238" s="523"/>
      <c r="R238" s="188"/>
    </row>
    <row r="239" spans="1:18" ht="15" customHeight="1" x14ac:dyDescent="0.2">
      <c r="A239" s="138"/>
      <c r="B239" s="145"/>
      <c r="C239" s="195"/>
      <c r="D239" s="747" t="s">
        <v>6</v>
      </c>
      <c r="E239" s="1222" t="s">
        <v>58</v>
      </c>
      <c r="F239" s="174"/>
      <c r="G239" s="1242"/>
      <c r="H239" s="41" t="s">
        <v>79</v>
      </c>
      <c r="I239" s="77">
        <f>120-20</f>
        <v>100</v>
      </c>
      <c r="J239" s="1238">
        <v>100</v>
      </c>
      <c r="K239" s="1238">
        <v>100</v>
      </c>
      <c r="L239" s="1238">
        <v>100</v>
      </c>
      <c r="M239" s="1236" t="s">
        <v>70</v>
      </c>
      <c r="N239" s="1237">
        <v>1</v>
      </c>
      <c r="O239" s="1228">
        <v>1</v>
      </c>
      <c r="P239" s="1229">
        <v>1</v>
      </c>
      <c r="Q239" s="1235">
        <v>1</v>
      </c>
      <c r="R239" s="1243"/>
    </row>
    <row r="240" spans="1:18" ht="15" customHeight="1" x14ac:dyDescent="0.2">
      <c r="A240" s="342"/>
      <c r="B240" s="343"/>
      <c r="C240" s="344"/>
      <c r="D240" s="747"/>
      <c r="E240" s="1225"/>
      <c r="F240" s="352"/>
      <c r="G240" s="1242"/>
      <c r="H240" s="41" t="s">
        <v>62</v>
      </c>
      <c r="I240" s="77">
        <v>15</v>
      </c>
      <c r="J240" s="50">
        <v>10</v>
      </c>
      <c r="K240" s="50">
        <v>10</v>
      </c>
      <c r="L240" s="50">
        <v>10</v>
      </c>
      <c r="M240" s="1236"/>
      <c r="N240" s="1237"/>
      <c r="O240" s="1228"/>
      <c r="P240" s="1229"/>
      <c r="Q240" s="1235"/>
      <c r="R240" s="188"/>
    </row>
    <row r="241" spans="1:18" ht="16.5" customHeight="1" x14ac:dyDescent="0.2">
      <c r="A241" s="138"/>
      <c r="B241" s="145"/>
      <c r="C241" s="195"/>
      <c r="D241" s="756"/>
      <c r="E241" s="1226"/>
      <c r="F241" s="84"/>
      <c r="G241" s="1242"/>
      <c r="H241" s="1239"/>
      <c r="I241" s="78"/>
      <c r="J241" s="53"/>
      <c r="K241" s="53"/>
      <c r="L241" s="53"/>
      <c r="M241" s="405"/>
      <c r="N241" s="15"/>
      <c r="O241" s="164"/>
      <c r="P241" s="32"/>
      <c r="Q241" s="16"/>
      <c r="R241" s="188"/>
    </row>
    <row r="242" spans="1:18" ht="13.5" customHeight="1" x14ac:dyDescent="0.2">
      <c r="A242" s="276"/>
      <c r="B242" s="278"/>
      <c r="C242" s="277"/>
      <c r="D242" s="755" t="s">
        <v>26</v>
      </c>
      <c r="E242" s="1400" t="s">
        <v>90</v>
      </c>
      <c r="F242" s="324"/>
      <c r="G242" s="1740"/>
      <c r="H242" s="1238" t="s">
        <v>62</v>
      </c>
      <c r="I242" s="76">
        <v>8</v>
      </c>
      <c r="J242" s="76">
        <v>8</v>
      </c>
      <c r="K242" s="76">
        <v>8</v>
      </c>
      <c r="L242" s="76">
        <v>8</v>
      </c>
      <c r="M242" s="1722" t="s">
        <v>165</v>
      </c>
      <c r="N242" s="1738">
        <v>14</v>
      </c>
      <c r="O242" s="1729">
        <v>14</v>
      </c>
      <c r="P242" s="1729">
        <v>14</v>
      </c>
      <c r="Q242" s="1725">
        <v>14</v>
      </c>
      <c r="R242" s="188"/>
    </row>
    <row r="243" spans="1:18" ht="10.5" customHeight="1" x14ac:dyDescent="0.2">
      <c r="A243" s="276"/>
      <c r="B243" s="278"/>
      <c r="C243" s="277"/>
      <c r="D243" s="747"/>
      <c r="E243" s="1628"/>
      <c r="F243" s="271"/>
      <c r="G243" s="1740"/>
      <c r="H243" s="41"/>
      <c r="I243" s="77"/>
      <c r="J243" s="41"/>
      <c r="K243" s="41"/>
      <c r="L243" s="41"/>
      <c r="M243" s="1475"/>
      <c r="N243" s="1739"/>
      <c r="O243" s="1730"/>
      <c r="P243" s="1730"/>
      <c r="Q243" s="1726"/>
      <c r="R243" s="188"/>
    </row>
    <row r="244" spans="1:18" ht="15.75" customHeight="1" x14ac:dyDescent="0.2">
      <c r="A244" s="280"/>
      <c r="B244" s="282"/>
      <c r="C244" s="281"/>
      <c r="D244" s="756"/>
      <c r="E244" s="1401"/>
      <c r="F244" s="272"/>
      <c r="G244" s="1241"/>
      <c r="H244" s="1239"/>
      <c r="I244" s="53"/>
      <c r="J244" s="53"/>
      <c r="K244" s="53"/>
      <c r="L244" s="53"/>
      <c r="M244" s="123"/>
      <c r="N244" s="15"/>
      <c r="O244" s="164"/>
      <c r="P244" s="32"/>
      <c r="Q244" s="16"/>
      <c r="R244" s="188"/>
    </row>
    <row r="245" spans="1:18" ht="18.75" customHeight="1" x14ac:dyDescent="0.2">
      <c r="A245" s="506"/>
      <c r="B245" s="505"/>
      <c r="C245" s="200"/>
      <c r="D245" s="747" t="s">
        <v>30</v>
      </c>
      <c r="E245" s="1416" t="s">
        <v>116</v>
      </c>
      <c r="F245" s="1224" t="s">
        <v>44</v>
      </c>
      <c r="G245" s="1569"/>
      <c r="H245" s="41" t="s">
        <v>23</v>
      </c>
      <c r="I245" s="50">
        <f>76.5-28.6</f>
        <v>47.9</v>
      </c>
      <c r="J245" s="50">
        <v>54.5</v>
      </c>
      <c r="K245" s="50">
        <v>76.5</v>
      </c>
      <c r="L245" s="50">
        <v>76.5</v>
      </c>
      <c r="M245" s="1585" t="s">
        <v>104</v>
      </c>
      <c r="N245" s="229">
        <v>15</v>
      </c>
      <c r="O245" s="231">
        <v>15</v>
      </c>
      <c r="P245" s="117">
        <v>15</v>
      </c>
      <c r="Q245" s="122">
        <v>15</v>
      </c>
      <c r="R245" s="188"/>
    </row>
    <row r="246" spans="1:18" ht="13.5" customHeight="1" x14ac:dyDescent="0.2">
      <c r="A246" s="506"/>
      <c r="B246" s="505"/>
      <c r="C246" s="199"/>
      <c r="D246" s="756"/>
      <c r="E246" s="1463"/>
      <c r="F246" s="329"/>
      <c r="G246" s="1689"/>
      <c r="H246" s="1239"/>
      <c r="I246" s="78"/>
      <c r="J246" s="78"/>
      <c r="K246" s="78"/>
      <c r="L246" s="78"/>
      <c r="M246" s="1721"/>
      <c r="N246" s="488"/>
      <c r="O246" s="230"/>
      <c r="P246" s="488"/>
      <c r="Q246" s="323"/>
      <c r="R246" s="188"/>
    </row>
    <row r="247" spans="1:18" ht="19.5" customHeight="1" x14ac:dyDescent="0.2">
      <c r="A247" s="155"/>
      <c r="B247" s="157"/>
      <c r="C247" s="195"/>
      <c r="D247" s="790" t="s">
        <v>31</v>
      </c>
      <c r="E247" s="1365" t="s">
        <v>83</v>
      </c>
      <c r="F247" s="1223"/>
      <c r="G247" s="1596" t="s">
        <v>150</v>
      </c>
      <c r="H247" s="1238" t="s">
        <v>62</v>
      </c>
      <c r="I247" s="54">
        <v>544</v>
      </c>
      <c r="J247" s="54">
        <v>594.70000000000005</v>
      </c>
      <c r="K247" s="54">
        <v>610.4</v>
      </c>
      <c r="L247" s="54">
        <v>626</v>
      </c>
      <c r="M247" s="1227" t="s">
        <v>107</v>
      </c>
      <c r="N247" s="396">
        <v>172</v>
      </c>
      <c r="O247" s="1233">
        <v>172</v>
      </c>
      <c r="P247" s="396">
        <v>172</v>
      </c>
      <c r="Q247" s="393">
        <v>172</v>
      </c>
      <c r="R247" s="188"/>
    </row>
    <row r="248" spans="1:18" ht="19.5" customHeight="1" x14ac:dyDescent="0.2">
      <c r="A248" s="789"/>
      <c r="B248" s="788"/>
      <c r="C248" s="218"/>
      <c r="D248" s="791"/>
      <c r="E248" s="1459"/>
      <c r="F248" s="1231"/>
      <c r="G248" s="1569"/>
      <c r="H248" s="1239" t="s">
        <v>65</v>
      </c>
      <c r="I248" s="53"/>
      <c r="J248" s="53">
        <v>31.3</v>
      </c>
      <c r="K248" s="53">
        <v>31.3</v>
      </c>
      <c r="L248" s="53">
        <v>31.3</v>
      </c>
      <c r="M248" s="123"/>
      <c r="N248" s="99"/>
      <c r="O248" s="1234"/>
      <c r="P248" s="99"/>
      <c r="Q248" s="20"/>
      <c r="R248" s="188"/>
    </row>
    <row r="249" spans="1:18" ht="26.25" customHeight="1" x14ac:dyDescent="0.2">
      <c r="A249" s="140"/>
      <c r="B249" s="146"/>
      <c r="C249" s="200"/>
      <c r="D249" s="747" t="s">
        <v>32</v>
      </c>
      <c r="E249" s="1416" t="s">
        <v>407</v>
      </c>
      <c r="F249" s="1224"/>
      <c r="G249" s="1679"/>
      <c r="H249" s="41" t="s">
        <v>62</v>
      </c>
      <c r="I249" s="50"/>
      <c r="J249" s="50">
        <v>30</v>
      </c>
      <c r="K249" s="50"/>
      <c r="L249" s="50"/>
      <c r="M249" s="1230" t="s">
        <v>385</v>
      </c>
      <c r="N249" s="117"/>
      <c r="O249" s="229">
        <v>30</v>
      </c>
      <c r="P249" s="117"/>
      <c r="Q249" s="122"/>
      <c r="R249" s="188"/>
    </row>
    <row r="250" spans="1:18" ht="8.25" customHeight="1" x14ac:dyDescent="0.2">
      <c r="A250" s="140"/>
      <c r="B250" s="146"/>
      <c r="C250" s="199"/>
      <c r="D250" s="756"/>
      <c r="E250" s="1463"/>
      <c r="F250" s="329"/>
      <c r="G250" s="1679"/>
      <c r="H250" s="1239"/>
      <c r="I250" s="78"/>
      <c r="J250" s="78"/>
      <c r="K250" s="78"/>
      <c r="L250" s="78"/>
      <c r="M250" s="123"/>
      <c r="N250" s="230"/>
      <c r="O250" s="313"/>
      <c r="P250" s="488"/>
      <c r="Q250" s="323"/>
      <c r="R250" s="188"/>
    </row>
    <row r="251" spans="1:18" ht="28.5" customHeight="1" x14ac:dyDescent="0.2">
      <c r="A251" s="1217"/>
      <c r="B251" s="1216"/>
      <c r="C251" s="200"/>
      <c r="D251" s="1213" t="s">
        <v>33</v>
      </c>
      <c r="E251" s="1416" t="s">
        <v>338</v>
      </c>
      <c r="F251" s="1224"/>
      <c r="G251" s="497"/>
      <c r="H251" s="41" t="s">
        <v>23</v>
      </c>
      <c r="I251" s="251"/>
      <c r="J251" s="50"/>
      <c r="K251" s="50">
        <v>30</v>
      </c>
      <c r="L251" s="50">
        <v>30</v>
      </c>
      <c r="M251" s="1230" t="s">
        <v>252</v>
      </c>
      <c r="N251" s="117"/>
      <c r="O251" s="229"/>
      <c r="P251" s="117">
        <v>10</v>
      </c>
      <c r="Q251" s="122">
        <v>10</v>
      </c>
      <c r="R251" s="188"/>
    </row>
    <row r="252" spans="1:18" ht="12.75" customHeight="1" x14ac:dyDescent="0.2">
      <c r="A252" s="1217"/>
      <c r="B252" s="1216"/>
      <c r="C252" s="199"/>
      <c r="D252" s="1221"/>
      <c r="E252" s="1463"/>
      <c r="F252" s="329"/>
      <c r="G252" s="497"/>
      <c r="H252" s="1239"/>
      <c r="I252" s="78"/>
      <c r="J252" s="78"/>
      <c r="K252" s="78"/>
      <c r="L252" s="78"/>
      <c r="M252" s="123"/>
      <c r="N252" s="230"/>
      <c r="O252" s="313"/>
      <c r="P252" s="488"/>
      <c r="Q252" s="323"/>
      <c r="R252" s="188"/>
    </row>
    <row r="253" spans="1:18" ht="17.25" customHeight="1" x14ac:dyDescent="0.2">
      <c r="A253" s="1355"/>
      <c r="B253" s="1378"/>
      <c r="C253" s="1665"/>
      <c r="D253" s="1677" t="s">
        <v>143</v>
      </c>
      <c r="E253" s="1455" t="s">
        <v>207</v>
      </c>
      <c r="F253" s="1473" t="s">
        <v>173</v>
      </c>
      <c r="G253" s="1596" t="s">
        <v>57</v>
      </c>
      <c r="H253" s="38" t="s">
        <v>23</v>
      </c>
      <c r="I253" s="41">
        <v>136.80000000000001</v>
      </c>
      <c r="J253" s="41">
        <f>140.7+5.6</f>
        <v>146.30000000000001</v>
      </c>
      <c r="K253" s="50">
        <v>146.30000000000001</v>
      </c>
      <c r="L253" s="50">
        <v>146.30000000000001</v>
      </c>
      <c r="M253" s="898" t="s">
        <v>61</v>
      </c>
      <c r="N253" s="144">
        <v>18</v>
      </c>
      <c r="O253" s="223">
        <v>18</v>
      </c>
      <c r="P253" s="320">
        <v>18</v>
      </c>
      <c r="Q253" s="434">
        <v>18</v>
      </c>
    </row>
    <row r="254" spans="1:18" ht="29.25" customHeight="1" x14ac:dyDescent="0.2">
      <c r="A254" s="1355"/>
      <c r="B254" s="1378"/>
      <c r="C254" s="1665"/>
      <c r="D254" s="1678"/>
      <c r="E254" s="1463"/>
      <c r="F254" s="1474"/>
      <c r="G254" s="1599"/>
      <c r="H254" s="45"/>
      <c r="I254" s="37"/>
      <c r="J254" s="90"/>
      <c r="K254" s="37"/>
      <c r="L254" s="37"/>
      <c r="M254" s="123" t="s">
        <v>71</v>
      </c>
      <c r="N254" s="15">
        <v>7</v>
      </c>
      <c r="O254" s="164">
        <v>7</v>
      </c>
      <c r="P254" s="32">
        <v>7</v>
      </c>
      <c r="Q254" s="16">
        <v>7</v>
      </c>
    </row>
    <row r="255" spans="1:18" ht="14.25" customHeight="1" thickBot="1" x14ac:dyDescent="0.25">
      <c r="A255" s="44"/>
      <c r="B255" s="566"/>
      <c r="C255" s="209"/>
      <c r="D255" s="209"/>
      <c r="E255" s="210"/>
      <c r="F255" s="211"/>
      <c r="G255" s="212"/>
      <c r="H255" s="83" t="s">
        <v>5</v>
      </c>
      <c r="I255" s="121">
        <f>SUM(I229:I254)</f>
        <v>1308.4000000000001</v>
      </c>
      <c r="J255" s="121">
        <f>SUM(J229:J254)</f>
        <v>1647.4</v>
      </c>
      <c r="K255" s="121">
        <f>SUM(K229:K254)</f>
        <v>1553.1</v>
      </c>
      <c r="L255" s="121">
        <f>SUM(L229:L254)</f>
        <v>1398.7</v>
      </c>
      <c r="M255" s="213"/>
      <c r="N255" s="314"/>
      <c r="O255" s="314"/>
      <c r="P255" s="314"/>
      <c r="Q255" s="527"/>
    </row>
    <row r="256" spans="1:18" ht="19.5" customHeight="1" x14ac:dyDescent="0.2">
      <c r="A256" s="258" t="s">
        <v>4</v>
      </c>
      <c r="B256" s="266" t="s">
        <v>26</v>
      </c>
      <c r="C256" s="267" t="s">
        <v>6</v>
      </c>
      <c r="D256" s="749"/>
      <c r="E256" s="1483" t="s">
        <v>308</v>
      </c>
      <c r="F256" s="1485"/>
      <c r="G256" s="268"/>
      <c r="H256" s="244"/>
      <c r="I256" s="244"/>
      <c r="J256" s="269"/>
      <c r="K256" s="244"/>
      <c r="L256" s="269"/>
      <c r="M256" s="270"/>
      <c r="N256" s="109"/>
      <c r="O256" s="127"/>
      <c r="P256" s="130"/>
      <c r="Q256" s="131"/>
    </row>
    <row r="257" spans="1:17" ht="12" customHeight="1" x14ac:dyDescent="0.2">
      <c r="A257" s="255"/>
      <c r="B257" s="256"/>
      <c r="C257" s="254"/>
      <c r="D257" s="756"/>
      <c r="E257" s="1459"/>
      <c r="F257" s="1680"/>
      <c r="G257" s="237"/>
      <c r="H257" s="235"/>
      <c r="I257" s="235"/>
      <c r="J257" s="236"/>
      <c r="K257" s="235"/>
      <c r="L257" s="236"/>
      <c r="M257" s="470"/>
      <c r="N257" s="28"/>
      <c r="O257" s="93"/>
      <c r="P257" s="27"/>
      <c r="Q257" s="29"/>
    </row>
    <row r="258" spans="1:17" ht="15" customHeight="1" x14ac:dyDescent="0.2">
      <c r="A258" s="1481"/>
      <c r="B258" s="1482"/>
      <c r="C258" s="1665"/>
      <c r="D258" s="755" t="s">
        <v>4</v>
      </c>
      <c r="E258" s="1659" t="s">
        <v>157</v>
      </c>
      <c r="F258" s="772" t="s">
        <v>331</v>
      </c>
      <c r="G258" s="1596" t="s">
        <v>334</v>
      </c>
      <c r="H258" s="377" t="s">
        <v>41</v>
      </c>
      <c r="I258" s="377">
        <v>420</v>
      </c>
      <c r="J258" s="54">
        <v>628.20000000000005</v>
      </c>
      <c r="K258" s="377"/>
      <c r="L258" s="54"/>
      <c r="M258" s="1477" t="s">
        <v>147</v>
      </c>
      <c r="N258" s="643"/>
      <c r="O258" s="644">
        <v>1</v>
      </c>
      <c r="P258" s="643"/>
      <c r="Q258" s="646"/>
    </row>
    <row r="259" spans="1:17" ht="14.25" customHeight="1" x14ac:dyDescent="0.2">
      <c r="A259" s="1481"/>
      <c r="B259" s="1482"/>
      <c r="C259" s="1665"/>
      <c r="D259" s="747"/>
      <c r="E259" s="1660"/>
      <c r="F259" s="781" t="s">
        <v>173</v>
      </c>
      <c r="G259" s="1569"/>
      <c r="H259" s="41" t="s">
        <v>62</v>
      </c>
      <c r="I259" s="41"/>
      <c r="J259" s="50">
        <f>393.9+31.3</f>
        <v>425.2</v>
      </c>
      <c r="K259" s="41"/>
      <c r="L259" s="50"/>
      <c r="M259" s="1478"/>
      <c r="N259" s="638"/>
      <c r="O259" s="600"/>
      <c r="P259" s="638"/>
      <c r="Q259" s="647"/>
    </row>
    <row r="260" spans="1:17" ht="25.5" customHeight="1" x14ac:dyDescent="0.2">
      <c r="A260" s="1481"/>
      <c r="B260" s="1482"/>
      <c r="C260" s="1665"/>
      <c r="D260" s="747"/>
      <c r="E260" s="1661"/>
      <c r="F260" s="1669" t="s">
        <v>300</v>
      </c>
      <c r="G260" s="1569"/>
      <c r="H260" s="41" t="s">
        <v>65</v>
      </c>
      <c r="I260" s="41"/>
      <c r="J260" s="50">
        <f>186.6-31.3</f>
        <v>155.30000000000001</v>
      </c>
      <c r="K260" s="41"/>
      <c r="L260" s="50"/>
      <c r="M260" s="626" t="s">
        <v>287</v>
      </c>
      <c r="N260" s="638"/>
      <c r="O260" s="645">
        <v>100</v>
      </c>
      <c r="P260" s="638"/>
      <c r="Q260" s="647"/>
    </row>
    <row r="261" spans="1:17" ht="17.25" customHeight="1" x14ac:dyDescent="0.2">
      <c r="A261" s="1481"/>
      <c r="B261" s="1482"/>
      <c r="C261" s="1665"/>
      <c r="D261" s="747"/>
      <c r="E261" s="1661"/>
      <c r="F261" s="1669"/>
      <c r="G261" s="1569"/>
      <c r="H261" s="41" t="s">
        <v>23</v>
      </c>
      <c r="I261" s="41">
        <v>207</v>
      </c>
      <c r="J261" s="50"/>
      <c r="K261" s="41"/>
      <c r="L261" s="50"/>
      <c r="M261" s="706"/>
      <c r="N261" s="707"/>
      <c r="O261" s="708"/>
      <c r="P261" s="707"/>
      <c r="Q261" s="709"/>
    </row>
    <row r="262" spans="1:17" ht="18.75" customHeight="1" x14ac:dyDescent="0.2">
      <c r="A262" s="1481"/>
      <c r="B262" s="1482"/>
      <c r="C262" s="1665"/>
      <c r="D262" s="747"/>
      <c r="E262" s="1662"/>
      <c r="F262" s="1670"/>
      <c r="G262" s="1569"/>
      <c r="H262" s="43" t="s">
        <v>54</v>
      </c>
      <c r="I262" s="43">
        <v>277.3</v>
      </c>
      <c r="J262" s="89">
        <v>30</v>
      </c>
      <c r="K262" s="43"/>
      <c r="L262" s="89"/>
      <c r="M262" s="389"/>
      <c r="N262" s="191"/>
      <c r="O262" s="688"/>
      <c r="P262" s="191"/>
      <c r="Q262" s="309"/>
    </row>
    <row r="263" spans="1:17" ht="24.75" customHeight="1" x14ac:dyDescent="0.2">
      <c r="A263" s="633"/>
      <c r="B263" s="636"/>
      <c r="C263" s="642"/>
      <c r="D263" s="747"/>
      <c r="E263" s="1663" t="s">
        <v>324</v>
      </c>
      <c r="F263" s="729" t="s">
        <v>291</v>
      </c>
      <c r="G263" s="639"/>
      <c r="H263" s="41" t="s">
        <v>23</v>
      </c>
      <c r="I263" s="41"/>
      <c r="J263" s="50"/>
      <c r="K263" s="41">
        <v>574.5</v>
      </c>
      <c r="L263" s="50">
        <v>1478.9</v>
      </c>
      <c r="M263" s="626" t="s">
        <v>99</v>
      </c>
      <c r="N263" s="645"/>
      <c r="O263" s="637"/>
      <c r="P263" s="638">
        <v>20</v>
      </c>
      <c r="Q263" s="647">
        <v>80</v>
      </c>
    </row>
    <row r="264" spans="1:17" ht="15" customHeight="1" x14ac:dyDescent="0.2">
      <c r="A264" s="633"/>
      <c r="B264" s="636"/>
      <c r="C264" s="642"/>
      <c r="D264" s="756"/>
      <c r="E264" s="1664"/>
      <c r="F264" s="730"/>
      <c r="G264" s="639"/>
      <c r="H264" s="378"/>
      <c r="I264" s="378"/>
      <c r="J264" s="53"/>
      <c r="K264" s="378"/>
      <c r="L264" s="53"/>
      <c r="M264" s="421"/>
      <c r="N264" s="381"/>
      <c r="O264" s="32"/>
      <c r="P264" s="32"/>
      <c r="Q264" s="16"/>
    </row>
    <row r="265" spans="1:17" ht="24.75" customHeight="1" x14ac:dyDescent="0.2">
      <c r="A265" s="1481"/>
      <c r="B265" s="1482"/>
      <c r="C265" s="1665"/>
      <c r="D265" s="747" t="s">
        <v>6</v>
      </c>
      <c r="E265" s="1590" t="s">
        <v>144</v>
      </c>
      <c r="F265" s="782" t="s">
        <v>332</v>
      </c>
      <c r="G265" s="1569"/>
      <c r="H265" s="41" t="s">
        <v>23</v>
      </c>
      <c r="I265" s="41">
        <f>42.2</f>
        <v>42.2</v>
      </c>
      <c r="J265" s="50">
        <v>3.8</v>
      </c>
      <c r="K265" s="41">
        <v>3</v>
      </c>
      <c r="L265" s="50"/>
      <c r="M265" s="1477" t="s">
        <v>145</v>
      </c>
      <c r="N265" s="650"/>
      <c r="O265" s="650"/>
      <c r="P265" s="471">
        <v>1</v>
      </c>
      <c r="Q265" s="472"/>
    </row>
    <row r="266" spans="1:17" ht="15" customHeight="1" x14ac:dyDescent="0.2">
      <c r="A266" s="1481"/>
      <c r="B266" s="1482"/>
      <c r="C266" s="1665"/>
      <c r="D266" s="850"/>
      <c r="E266" s="1590"/>
      <c r="F266" s="856" t="s">
        <v>231</v>
      </c>
      <c r="G266" s="1569"/>
      <c r="H266" s="41" t="s">
        <v>54</v>
      </c>
      <c r="I266" s="41">
        <f>12.3+152</f>
        <v>164.3</v>
      </c>
      <c r="J266" s="50">
        <v>202.6</v>
      </c>
      <c r="K266" s="41"/>
      <c r="L266" s="50"/>
      <c r="M266" s="1741"/>
      <c r="N266" s="854"/>
      <c r="O266" s="853"/>
      <c r="P266" s="851"/>
      <c r="Q266" s="852"/>
    </row>
    <row r="267" spans="1:17" ht="16.5" customHeight="1" x14ac:dyDescent="0.2">
      <c r="A267" s="1481"/>
      <c r="B267" s="1482"/>
      <c r="C267" s="1665"/>
      <c r="D267" s="747"/>
      <c r="E267" s="1681"/>
      <c r="F267" s="1671" t="s">
        <v>299</v>
      </c>
      <c r="G267" s="1569"/>
      <c r="H267" s="41" t="s">
        <v>41</v>
      </c>
      <c r="I267" s="41">
        <v>499.1</v>
      </c>
      <c r="J267" s="50">
        <v>328.8</v>
      </c>
      <c r="K267" s="41">
        <v>27.3</v>
      </c>
      <c r="L267" s="50"/>
      <c r="M267" s="920" t="s">
        <v>124</v>
      </c>
      <c r="N267" s="600">
        <v>1</v>
      </c>
      <c r="O267" s="854">
        <v>1</v>
      </c>
      <c r="P267" s="853"/>
      <c r="Q267" s="855"/>
    </row>
    <row r="268" spans="1:17" ht="12" customHeight="1" x14ac:dyDescent="0.2">
      <c r="A268" s="176"/>
      <c r="B268" s="256"/>
      <c r="C268" s="208"/>
      <c r="D268" s="747"/>
      <c r="E268" s="1681"/>
      <c r="F268" s="1607"/>
      <c r="G268" s="279"/>
      <c r="H268" s="41"/>
      <c r="I268" s="41"/>
      <c r="J268" s="50"/>
      <c r="K268" s="41"/>
      <c r="L268" s="50"/>
      <c r="M268" s="421"/>
      <c r="N268" s="381"/>
      <c r="O268" s="15"/>
      <c r="P268" s="32"/>
      <c r="Q268" s="16"/>
    </row>
    <row r="269" spans="1:17" ht="14.25" customHeight="1" x14ac:dyDescent="0.2">
      <c r="A269" s="1355"/>
      <c r="B269" s="1378"/>
      <c r="C269" s="1665"/>
      <c r="D269" s="1677" t="s">
        <v>26</v>
      </c>
      <c r="E269" s="1365" t="s">
        <v>226</v>
      </c>
      <c r="F269" s="1682" t="s">
        <v>301</v>
      </c>
      <c r="G269" s="1569"/>
      <c r="H269" s="377" t="s">
        <v>23</v>
      </c>
      <c r="I269" s="377">
        <v>2.8</v>
      </c>
      <c r="J269" s="54"/>
      <c r="K269" s="377"/>
      <c r="L269" s="54"/>
      <c r="M269" s="500" t="s">
        <v>236</v>
      </c>
      <c r="N269" s="207"/>
      <c r="O269" s="119" t="s">
        <v>49</v>
      </c>
      <c r="P269" s="119"/>
      <c r="Q269" s="187"/>
    </row>
    <row r="270" spans="1:17" ht="14.25" customHeight="1" x14ac:dyDescent="0.2">
      <c r="A270" s="1355"/>
      <c r="B270" s="1378"/>
      <c r="C270" s="1665"/>
      <c r="D270" s="1684"/>
      <c r="E270" s="1366"/>
      <c r="F270" s="1683"/>
      <c r="G270" s="1569"/>
      <c r="H270" s="41" t="s">
        <v>54</v>
      </c>
      <c r="I270" s="41"/>
      <c r="J270" s="50">
        <v>0.7</v>
      </c>
      <c r="K270" s="41"/>
      <c r="L270" s="50"/>
      <c r="M270" s="624"/>
      <c r="N270" s="207"/>
      <c r="O270" s="320"/>
      <c r="P270" s="119"/>
      <c r="Q270" s="187"/>
    </row>
    <row r="271" spans="1:17" ht="18" customHeight="1" x14ac:dyDescent="0.2">
      <c r="A271" s="1355"/>
      <c r="B271" s="1378"/>
      <c r="C271" s="1665"/>
      <c r="D271" s="1678"/>
      <c r="E271" s="1406"/>
      <c r="F271" s="1490"/>
      <c r="G271" s="1599"/>
      <c r="H271" s="45" t="s">
        <v>365</v>
      </c>
      <c r="I271" s="378"/>
      <c r="J271" s="53">
        <v>4.3</v>
      </c>
      <c r="K271" s="37"/>
      <c r="L271" s="90"/>
      <c r="M271" s="14"/>
      <c r="N271" s="36"/>
      <c r="O271" s="32"/>
      <c r="P271" s="32"/>
      <c r="Q271" s="16"/>
    </row>
    <row r="272" spans="1:17" ht="14.25" customHeight="1" x14ac:dyDescent="0.2">
      <c r="A272" s="1355"/>
      <c r="B272" s="1378"/>
      <c r="C272" s="1665"/>
      <c r="D272" s="1677" t="s">
        <v>30</v>
      </c>
      <c r="E272" s="1365" t="s">
        <v>333</v>
      </c>
      <c r="F272" s="1682" t="s">
        <v>301</v>
      </c>
      <c r="G272" s="1569" t="s">
        <v>335</v>
      </c>
      <c r="H272" s="38" t="s">
        <v>41</v>
      </c>
      <c r="I272" s="377"/>
      <c r="J272" s="54">
        <v>40</v>
      </c>
      <c r="K272" s="377">
        <v>40</v>
      </c>
      <c r="L272" s="54"/>
      <c r="M272" s="500" t="s">
        <v>229</v>
      </c>
      <c r="N272" s="207"/>
      <c r="O272" s="320"/>
      <c r="P272" s="468" t="s">
        <v>49</v>
      </c>
      <c r="Q272" s="225"/>
    </row>
    <row r="273" spans="1:17" ht="13.5" customHeight="1" x14ac:dyDescent="0.2">
      <c r="A273" s="1355"/>
      <c r="B273" s="1378"/>
      <c r="C273" s="1665"/>
      <c r="D273" s="1684"/>
      <c r="E273" s="1366"/>
      <c r="F273" s="1683"/>
      <c r="G273" s="1569"/>
      <c r="H273" s="41"/>
      <c r="I273" s="41"/>
      <c r="J273" s="50"/>
      <c r="K273" s="41"/>
      <c r="L273" s="50"/>
      <c r="M273" s="500"/>
      <c r="N273" s="207"/>
      <c r="O273" s="501"/>
      <c r="P273" s="119"/>
      <c r="Q273" s="187"/>
    </row>
    <row r="274" spans="1:17" ht="14.25" customHeight="1" x14ac:dyDescent="0.2">
      <c r="A274" s="1355"/>
      <c r="B274" s="1378"/>
      <c r="C274" s="1665"/>
      <c r="D274" s="1678"/>
      <c r="E274" s="1367"/>
      <c r="F274" s="1490"/>
      <c r="G274" s="1599"/>
      <c r="H274" s="45"/>
      <c r="I274" s="378"/>
      <c r="J274" s="53"/>
      <c r="K274" s="37"/>
      <c r="L274" s="90"/>
      <c r="M274" s="14"/>
      <c r="N274" s="36"/>
      <c r="O274" s="32"/>
      <c r="P274" s="32"/>
      <c r="Q274" s="16"/>
    </row>
    <row r="275" spans="1:17" ht="29.25" customHeight="1" x14ac:dyDescent="0.2">
      <c r="A275" s="1355"/>
      <c r="B275" s="1378"/>
      <c r="C275" s="1665"/>
      <c r="D275" s="1677" t="s">
        <v>31</v>
      </c>
      <c r="E275" s="1365" t="s">
        <v>163</v>
      </c>
      <c r="F275" s="1693" t="s">
        <v>321</v>
      </c>
      <c r="G275" s="1596" t="s">
        <v>150</v>
      </c>
      <c r="H275" s="377" t="s">
        <v>62</v>
      </c>
      <c r="I275" s="377">
        <v>12</v>
      </c>
      <c r="J275" s="54">
        <v>22</v>
      </c>
      <c r="K275" s="377">
        <v>22</v>
      </c>
      <c r="L275" s="54">
        <v>22</v>
      </c>
      <c r="M275" s="672" t="s">
        <v>170</v>
      </c>
      <c r="N275" s="901">
        <v>8</v>
      </c>
      <c r="O275" s="295">
        <v>8</v>
      </c>
      <c r="P275" s="612">
        <v>8</v>
      </c>
      <c r="Q275" s="171">
        <v>8</v>
      </c>
    </row>
    <row r="276" spans="1:17" ht="27.75" customHeight="1" x14ac:dyDescent="0.2">
      <c r="A276" s="1355"/>
      <c r="B276" s="1378"/>
      <c r="C276" s="1665"/>
      <c r="D276" s="1684"/>
      <c r="E276" s="1366"/>
      <c r="F276" s="1694"/>
      <c r="G276" s="1599"/>
      <c r="H276" s="378"/>
      <c r="I276" s="376"/>
      <c r="J276" s="53"/>
      <c r="K276" s="378"/>
      <c r="L276" s="53"/>
      <c r="M276" s="14" t="s">
        <v>409</v>
      </c>
      <c r="N276" s="99"/>
      <c r="O276" s="32">
        <v>6</v>
      </c>
      <c r="P276" s="15"/>
      <c r="Q276" s="16"/>
    </row>
    <row r="277" spans="1:17" ht="14.25" customHeight="1" x14ac:dyDescent="0.2">
      <c r="A277" s="1355"/>
      <c r="B277" s="1378"/>
      <c r="C277" s="1665"/>
      <c r="D277" s="1677"/>
      <c r="E277" s="1557" t="s">
        <v>121</v>
      </c>
      <c r="F277" s="1695" t="s">
        <v>96</v>
      </c>
      <c r="G277" s="1621" t="s">
        <v>334</v>
      </c>
      <c r="H277" s="143" t="s">
        <v>23</v>
      </c>
      <c r="I277" s="143">
        <v>14.7</v>
      </c>
      <c r="J277" s="398"/>
      <c r="K277" s="143"/>
      <c r="L277" s="398"/>
      <c r="M277" s="534" t="s">
        <v>146</v>
      </c>
      <c r="N277" s="535">
        <v>6</v>
      </c>
      <c r="O277" s="507"/>
      <c r="P277" s="510"/>
      <c r="Q277" s="647"/>
    </row>
    <row r="278" spans="1:17" ht="12.75" customHeight="1" x14ac:dyDescent="0.2">
      <c r="A278" s="1355"/>
      <c r="B278" s="1378"/>
      <c r="C278" s="1665"/>
      <c r="D278" s="1684"/>
      <c r="E278" s="1698"/>
      <c r="F278" s="1696"/>
      <c r="G278" s="1621"/>
      <c r="H278" s="143" t="s">
        <v>167</v>
      </c>
      <c r="I278" s="143">
        <v>83.3</v>
      </c>
      <c r="J278" s="398"/>
      <c r="K278" s="143"/>
      <c r="L278" s="398"/>
      <c r="M278" s="534"/>
      <c r="N278" s="535"/>
      <c r="O278" s="507"/>
      <c r="P278" s="507"/>
      <c r="Q278" s="508"/>
    </row>
    <row r="279" spans="1:17" ht="13.5" customHeight="1" x14ac:dyDescent="0.2">
      <c r="A279" s="1355"/>
      <c r="B279" s="1378"/>
      <c r="C279" s="1665"/>
      <c r="D279" s="1678"/>
      <c r="E279" s="1699"/>
      <c r="F279" s="1697"/>
      <c r="G279" s="1692"/>
      <c r="H279" s="432"/>
      <c r="I279" s="432"/>
      <c r="J279" s="424"/>
      <c r="K279" s="432"/>
      <c r="L279" s="424"/>
      <c r="M279" s="421"/>
      <c r="N279" s="536"/>
      <c r="O279" s="32"/>
      <c r="P279" s="32"/>
      <c r="Q279" s="16"/>
    </row>
    <row r="280" spans="1:17" ht="39.75" customHeight="1" x14ac:dyDescent="0.2">
      <c r="A280" s="503"/>
      <c r="B280" s="504"/>
      <c r="C280" s="509"/>
      <c r="D280" s="493"/>
      <c r="E280" s="528" t="s">
        <v>98</v>
      </c>
      <c r="F280" s="537" t="s">
        <v>127</v>
      </c>
      <c r="G280" s="529" t="s">
        <v>150</v>
      </c>
      <c r="H280" s="525" t="s">
        <v>65</v>
      </c>
      <c r="I280" s="525">
        <v>24.2</v>
      </c>
      <c r="J280" s="524"/>
      <c r="K280" s="525"/>
      <c r="L280" s="524"/>
      <c r="M280" s="526" t="s">
        <v>72</v>
      </c>
      <c r="N280" s="530">
        <v>1</v>
      </c>
      <c r="O280" s="531"/>
      <c r="P280" s="531"/>
      <c r="Q280" s="532"/>
    </row>
    <row r="281" spans="1:17" ht="14.25" customHeight="1" thickBot="1" x14ac:dyDescent="0.25">
      <c r="A281" s="44"/>
      <c r="B281" s="257"/>
      <c r="C281" s="209"/>
      <c r="D281" s="209"/>
      <c r="E281" s="210"/>
      <c r="F281" s="211"/>
      <c r="G281" s="212"/>
      <c r="H281" s="83" t="s">
        <v>5</v>
      </c>
      <c r="I281" s="121">
        <f>SUM(I258:I280)</f>
        <v>1746.9</v>
      </c>
      <c r="J281" s="121">
        <f>SUM(J258:J280)</f>
        <v>1840.9</v>
      </c>
      <c r="K281" s="121">
        <f>SUM(K258:K280)</f>
        <v>666.8</v>
      </c>
      <c r="L281" s="121">
        <f>SUM(L258:L280)</f>
        <v>1500.9</v>
      </c>
      <c r="M281" s="213"/>
      <c r="N281" s="314"/>
      <c r="O281" s="314"/>
      <c r="P281" s="314"/>
      <c r="Q281" s="527"/>
    </row>
    <row r="282" spans="1:17" ht="14.25" customHeight="1" thickBot="1" x14ac:dyDescent="0.25">
      <c r="A282" s="57" t="s">
        <v>4</v>
      </c>
      <c r="B282" s="48" t="s">
        <v>26</v>
      </c>
      <c r="C282" s="1431" t="s">
        <v>7</v>
      </c>
      <c r="D282" s="1431"/>
      <c r="E282" s="1431"/>
      <c r="F282" s="1431"/>
      <c r="G282" s="1431"/>
      <c r="H282" s="1494"/>
      <c r="I282" s="124">
        <f>I281+I255</f>
        <v>3055.3</v>
      </c>
      <c r="J282" s="124">
        <f>J281+J255</f>
        <v>3488.3</v>
      </c>
      <c r="K282" s="124">
        <f>K281+K255</f>
        <v>2219.9</v>
      </c>
      <c r="L282" s="124">
        <f>L281+L255</f>
        <v>2899.6</v>
      </c>
      <c r="M282" s="1495"/>
      <c r="N282" s="1464"/>
      <c r="O282" s="1464"/>
      <c r="P282" s="1464"/>
      <c r="Q282" s="1465"/>
    </row>
    <row r="283" spans="1:17" ht="14.25" customHeight="1" thickBot="1" x14ac:dyDescent="0.25">
      <c r="A283" s="57" t="s">
        <v>4</v>
      </c>
      <c r="B283" s="1496" t="s">
        <v>8</v>
      </c>
      <c r="C283" s="1497"/>
      <c r="D283" s="1497"/>
      <c r="E283" s="1497"/>
      <c r="F283" s="1497"/>
      <c r="G283" s="1497"/>
      <c r="H283" s="1498"/>
      <c r="I283" s="86">
        <f>I282+I226+I172</f>
        <v>28117.9</v>
      </c>
      <c r="J283" s="86">
        <f>J282+J226+J172</f>
        <v>29825.200000000001</v>
      </c>
      <c r="K283" s="86">
        <f>K282+K226+K172</f>
        <v>36810</v>
      </c>
      <c r="L283" s="86">
        <f>L282+L226+L172</f>
        <v>33725.1</v>
      </c>
      <c r="M283" s="1499"/>
      <c r="N283" s="1499"/>
      <c r="O283" s="1499"/>
      <c r="P283" s="1499"/>
      <c r="Q283" s="1500"/>
    </row>
    <row r="284" spans="1:17" ht="14.25" customHeight="1" thickBot="1" x14ac:dyDescent="0.25">
      <c r="A284" s="62" t="s">
        <v>32</v>
      </c>
      <c r="B284" s="1501" t="s">
        <v>51</v>
      </c>
      <c r="C284" s="1502"/>
      <c r="D284" s="1502"/>
      <c r="E284" s="1502"/>
      <c r="F284" s="1502"/>
      <c r="G284" s="1502"/>
      <c r="H284" s="1503"/>
      <c r="I284" s="87">
        <f>SUM(I283)</f>
        <v>28117.9</v>
      </c>
      <c r="J284" s="87">
        <f>SUM(J283)</f>
        <v>29825.200000000001</v>
      </c>
      <c r="K284" s="87">
        <f t="shared" ref="K284:L284" si="2">SUM(K283)</f>
        <v>36810</v>
      </c>
      <c r="L284" s="87">
        <f t="shared" si="2"/>
        <v>33725.1</v>
      </c>
      <c r="M284" s="1504"/>
      <c r="N284" s="1504"/>
      <c r="O284" s="1504"/>
      <c r="P284" s="1504"/>
      <c r="Q284" s="1505"/>
    </row>
    <row r="285" spans="1:17" ht="14.25" customHeight="1" x14ac:dyDescent="0.2">
      <c r="A285" s="1536" t="s">
        <v>410</v>
      </c>
      <c r="B285" s="1536"/>
      <c r="C285" s="1536"/>
      <c r="D285" s="1536"/>
      <c r="E285" s="1536"/>
      <c r="F285" s="1536"/>
      <c r="G285" s="1536"/>
      <c r="H285" s="1536"/>
      <c r="I285" s="1536"/>
      <c r="J285" s="1536"/>
      <c r="K285" s="1536"/>
      <c r="L285" s="412"/>
      <c r="M285" s="63"/>
      <c r="N285" s="63"/>
      <c r="O285" s="63"/>
      <c r="P285" s="63"/>
      <c r="Q285" s="63"/>
    </row>
    <row r="286" spans="1:17" s="4" customFormat="1" ht="12" customHeight="1" x14ac:dyDescent="0.2">
      <c r="A286" s="331"/>
      <c r="B286" s="305"/>
      <c r="C286" s="305"/>
      <c r="D286" s="779"/>
      <c r="E286" s="305"/>
      <c r="F286" s="773"/>
      <c r="G286" s="305"/>
      <c r="H286" s="305"/>
      <c r="I286" s="305"/>
      <c r="J286" s="305"/>
      <c r="K286" s="305"/>
      <c r="L286" s="305"/>
      <c r="M286" s="305"/>
      <c r="N286" s="331"/>
      <c r="O286" s="331"/>
      <c r="P286" s="331"/>
      <c r="Q286" s="331"/>
    </row>
    <row r="287" spans="1:17" s="5" customFormat="1" ht="15" customHeight="1" thickBot="1" x14ac:dyDescent="0.25">
      <c r="A287" s="1537" t="s">
        <v>12</v>
      </c>
      <c r="B287" s="1537"/>
      <c r="C287" s="1537"/>
      <c r="D287" s="1537"/>
      <c r="E287" s="1537"/>
      <c r="F287" s="1537"/>
      <c r="G287" s="1537"/>
      <c r="H287" s="1537"/>
      <c r="I287" s="94"/>
      <c r="J287" s="94"/>
      <c r="K287" s="94"/>
      <c r="L287" s="94"/>
      <c r="M287" s="63"/>
      <c r="N287" s="63"/>
      <c r="O287" s="63"/>
      <c r="P287" s="63"/>
      <c r="Q287" s="63"/>
    </row>
    <row r="288" spans="1:17" ht="62.25" customHeight="1" thickBot="1" x14ac:dyDescent="0.25">
      <c r="A288" s="1538" t="s">
        <v>9</v>
      </c>
      <c r="B288" s="1539"/>
      <c r="C288" s="1539"/>
      <c r="D288" s="1539"/>
      <c r="E288" s="1539"/>
      <c r="F288" s="1539"/>
      <c r="G288" s="1539"/>
      <c r="H288" s="1540"/>
      <c r="I288" s="306" t="s">
        <v>303</v>
      </c>
      <c r="J288" s="306" t="s">
        <v>243</v>
      </c>
      <c r="K288" s="318" t="s">
        <v>168</v>
      </c>
      <c r="L288" s="318" t="s">
        <v>244</v>
      </c>
      <c r="M288" s="10"/>
      <c r="N288" s="10"/>
      <c r="O288" s="10"/>
      <c r="P288" s="10"/>
      <c r="Q288" s="10"/>
    </row>
    <row r="289" spans="1:17" ht="14.25" customHeight="1" x14ac:dyDescent="0.2">
      <c r="A289" s="1541" t="s">
        <v>13</v>
      </c>
      <c r="B289" s="1542"/>
      <c r="C289" s="1542"/>
      <c r="D289" s="1542"/>
      <c r="E289" s="1542"/>
      <c r="F289" s="1542"/>
      <c r="G289" s="1542"/>
      <c r="H289" s="1543"/>
      <c r="I289" s="307">
        <f>I290+I298+I299+I300+I297</f>
        <v>25410</v>
      </c>
      <c r="J289" s="307">
        <f>J290+J298+J299+J300+J297</f>
        <v>25889.5</v>
      </c>
      <c r="K289" s="374">
        <f>K290+K298+K299+K300+K297</f>
        <v>28071.200000000001</v>
      </c>
      <c r="L289" s="374">
        <f>L290+L298+L299+L300+L297</f>
        <v>19310.400000000001</v>
      </c>
      <c r="M289" s="10"/>
      <c r="N289" s="10"/>
      <c r="O289" s="10"/>
      <c r="P289" s="10"/>
      <c r="Q289" s="10"/>
    </row>
    <row r="290" spans="1:17" ht="14.25" customHeight="1" x14ac:dyDescent="0.2">
      <c r="A290" s="1544" t="s">
        <v>73</v>
      </c>
      <c r="B290" s="1545"/>
      <c r="C290" s="1545"/>
      <c r="D290" s="1545"/>
      <c r="E290" s="1545"/>
      <c r="F290" s="1545"/>
      <c r="G290" s="1545"/>
      <c r="H290" s="1546"/>
      <c r="I290" s="308">
        <f>SUM(I291:I295)</f>
        <v>19721</v>
      </c>
      <c r="J290" s="308">
        <f>SUM(J291:J296)</f>
        <v>15233.7</v>
      </c>
      <c r="K290" s="308">
        <f t="shared" ref="K290:L290" si="3">SUM(K291:K296)</f>
        <v>22586.6</v>
      </c>
      <c r="L290" s="373">
        <f t="shared" si="3"/>
        <v>13511.2</v>
      </c>
      <c r="M290" s="10"/>
      <c r="N290" s="10"/>
      <c r="O290" s="10"/>
      <c r="P290" s="10"/>
      <c r="Q290" s="10"/>
    </row>
    <row r="291" spans="1:17" ht="14.25" customHeight="1" x14ac:dyDescent="0.2">
      <c r="A291" s="1491" t="s">
        <v>18</v>
      </c>
      <c r="B291" s="1492"/>
      <c r="C291" s="1492"/>
      <c r="D291" s="1492"/>
      <c r="E291" s="1492"/>
      <c r="F291" s="1492"/>
      <c r="G291" s="1492"/>
      <c r="H291" s="1493"/>
      <c r="I291" s="1174">
        <f>SUMIF(H25:H284,"SB",I25:I284)</f>
        <v>8598.7999999999993</v>
      </c>
      <c r="J291" s="1174">
        <f>SUMIF(H25:H284,"SB",J25:J284)</f>
        <v>7325.7</v>
      </c>
      <c r="K291" s="1174">
        <f>SUMIF(H25:H284,"SB",K25:K284)</f>
        <v>15938.4</v>
      </c>
      <c r="L291" s="1174">
        <f>SUMIF(H25:H284,"SB",L25:L284)</f>
        <v>12027.6</v>
      </c>
      <c r="M291" s="34"/>
      <c r="N291" s="34"/>
      <c r="O291" s="10"/>
      <c r="P291" s="10"/>
      <c r="Q291" s="10"/>
    </row>
    <row r="292" spans="1:17" ht="14.25" customHeight="1" x14ac:dyDescent="0.2">
      <c r="A292" s="1506" t="s">
        <v>63</v>
      </c>
      <c r="B292" s="1507"/>
      <c r="C292" s="1507"/>
      <c r="D292" s="1507"/>
      <c r="E292" s="1507"/>
      <c r="F292" s="1507"/>
      <c r="G292" s="1507"/>
      <c r="H292" s="1508"/>
      <c r="I292" s="1174">
        <f>SUMIF(H25:H284,"SB(VR)",I25:I284)</f>
        <v>1770.6</v>
      </c>
      <c r="J292" s="1174">
        <f>SUMIF(H25:H284,"SB(VR)",J25:J284)</f>
        <v>1900</v>
      </c>
      <c r="K292" s="1174">
        <f>SUMIF(H25:H284,"SB(VR)",K25:K284)</f>
        <v>1218</v>
      </c>
      <c r="L292" s="1174">
        <f>SUMIF(H25:H284,"SB(VR)",L25:L284)</f>
        <v>1483.6</v>
      </c>
      <c r="M292" s="10"/>
      <c r="N292" s="10"/>
      <c r="O292" s="10"/>
      <c r="P292" s="10"/>
      <c r="Q292" s="10"/>
    </row>
    <row r="293" spans="1:17" ht="14.25" customHeight="1" x14ac:dyDescent="0.2">
      <c r="A293" s="1525" t="s">
        <v>120</v>
      </c>
      <c r="B293" s="1526"/>
      <c r="C293" s="1526"/>
      <c r="D293" s="1526"/>
      <c r="E293" s="1526"/>
      <c r="F293" s="1526"/>
      <c r="G293" s="1526"/>
      <c r="H293" s="1527"/>
      <c r="I293" s="37">
        <f>SUMIF(H25:H282,"SB(ES)",I25:I282)</f>
        <v>4485.2</v>
      </c>
      <c r="J293" s="37">
        <f>SUMIF(H25:H282,"SB(ES)",J25:J282)</f>
        <v>1003.7</v>
      </c>
      <c r="K293" s="37">
        <f>SUMIF(H25:H282,"SB(ES)",K25:K282)</f>
        <v>430.2</v>
      </c>
      <c r="L293" s="37">
        <f>SUMIF(H25:H282,"SB(ES)",L25:L282)</f>
        <v>0</v>
      </c>
      <c r="M293" s="10"/>
      <c r="N293" s="10"/>
      <c r="O293" s="10"/>
      <c r="P293" s="10"/>
      <c r="Q293" s="10"/>
    </row>
    <row r="294" spans="1:17" ht="14.25" customHeight="1" x14ac:dyDescent="0.2">
      <c r="A294" s="1525" t="s">
        <v>181</v>
      </c>
      <c r="B294" s="1526"/>
      <c r="C294" s="1526"/>
      <c r="D294" s="1526"/>
      <c r="E294" s="1526"/>
      <c r="F294" s="1526"/>
      <c r="G294" s="1526"/>
      <c r="H294" s="1527"/>
      <c r="I294" s="37">
        <f>SUMIF(H25:H282,"SB(VB)",I25:I282)</f>
        <v>0</v>
      </c>
      <c r="J294" s="37">
        <f>SUMIF(H25:H282,"SB(VB)",J25:J282)</f>
        <v>5000</v>
      </c>
      <c r="K294" s="37">
        <f>SUMIF(H25:H282,"SB(VB)",K25:K282)</f>
        <v>5000</v>
      </c>
      <c r="L294" s="37">
        <f>SUMIF(H25:H282,"SB(VB)",L25:L282)</f>
        <v>0</v>
      </c>
      <c r="M294" s="10"/>
      <c r="N294" s="10"/>
      <c r="O294" s="10"/>
      <c r="P294" s="10"/>
      <c r="Q294" s="10"/>
    </row>
    <row r="295" spans="1:17" ht="15.75" customHeight="1" x14ac:dyDescent="0.2">
      <c r="A295" s="1302" t="s">
        <v>208</v>
      </c>
      <c r="B295" s="1531"/>
      <c r="C295" s="1531"/>
      <c r="D295" s="1531"/>
      <c r="E295" s="1531"/>
      <c r="F295" s="1531"/>
      <c r="G295" s="1531"/>
      <c r="H295" s="1532"/>
      <c r="I295" s="37">
        <f>SUMIF(H25:H284,"SB(KPP)",I25:I284)</f>
        <v>4866.3999999999996</v>
      </c>
      <c r="J295" s="37">
        <f>SUMIF(H34:H284,"SB(KP)",J13:J284)</f>
        <v>0</v>
      </c>
      <c r="K295" s="37">
        <f>SUMIF(H34:H284,"SB(KP)",K13:K284)</f>
        <v>0</v>
      </c>
      <c r="L295" s="37">
        <f>SUMIF(H34:H284,"SB(KP)",L13:L284)</f>
        <v>0</v>
      </c>
      <c r="M295" s="10"/>
      <c r="N295" s="10"/>
      <c r="O295" s="10"/>
      <c r="P295" s="10"/>
      <c r="Q295" s="10"/>
    </row>
    <row r="296" spans="1:17" ht="27" customHeight="1" x14ac:dyDescent="0.2">
      <c r="A296" s="1302" t="s">
        <v>366</v>
      </c>
      <c r="B296" s="1531"/>
      <c r="C296" s="1531"/>
      <c r="D296" s="1531"/>
      <c r="E296" s="1531"/>
      <c r="F296" s="1531"/>
      <c r="G296" s="1531"/>
      <c r="H296" s="1532"/>
      <c r="I296" s="37">
        <f>SUMIF(H26:H285,"SB(ESA)",I26:I285)</f>
        <v>0</v>
      </c>
      <c r="J296" s="37">
        <f>SUMIF(H25:H285,"SB(ESA)",J25:J285)</f>
        <v>4.3</v>
      </c>
      <c r="K296" s="37">
        <f>SUMIF(H26:H285,"SB(ESA)",K26:K285)</f>
        <v>0</v>
      </c>
      <c r="L296" s="37">
        <f>SUMIF(H26:H285,"SB(ESA)",L26:L285)</f>
        <v>0</v>
      </c>
      <c r="M296" s="10"/>
      <c r="N296" s="10"/>
      <c r="O296" s="10"/>
      <c r="P296" s="10"/>
      <c r="Q296" s="10"/>
    </row>
    <row r="297" spans="1:17" ht="15.75" customHeight="1" x14ac:dyDescent="0.2">
      <c r="A297" s="1516" t="s">
        <v>209</v>
      </c>
      <c r="B297" s="1533"/>
      <c r="C297" s="1533"/>
      <c r="D297" s="1533"/>
      <c r="E297" s="1533"/>
      <c r="F297" s="1533"/>
      <c r="G297" s="1533"/>
      <c r="H297" s="1534"/>
      <c r="I297" s="151">
        <f>SUMIF(H34:H284,"SB(KP)",I34:I284)</f>
        <v>0</v>
      </c>
      <c r="J297" s="151">
        <f>SUMIF(H25:H284,"SB(KPP)",J25:J284)</f>
        <v>5583.2</v>
      </c>
      <c r="K297" s="151">
        <f>SUMIF(H25:H284,"SB(KPP)",K25:K284)</f>
        <v>5453.3</v>
      </c>
      <c r="L297" s="151">
        <f>SUMIF(H25:H284,"SB(KPP)",L25:L284)</f>
        <v>5767.9</v>
      </c>
      <c r="M297" s="10"/>
      <c r="N297" s="10"/>
      <c r="O297" s="10"/>
      <c r="P297" s="10"/>
      <c r="Q297" s="10"/>
    </row>
    <row r="298" spans="1:17" ht="14.25" customHeight="1" x14ac:dyDescent="0.2">
      <c r="A298" s="1535" t="s">
        <v>76</v>
      </c>
      <c r="B298" s="1517"/>
      <c r="C298" s="1517"/>
      <c r="D298" s="1517"/>
      <c r="E298" s="1517"/>
      <c r="F298" s="1517"/>
      <c r="G298" s="1517"/>
      <c r="H298" s="1518"/>
      <c r="I298" s="151">
        <f>SUMIF(H25:H283,"SB(VRL)",I25:I283)</f>
        <v>901</v>
      </c>
      <c r="J298" s="151">
        <f>SUMIF(H25:H283,"SB(VRL)",J25:J283)</f>
        <v>270.89999999999998</v>
      </c>
      <c r="K298" s="151">
        <f>SUMIF(H25:H283,"SB(VRL)",K25:K283)</f>
        <v>31.3</v>
      </c>
      <c r="L298" s="151">
        <f>SUMIF(H25:H283,"SB(VRL)",L25:L283)</f>
        <v>31.3</v>
      </c>
      <c r="M298" s="10"/>
      <c r="N298" s="10"/>
      <c r="O298" s="10"/>
      <c r="P298" s="10"/>
      <c r="Q298" s="10"/>
    </row>
    <row r="299" spans="1:17" ht="14.25" customHeight="1" x14ac:dyDescent="0.2">
      <c r="A299" s="1516" t="s">
        <v>77</v>
      </c>
      <c r="B299" s="1517"/>
      <c r="C299" s="1517"/>
      <c r="D299" s="1517"/>
      <c r="E299" s="1517"/>
      <c r="F299" s="1517"/>
      <c r="G299" s="1517"/>
      <c r="H299" s="1518"/>
      <c r="I299" s="151">
        <f>SUMIF(H25:H284,"SB(ŽPL)",I25:I284)</f>
        <v>480.6</v>
      </c>
      <c r="J299" s="151">
        <f>SUMIF(H25:H284,"SB(ŽPL)",J25:J284)</f>
        <v>744.1</v>
      </c>
      <c r="K299" s="151">
        <f>SUMIF(H34:H284,"SB(ŽPL)",K34:K284)</f>
        <v>0</v>
      </c>
      <c r="L299" s="151">
        <f>SUMIF(H34:H284,"SB(ŽPL)",L34:L284)</f>
        <v>0</v>
      </c>
      <c r="M299" s="10"/>
      <c r="N299" s="10"/>
      <c r="O299" s="10"/>
      <c r="P299" s="10"/>
      <c r="Q299" s="10"/>
    </row>
    <row r="300" spans="1:17" ht="14.25" customHeight="1" x14ac:dyDescent="0.2">
      <c r="A300" s="1519" t="s">
        <v>128</v>
      </c>
      <c r="B300" s="1520"/>
      <c r="C300" s="1520"/>
      <c r="D300" s="1520"/>
      <c r="E300" s="1520"/>
      <c r="F300" s="1520"/>
      <c r="G300" s="1520"/>
      <c r="H300" s="1521"/>
      <c r="I300" s="151">
        <f>SUMIF(H25:H284,"SB(L)",I25:I284)</f>
        <v>4307.3999999999996</v>
      </c>
      <c r="J300" s="151">
        <f>SUMIF(H25:H284,"SB(L)",J25:J284)</f>
        <v>4057.6</v>
      </c>
      <c r="K300" s="151">
        <f>SUMIF(H25:H284,"SB(L)",K25:K284)</f>
        <v>0</v>
      </c>
      <c r="L300" s="151">
        <f>SUMIF(H25:H284,"SB(L)",L25:L284)</f>
        <v>0</v>
      </c>
      <c r="M300" s="10"/>
      <c r="N300" s="10"/>
      <c r="O300" s="10"/>
      <c r="P300" s="10"/>
      <c r="Q300" s="10"/>
    </row>
    <row r="301" spans="1:17" ht="14.25" customHeight="1" x14ac:dyDescent="0.2">
      <c r="A301" s="1522" t="s">
        <v>14</v>
      </c>
      <c r="B301" s="1523"/>
      <c r="C301" s="1523"/>
      <c r="D301" s="1523"/>
      <c r="E301" s="1523"/>
      <c r="F301" s="1523"/>
      <c r="G301" s="1523"/>
      <c r="H301" s="1524"/>
      <c r="I301" s="152">
        <f>I303+I304+I305+I302</f>
        <v>2707.9</v>
      </c>
      <c r="J301" s="152">
        <f t="shared" ref="J301:L301" si="4">J303+J304+J305+J302</f>
        <v>3935.7</v>
      </c>
      <c r="K301" s="152">
        <f t="shared" si="4"/>
        <v>8738.7999999999993</v>
      </c>
      <c r="L301" s="152">
        <f t="shared" si="4"/>
        <v>14414.7</v>
      </c>
      <c r="M301" s="10"/>
      <c r="N301" s="10"/>
      <c r="O301" s="10"/>
      <c r="P301" s="10"/>
      <c r="Q301" s="10"/>
    </row>
    <row r="302" spans="1:17" ht="14.25" customHeight="1" x14ac:dyDescent="0.2">
      <c r="A302" s="1525" t="s">
        <v>19</v>
      </c>
      <c r="B302" s="1526"/>
      <c r="C302" s="1526"/>
      <c r="D302" s="1526"/>
      <c r="E302" s="1526"/>
      <c r="F302" s="1526"/>
      <c r="G302" s="1526"/>
      <c r="H302" s="1527"/>
      <c r="I302" s="37">
        <f>SUMIF(H25:H284,"ES",I25:I284)</f>
        <v>919.1</v>
      </c>
      <c r="J302" s="37">
        <f>SUMIF(H25:H284,"ES",J25:J284)</f>
        <v>1288.5999999999999</v>
      </c>
      <c r="K302" s="37">
        <f>SUMIF(H25:H284,"ES",K25:K284)</f>
        <v>2274.6</v>
      </c>
      <c r="L302" s="37">
        <f>SUMIF(H25:H284,"ES",L25:L284)</f>
        <v>1339.6</v>
      </c>
      <c r="M302" s="10"/>
      <c r="N302" s="10"/>
      <c r="O302" s="10"/>
      <c r="P302" s="10"/>
      <c r="Q302" s="10"/>
    </row>
    <row r="303" spans="1:17" ht="14.25" customHeight="1" x14ac:dyDescent="0.2">
      <c r="A303" s="1528" t="s">
        <v>20</v>
      </c>
      <c r="B303" s="1529"/>
      <c r="C303" s="1529"/>
      <c r="D303" s="1529"/>
      <c r="E303" s="1529"/>
      <c r="F303" s="1529"/>
      <c r="G303" s="1529"/>
      <c r="H303" s="1530"/>
      <c r="I303" s="37">
        <f>SUMIF(H25:H284,"KVJUD",I25:I284)</f>
        <v>1662.4</v>
      </c>
      <c r="J303" s="37">
        <f>SUMIF(H25:H284,"KVJUD",J25:J284)</f>
        <v>1542</v>
      </c>
      <c r="K303" s="37">
        <f>SUMIF(H25:H284,"KVJUD",K25:K284)</f>
        <v>0</v>
      </c>
      <c r="L303" s="37">
        <f>SUMIF(H25:H284,"KVJUD",L25:L284)</f>
        <v>0</v>
      </c>
      <c r="M303" s="34"/>
      <c r="N303" s="34"/>
      <c r="O303" s="34"/>
      <c r="P303" s="34"/>
      <c r="Q303" s="34"/>
    </row>
    <row r="304" spans="1:17" ht="14.25" customHeight="1" x14ac:dyDescent="0.2">
      <c r="A304" s="1506" t="s">
        <v>21</v>
      </c>
      <c r="B304" s="1507"/>
      <c r="C304" s="1507"/>
      <c r="D304" s="1507"/>
      <c r="E304" s="1507"/>
      <c r="F304" s="1507"/>
      <c r="G304" s="1507"/>
      <c r="H304" s="1508"/>
      <c r="I304" s="37">
        <f>SUMIF(H25:H284,"LRVB",I25:I284)</f>
        <v>0</v>
      </c>
      <c r="J304" s="37">
        <f>SUMIF(H25:H284,"LRVB",J25:J284)</f>
        <v>1000</v>
      </c>
      <c r="K304" s="37">
        <f>SUMIF(H25:H284,"LRVB",K25:K284)</f>
        <v>6350</v>
      </c>
      <c r="L304" s="37">
        <f>SUMIF(H25:H284,"LRVB",L25:L284)</f>
        <v>13015.1</v>
      </c>
      <c r="M304" s="34"/>
      <c r="N304" s="34"/>
      <c r="O304" s="34"/>
      <c r="P304" s="34"/>
      <c r="Q304" s="34"/>
    </row>
    <row r="305" spans="1:17" ht="14.25" customHeight="1" x14ac:dyDescent="0.2">
      <c r="A305" s="1509" t="s">
        <v>22</v>
      </c>
      <c r="B305" s="1510"/>
      <c r="C305" s="1510"/>
      <c r="D305" s="1510"/>
      <c r="E305" s="1510"/>
      <c r="F305" s="1510"/>
      <c r="G305" s="1510"/>
      <c r="H305" s="1511"/>
      <c r="I305" s="37">
        <f>SUMIF(H25:H284,"Kt",I25:I284)</f>
        <v>126.4</v>
      </c>
      <c r="J305" s="37">
        <f>SUMIF(H25:H284,"Kt",J25:J284)</f>
        <v>105.1</v>
      </c>
      <c r="K305" s="37">
        <f>SUMIF(H25:H284,"Kt",K25:K284)</f>
        <v>114.2</v>
      </c>
      <c r="L305" s="37">
        <f>SUMIF(H25:H284,"Kt",L25:L284)</f>
        <v>60</v>
      </c>
      <c r="M305" s="34"/>
      <c r="N305" s="34"/>
      <c r="O305" s="34"/>
      <c r="P305" s="34"/>
      <c r="Q305" s="34"/>
    </row>
    <row r="306" spans="1:17" ht="14.25" customHeight="1" thickBot="1" x14ac:dyDescent="0.25">
      <c r="A306" s="1512" t="s">
        <v>15</v>
      </c>
      <c r="B306" s="1513"/>
      <c r="C306" s="1513"/>
      <c r="D306" s="1513"/>
      <c r="E306" s="1513"/>
      <c r="F306" s="1513"/>
      <c r="G306" s="1513"/>
      <c r="H306" s="1514"/>
      <c r="I306" s="153">
        <f>SUM(I289,I301)</f>
        <v>28117.9</v>
      </c>
      <c r="J306" s="153">
        <f>SUM(J289,J301)</f>
        <v>29825.200000000001</v>
      </c>
      <c r="K306" s="153">
        <f>SUM(K289,K301)</f>
        <v>36810</v>
      </c>
      <c r="L306" s="153">
        <f>SUM(L289,L301)</f>
        <v>33725.1</v>
      </c>
      <c r="M306" s="34"/>
      <c r="N306" s="34"/>
      <c r="O306" s="34"/>
      <c r="P306" s="34"/>
      <c r="Q306" s="34"/>
    </row>
    <row r="307" spans="1:17" x14ac:dyDescent="0.2">
      <c r="H307" s="299"/>
      <c r="I307" s="300"/>
      <c r="J307" s="300"/>
      <c r="K307" s="300"/>
      <c r="L307" s="300"/>
      <c r="M307" s="4"/>
    </row>
    <row r="309" spans="1:17" x14ac:dyDescent="0.2">
      <c r="J309" s="10"/>
      <c r="K309" s="10"/>
      <c r="L309" s="10"/>
    </row>
    <row r="310" spans="1:17" x14ac:dyDescent="0.2">
      <c r="I310" s="10"/>
      <c r="J310" s="10"/>
      <c r="K310" s="10"/>
      <c r="L310" s="10"/>
    </row>
    <row r="311" spans="1:17" x14ac:dyDescent="0.2">
      <c r="I311" s="10"/>
      <c r="M311" s="10"/>
    </row>
    <row r="312" spans="1:17" x14ac:dyDescent="0.2">
      <c r="L312" s="10"/>
    </row>
    <row r="314" spans="1:17" x14ac:dyDescent="0.2">
      <c r="M314" s="10"/>
    </row>
    <row r="317" spans="1:17" x14ac:dyDescent="0.2">
      <c r="M317" s="10"/>
    </row>
    <row r="320" spans="1:17" x14ac:dyDescent="0.2">
      <c r="M320" s="10"/>
    </row>
  </sheetData>
  <mergeCells count="327">
    <mergeCell ref="M282:Q282"/>
    <mergeCell ref="Q242:Q243"/>
    <mergeCell ref="G269:G271"/>
    <mergeCell ref="E183:E185"/>
    <mergeCell ref="P242:P243"/>
    <mergeCell ref="C227:Q227"/>
    <mergeCell ref="G229:G237"/>
    <mergeCell ref="F229:F233"/>
    <mergeCell ref="M218:M220"/>
    <mergeCell ref="M226:Q226"/>
    <mergeCell ref="E201:E202"/>
    <mergeCell ref="G201:G202"/>
    <mergeCell ref="M201:M202"/>
    <mergeCell ref="D192:D194"/>
    <mergeCell ref="M222:M224"/>
    <mergeCell ref="M236:M237"/>
    <mergeCell ref="O242:O243"/>
    <mergeCell ref="E192:E194"/>
    <mergeCell ref="N242:N243"/>
    <mergeCell ref="G242:G243"/>
    <mergeCell ref="D218:D221"/>
    <mergeCell ref="M265:M266"/>
    <mergeCell ref="M258:M259"/>
    <mergeCell ref="G258:G262"/>
    <mergeCell ref="M245:M246"/>
    <mergeCell ref="E207:E209"/>
    <mergeCell ref="F192:F194"/>
    <mergeCell ref="M242:M243"/>
    <mergeCell ref="M208:M209"/>
    <mergeCell ref="G192:G194"/>
    <mergeCell ref="G218:G221"/>
    <mergeCell ref="L201:L202"/>
    <mergeCell ref="F199:F200"/>
    <mergeCell ref="G199:G200"/>
    <mergeCell ref="M199:M200"/>
    <mergeCell ref="A9:Q9"/>
    <mergeCell ref="M190:M191"/>
    <mergeCell ref="F190:F191"/>
    <mergeCell ref="C190:C191"/>
    <mergeCell ref="D190:D191"/>
    <mergeCell ref="C173:Q173"/>
    <mergeCell ref="M183:M185"/>
    <mergeCell ref="A190:A191"/>
    <mergeCell ref="B190:B191"/>
    <mergeCell ref="Q190:Q191"/>
    <mergeCell ref="N190:N191"/>
    <mergeCell ref="O190:O191"/>
    <mergeCell ref="A10:Q10"/>
    <mergeCell ref="B11:Q11"/>
    <mergeCell ref="C12:Q12"/>
    <mergeCell ref="A34:A42"/>
    <mergeCell ref="B34:B42"/>
    <mergeCell ref="M164:M165"/>
    <mergeCell ref="G175:G179"/>
    <mergeCell ref="C34:C42"/>
    <mergeCell ref="N183:N185"/>
    <mergeCell ref="A47:A51"/>
    <mergeCell ref="B47:B51"/>
    <mergeCell ref="C47:C51"/>
    <mergeCell ref="D34:D42"/>
    <mergeCell ref="E131:E132"/>
    <mergeCell ref="M1:Q1"/>
    <mergeCell ref="A2:Q2"/>
    <mergeCell ref="A6:A8"/>
    <mergeCell ref="B6:B8"/>
    <mergeCell ref="C6:C8"/>
    <mergeCell ref="D6:D8"/>
    <mergeCell ref="E6:E8"/>
    <mergeCell ref="F6:F8"/>
    <mergeCell ref="G6:G8"/>
    <mergeCell ref="H6:H8"/>
    <mergeCell ref="I6:I8"/>
    <mergeCell ref="L6:L8"/>
    <mergeCell ref="M6:Q6"/>
    <mergeCell ref="A3:Q3"/>
    <mergeCell ref="M5:Q5"/>
    <mergeCell ref="M7:M8"/>
    <mergeCell ref="A4:Q4"/>
    <mergeCell ref="J6:J8"/>
    <mergeCell ref="N7:Q7"/>
    <mergeCell ref="K6:K8"/>
    <mergeCell ref="C52:C56"/>
    <mergeCell ref="A86:A87"/>
    <mergeCell ref="A306:H306"/>
    <mergeCell ref="A305:H305"/>
    <mergeCell ref="A304:H304"/>
    <mergeCell ref="A300:H300"/>
    <mergeCell ref="A298:H298"/>
    <mergeCell ref="A303:H303"/>
    <mergeCell ref="A301:H301"/>
    <mergeCell ref="A302:H302"/>
    <mergeCell ref="A299:H299"/>
    <mergeCell ref="A269:A271"/>
    <mergeCell ref="A272:A274"/>
    <mergeCell ref="A291:H291"/>
    <mergeCell ref="A290:H290"/>
    <mergeCell ref="B284:H284"/>
    <mergeCell ref="A288:H288"/>
    <mergeCell ref="B275:B276"/>
    <mergeCell ref="C275:C276"/>
    <mergeCell ref="D275:D276"/>
    <mergeCell ref="E275:E276"/>
    <mergeCell ref="F275:F276"/>
    <mergeCell ref="A277:A279"/>
    <mergeCell ref="B277:B279"/>
    <mergeCell ref="A287:H287"/>
    <mergeCell ref="A275:A276"/>
    <mergeCell ref="F277:F279"/>
    <mergeCell ref="E277:E279"/>
    <mergeCell ref="B269:B271"/>
    <mergeCell ref="E269:E271"/>
    <mergeCell ref="C282:H282"/>
    <mergeCell ref="G275:G276"/>
    <mergeCell ref="C269:C271"/>
    <mergeCell ref="D269:D271"/>
    <mergeCell ref="D277:D279"/>
    <mergeCell ref="G277:G279"/>
    <mergeCell ref="G272:G274"/>
    <mergeCell ref="A293:H293"/>
    <mergeCell ref="A294:H294"/>
    <mergeCell ref="A297:H297"/>
    <mergeCell ref="A295:H295"/>
    <mergeCell ref="A292:H292"/>
    <mergeCell ref="A285:K285"/>
    <mergeCell ref="A289:H289"/>
    <mergeCell ref="A296:H296"/>
    <mergeCell ref="A145:A146"/>
    <mergeCell ref="B145:B146"/>
    <mergeCell ref="E222:E224"/>
    <mergeCell ref="E245:E246"/>
    <mergeCell ref="G245:G246"/>
    <mergeCell ref="C192:C194"/>
    <mergeCell ref="A192:A194"/>
    <mergeCell ref="B192:B194"/>
    <mergeCell ref="A147:A152"/>
    <mergeCell ref="B147:B152"/>
    <mergeCell ref="E199:E200"/>
    <mergeCell ref="F203:F205"/>
    <mergeCell ref="G203:G205"/>
    <mergeCell ref="G186:G187"/>
    <mergeCell ref="G190:G191"/>
    <mergeCell ref="F256:F257"/>
    <mergeCell ref="E265:E268"/>
    <mergeCell ref="C258:C262"/>
    <mergeCell ref="E253:E254"/>
    <mergeCell ref="C265:C267"/>
    <mergeCell ref="B218:B221"/>
    <mergeCell ref="C125:C127"/>
    <mergeCell ref="M284:Q284"/>
    <mergeCell ref="M283:Q283"/>
    <mergeCell ref="B283:H283"/>
    <mergeCell ref="E247:E248"/>
    <mergeCell ref="F269:F271"/>
    <mergeCell ref="F272:F274"/>
    <mergeCell ref="B272:B274"/>
    <mergeCell ref="C272:C274"/>
    <mergeCell ref="D272:D274"/>
    <mergeCell ref="E272:E274"/>
    <mergeCell ref="B258:B262"/>
    <mergeCell ref="E229:E237"/>
    <mergeCell ref="D128:D130"/>
    <mergeCell ref="D199:D200"/>
    <mergeCell ref="E211:E212"/>
    <mergeCell ref="E203:E205"/>
    <mergeCell ref="B199:B200"/>
    <mergeCell ref="A253:A254"/>
    <mergeCell ref="E256:E257"/>
    <mergeCell ref="E258:E262"/>
    <mergeCell ref="E263:E264"/>
    <mergeCell ref="C277:C279"/>
    <mergeCell ref="A265:A267"/>
    <mergeCell ref="F253:F254"/>
    <mergeCell ref="B265:B267"/>
    <mergeCell ref="A199:A200"/>
    <mergeCell ref="A218:A221"/>
    <mergeCell ref="E215:E216"/>
    <mergeCell ref="F260:F262"/>
    <mergeCell ref="F267:F268"/>
    <mergeCell ref="B222:B225"/>
    <mergeCell ref="A222:A225"/>
    <mergeCell ref="A258:A262"/>
    <mergeCell ref="B253:B254"/>
    <mergeCell ref="C222:C225"/>
    <mergeCell ref="D222:D225"/>
    <mergeCell ref="C253:C254"/>
    <mergeCell ref="C226:H226"/>
    <mergeCell ref="D253:D254"/>
    <mergeCell ref="G247:G250"/>
    <mergeCell ref="G265:G267"/>
    <mergeCell ref="B86:B87"/>
    <mergeCell ref="D86:D87"/>
    <mergeCell ref="E86:E87"/>
    <mergeCell ref="F86:F87"/>
    <mergeCell ref="A102:A104"/>
    <mergeCell ref="B102:B104"/>
    <mergeCell ref="E102:E104"/>
    <mergeCell ref="A90:A93"/>
    <mergeCell ref="B90:B93"/>
    <mergeCell ref="C90:C93"/>
    <mergeCell ref="F90:F93"/>
    <mergeCell ref="E90:E93"/>
    <mergeCell ref="E88:E89"/>
    <mergeCell ref="F88:F89"/>
    <mergeCell ref="E94:E95"/>
    <mergeCell ref="F94:F95"/>
    <mergeCell ref="E96:E97"/>
    <mergeCell ref="E99:E101"/>
    <mergeCell ref="A57:A60"/>
    <mergeCell ref="B57:B60"/>
    <mergeCell ref="C57:C65"/>
    <mergeCell ref="A61:A63"/>
    <mergeCell ref="B61:B63"/>
    <mergeCell ref="D66:D71"/>
    <mergeCell ref="E66:E71"/>
    <mergeCell ref="G66:G71"/>
    <mergeCell ref="D57:D60"/>
    <mergeCell ref="C128:C130"/>
    <mergeCell ref="C131:C132"/>
    <mergeCell ref="C133:C136"/>
    <mergeCell ref="C137:C140"/>
    <mergeCell ref="D137:D140"/>
    <mergeCell ref="G207:G212"/>
    <mergeCell ref="E190:E191"/>
    <mergeCell ref="C147:C152"/>
    <mergeCell ref="D131:D132"/>
    <mergeCell ref="G253:G254"/>
    <mergeCell ref="G215:G216"/>
    <mergeCell ref="D147:D152"/>
    <mergeCell ref="D169:D170"/>
    <mergeCell ref="G222:G225"/>
    <mergeCell ref="C199:C200"/>
    <mergeCell ref="D133:D136"/>
    <mergeCell ref="C145:C146"/>
    <mergeCell ref="D161:D162"/>
    <mergeCell ref="E161:E162"/>
    <mergeCell ref="E147:E149"/>
    <mergeCell ref="F147:F152"/>
    <mergeCell ref="E141:E144"/>
    <mergeCell ref="E249:E250"/>
    <mergeCell ref="E242:E244"/>
    <mergeCell ref="C218:C221"/>
    <mergeCell ref="E218:E220"/>
    <mergeCell ref="E213:E214"/>
    <mergeCell ref="G213:G214"/>
    <mergeCell ref="E251:E252"/>
    <mergeCell ref="M80:M81"/>
    <mergeCell ref="E84:E85"/>
    <mergeCell ref="F84:F85"/>
    <mergeCell ref="D47:D51"/>
    <mergeCell ref="E13:E16"/>
    <mergeCell ref="E25:E30"/>
    <mergeCell ref="F25:F30"/>
    <mergeCell ref="E188:E189"/>
    <mergeCell ref="F115:F116"/>
    <mergeCell ref="E117:E118"/>
    <mergeCell ref="F117:F118"/>
    <mergeCell ref="E55:E56"/>
    <mergeCell ref="D159:D160"/>
    <mergeCell ref="E159:E160"/>
    <mergeCell ref="E153:E154"/>
    <mergeCell ref="E75:E77"/>
    <mergeCell ref="F55:F56"/>
    <mergeCell ref="D78:D79"/>
    <mergeCell ref="E78:E79"/>
    <mergeCell ref="E145:E146"/>
    <mergeCell ref="D167:D168"/>
    <mergeCell ref="E167:E168"/>
    <mergeCell ref="E176:E179"/>
    <mergeCell ref="C172:H172"/>
    <mergeCell ref="G75:G79"/>
    <mergeCell ref="G91:G93"/>
    <mergeCell ref="E34:E36"/>
    <mergeCell ref="G34:G41"/>
    <mergeCell ref="G43:G51"/>
    <mergeCell ref="E52:E54"/>
    <mergeCell ref="G52:G54"/>
    <mergeCell ref="F53:F54"/>
    <mergeCell ref="E47:E51"/>
    <mergeCell ref="G55:G56"/>
    <mergeCell ref="G84:G87"/>
    <mergeCell ref="M26:M30"/>
    <mergeCell ref="E43:E46"/>
    <mergeCell ref="M43:M46"/>
    <mergeCell ref="M72:M73"/>
    <mergeCell ref="E72:E73"/>
    <mergeCell ref="G61:G65"/>
    <mergeCell ref="M57:M59"/>
    <mergeCell ref="G72:G73"/>
    <mergeCell ref="E61:E62"/>
    <mergeCell ref="E63:E65"/>
    <mergeCell ref="E57:E60"/>
    <mergeCell ref="F72:F73"/>
    <mergeCell ref="M61:M62"/>
    <mergeCell ref="M34:M35"/>
    <mergeCell ref="G25:G31"/>
    <mergeCell ref="G117:G118"/>
    <mergeCell ref="P190:P191"/>
    <mergeCell ref="M137:M138"/>
    <mergeCell ref="M145:M146"/>
    <mergeCell ref="M150:M151"/>
    <mergeCell ref="E169:E170"/>
    <mergeCell ref="E155:E158"/>
    <mergeCell ref="E109:E111"/>
    <mergeCell ref="M188:M189"/>
    <mergeCell ref="M178:M179"/>
    <mergeCell ref="F164:F166"/>
    <mergeCell ref="G125:G127"/>
    <mergeCell ref="M155:M156"/>
    <mergeCell ref="R88:R89"/>
    <mergeCell ref="E82:E83"/>
    <mergeCell ref="E114:E116"/>
    <mergeCell ref="G114:G116"/>
    <mergeCell ref="M114:M115"/>
    <mergeCell ref="E112:E113"/>
    <mergeCell ref="M112:M113"/>
    <mergeCell ref="E105:E106"/>
    <mergeCell ref="F102:F104"/>
    <mergeCell ref="M102:M103"/>
    <mergeCell ref="M92:M93"/>
    <mergeCell ref="M88:M89"/>
    <mergeCell ref="M99:M101"/>
    <mergeCell ref="G94:G95"/>
    <mergeCell ref="F109:F111"/>
    <mergeCell ref="G109:G111"/>
    <mergeCell ref="E107:E108"/>
    <mergeCell ref="F107:F108"/>
    <mergeCell ref="G107:G108"/>
  </mergeCells>
  <phoneticPr fontId="10" type="noConversion"/>
  <printOptions horizontalCentered="1"/>
  <pageMargins left="0.59055118110236227" right="0.19685039370078741" top="0.59055118110236227" bottom="0.39370078740157483" header="0" footer="0"/>
  <pageSetup paperSize="9" scale="56" orientation="portrait" r:id="rId1"/>
  <headerFooter alignWithMargins="0"/>
  <rowBreaks count="2" manualBreakCount="2">
    <brk id="212" max="16" man="1"/>
    <brk id="284"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Q6"/>
  <sheetViews>
    <sheetView workbookViewId="0">
      <selection activeCell="G27" sqref="G27"/>
    </sheetView>
  </sheetViews>
  <sheetFormatPr defaultRowHeight="12.75" x14ac:dyDescent="0.2"/>
  <sheetData>
    <row r="3" spans="1:17" s="1" customFormat="1" ht="13.5" customHeight="1" x14ac:dyDescent="0.2">
      <c r="A3" s="1131"/>
      <c r="B3" s="1134"/>
      <c r="C3" s="1135"/>
      <c r="D3" s="1132"/>
      <c r="E3" s="1142" t="s">
        <v>353</v>
      </c>
      <c r="F3" s="720"/>
      <c r="G3" s="259"/>
      <c r="H3" s="1157"/>
      <c r="I3" s="1158"/>
      <c r="J3" s="1159"/>
      <c r="K3" s="1159"/>
      <c r="L3" s="1158"/>
      <c r="M3" s="1143" t="s">
        <v>354</v>
      </c>
      <c r="N3" s="1144"/>
      <c r="O3" s="1145"/>
      <c r="P3" s="1144"/>
      <c r="Q3" s="1128"/>
    </row>
    <row r="4" spans="1:17" s="1" customFormat="1" ht="13.5" customHeight="1" x14ac:dyDescent="0.2">
      <c r="A4" s="1131"/>
      <c r="B4" s="1134"/>
      <c r="C4" s="1135"/>
      <c r="D4" s="1132"/>
      <c r="E4" s="1136"/>
      <c r="F4" s="720"/>
      <c r="G4" s="259"/>
      <c r="H4" s="1150" t="s">
        <v>355</v>
      </c>
      <c r="I4" s="41"/>
      <c r="J4" s="1153" t="s">
        <v>362</v>
      </c>
      <c r="K4" s="1153"/>
      <c r="L4" s="1154"/>
      <c r="M4" s="1138" t="s">
        <v>359</v>
      </c>
      <c r="N4" s="1139"/>
      <c r="O4" s="1137" t="s">
        <v>356</v>
      </c>
      <c r="P4" s="1140"/>
      <c r="Q4" s="1141"/>
    </row>
    <row r="5" spans="1:17" s="1" customFormat="1" ht="13.5" customHeight="1" x14ac:dyDescent="0.2">
      <c r="A5" s="1131"/>
      <c r="B5" s="1134"/>
      <c r="C5" s="1135"/>
      <c r="D5" s="1132"/>
      <c r="E5" s="1136"/>
      <c r="F5" s="720"/>
      <c r="G5" s="259"/>
      <c r="H5" s="1150" t="s">
        <v>355</v>
      </c>
      <c r="I5" s="41"/>
      <c r="J5" s="1153"/>
      <c r="K5" s="1153" t="s">
        <v>363</v>
      </c>
      <c r="L5" s="1154"/>
      <c r="M5" s="1138" t="s">
        <v>360</v>
      </c>
      <c r="N5" s="1139"/>
      <c r="O5" s="1140"/>
      <c r="P5" s="1140" t="s">
        <v>357</v>
      </c>
      <c r="Q5" s="1141"/>
    </row>
    <row r="6" spans="1:17" s="1" customFormat="1" ht="13.5" customHeight="1" x14ac:dyDescent="0.2">
      <c r="A6" s="1131"/>
      <c r="B6" s="1134"/>
      <c r="C6" s="1135"/>
      <c r="D6" s="1132"/>
      <c r="E6" s="1136"/>
      <c r="F6" s="720"/>
      <c r="G6" s="259"/>
      <c r="H6" s="1151" t="s">
        <v>355</v>
      </c>
      <c r="I6" s="1133"/>
      <c r="J6" s="1155"/>
      <c r="K6" s="1155"/>
      <c r="L6" s="1156" t="s">
        <v>364</v>
      </c>
      <c r="M6" s="1146" t="s">
        <v>361</v>
      </c>
      <c r="N6" s="1147"/>
      <c r="O6" s="1148"/>
      <c r="P6" s="1149"/>
      <c r="Q6" s="1152" t="s">
        <v>358</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6 programa</vt:lpstr>
      <vt:lpstr>aiškinamoji lentelė </vt:lpstr>
      <vt:lpstr>Lapas1</vt:lpstr>
      <vt:lpstr>'6 programa'!Print_Area</vt:lpstr>
      <vt:lpstr>'aiškinamoji lentelė '!Print_Area</vt:lpstr>
      <vt:lpstr>'6 programa'!Print_Titles</vt:lpstr>
      <vt:lpstr>'aiškinamoji lentelė '!Print_Titles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2020-02-20T15:11:32Z</cp:lastPrinted>
  <dcterms:created xsi:type="dcterms:W3CDTF">2007-07-27T10:32:34Z</dcterms:created>
  <dcterms:modified xsi:type="dcterms:W3CDTF">2020-02-27T09:51:44Z</dcterms:modified>
</cp:coreProperties>
</file>